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showInkAnnotation="0" codeName="ThisWorkbook"/>
  <mc:AlternateContent xmlns:mc="http://schemas.openxmlformats.org/markup-compatibility/2006">
    <mc:Choice Requires="x15">
      <x15ac:absPath xmlns:x15ac="http://schemas.microsoft.com/office/spreadsheetml/2010/11/ac" url="C:\Users\pined\Documents\DOCUMENTOS 2021\ACUÑA HECTOR PPTO 2022\Presentación de Formatos y Directivas\Regiones\Amazonas\"/>
    </mc:Choice>
  </mc:AlternateContent>
  <xr:revisionPtr revIDLastSave="0" documentId="8_{1CFF4007-266F-4CDB-AAAA-650F53EB34B7}" xr6:coauthVersionLast="47" xr6:coauthVersionMax="47" xr10:uidLastSave="{00000000-0000-0000-0000-000000000000}"/>
  <bookViews>
    <workbookView xWindow="-120" yWindow="-120" windowWidth="20730" windowHeight="11160" tabRatio="883" activeTab="17" xr2:uid="{00000000-000D-0000-FFFF-FFFF00000000}"/>
  </bookViews>
  <sheets>
    <sheet name="Índice" sheetId="55" r:id="rId1"/>
    <sheet name="F-01" sheetId="62" r:id="rId2"/>
    <sheet name="F-02" sheetId="73" r:id="rId3"/>
    <sheet name="F-03" sheetId="70" r:id="rId4"/>
    <sheet name="F-04" sheetId="30" r:id="rId5"/>
    <sheet name="F-05" sheetId="76" r:id="rId6"/>
    <sheet name="F-06" sheetId="57" r:id="rId7"/>
    <sheet name="F-07 " sheetId="81" r:id="rId8"/>
    <sheet name="F-08" sheetId="21" r:id="rId9"/>
    <sheet name="F-09" sheetId="60" r:id="rId10"/>
    <sheet name="F-10" sheetId="32" r:id="rId11"/>
    <sheet name="F-11" sheetId="45" r:id="rId12"/>
    <sheet name="F-12" sheetId="33" r:id="rId13"/>
    <sheet name="F-13" sheetId="50" r:id="rId14"/>
    <sheet name="F-14" sheetId="51" r:id="rId15"/>
    <sheet name="F-15" sheetId="39" r:id="rId16"/>
    <sheet name="F-16" sheetId="79" r:id="rId17"/>
    <sheet name="F-17" sheetId="53" r:id="rId18"/>
    <sheet name="F-18" sheetId="64" r:id="rId19"/>
    <sheet name="Hoja2" sheetId="80" r:id="rId20"/>
    <sheet name="Hoja1" sheetId="78" state="hidden" r:id="rId21"/>
  </sheets>
  <definedNames>
    <definedName name="_xlnm._FilterDatabase" localSheetId="17" hidden="1">'F-17'!$A$5:$P$5411</definedName>
    <definedName name="_xlnm.Print_Area" localSheetId="1">'F-01'!$A$1:$N$18</definedName>
    <definedName name="_xlnm.Print_Area" localSheetId="6">'F-06'!$A$1:$N$51</definedName>
    <definedName name="_xlnm.Print_Area" localSheetId="7">'F-07 '!$A$1:$Q$25</definedName>
    <definedName name="_xlnm.Print_Area" localSheetId="8">'F-08'!$A$1:$R$109</definedName>
    <definedName name="_xlnm.Print_Area" localSheetId="10">'F-10'!$A$1:$I$24</definedName>
    <definedName name="_xlnm.Print_Area" localSheetId="12">'F-12'!$A$1:$J$41</definedName>
    <definedName name="_xlnm.Print_Area" localSheetId="0">Índice!$A$1:$E$35</definedName>
    <definedName name="dd" localSheetId="2">#REF!</definedName>
    <definedName name="dd" localSheetId="3">#REF!</definedName>
    <definedName name="dd" localSheetId="5">#REF!</definedName>
    <definedName name="dd">#REF!</definedName>
    <definedName name="DIRECREC" localSheetId="1">#REF!</definedName>
    <definedName name="DIRECREC" localSheetId="2">#REF!</definedName>
    <definedName name="DIRECREC" localSheetId="3">#REF!</definedName>
    <definedName name="DIRECREC" localSheetId="5">#REF!</definedName>
    <definedName name="DIRECREC" localSheetId="6">#REF!</definedName>
    <definedName name="DIRECREC" localSheetId="9">#REF!</definedName>
    <definedName name="DIRECREC" localSheetId="18">#REF!</definedName>
    <definedName name="DIRECREC">#REF!</definedName>
    <definedName name="DONAC" localSheetId="1">#REF!</definedName>
    <definedName name="DONAC" localSheetId="2">#REF!</definedName>
    <definedName name="DONAC" localSheetId="3">#REF!</definedName>
    <definedName name="DONAC" localSheetId="5">#REF!</definedName>
    <definedName name="DONAC" localSheetId="6">#REF!</definedName>
    <definedName name="DONAC" localSheetId="9">#REF!</definedName>
    <definedName name="DONAC" localSheetId="18">#REF!</definedName>
    <definedName name="DONAC">#REF!</definedName>
    <definedName name="EE" localSheetId="2">#REF!</definedName>
    <definedName name="EE" localSheetId="3">#REF!</definedName>
    <definedName name="EE" localSheetId="5">#REF!</definedName>
    <definedName name="EE">#REF!</definedName>
    <definedName name="RECORD" localSheetId="1">#REF!</definedName>
    <definedName name="RECORD" localSheetId="2">#REF!</definedName>
    <definedName name="RECORD" localSheetId="3">#REF!</definedName>
    <definedName name="RECORD" localSheetId="5">#REF!</definedName>
    <definedName name="RECORD" localSheetId="6">#REF!</definedName>
    <definedName name="RECORD" localSheetId="9">#REF!</definedName>
    <definedName name="RECORD" localSheetId="18">#REF!</definedName>
    <definedName name="RECORD">#REF!</definedName>
    <definedName name="RECPUB" localSheetId="1">#REF!</definedName>
    <definedName name="RECPUB" localSheetId="2">#REF!</definedName>
    <definedName name="RECPUB" localSheetId="3">#REF!</definedName>
    <definedName name="RECPUB" localSheetId="5">#REF!</definedName>
    <definedName name="RECPUB" localSheetId="6">#REF!</definedName>
    <definedName name="RECPUB" localSheetId="9">#REF!</definedName>
    <definedName name="RECPUB" localSheetId="18">#REF!</definedName>
    <definedName name="RECPUB">#REF!</definedName>
    <definedName name="_xlnm.Print_Titles" localSheetId="1">'F-01'!$3:$3</definedName>
    <definedName name="_xlnm.Print_Titles" localSheetId="0">Índice!$1:$1</definedName>
    <definedName name="XPRINT" localSheetId="1">#REF!</definedName>
    <definedName name="XPRINT" localSheetId="2">#REF!</definedName>
    <definedName name="XPRINT" localSheetId="3">#REF!</definedName>
    <definedName name="XPRINT" localSheetId="5">#REF!</definedName>
    <definedName name="XPRINT" localSheetId="6">#REF!</definedName>
    <definedName name="XPRINT" localSheetId="9">#REF!</definedName>
    <definedName name="XPRINT" localSheetId="18">#REF!</definedName>
    <definedName name="XPRINT">#REF!</definedName>
    <definedName name="XPRINT2" localSheetId="1">#REF!</definedName>
    <definedName name="XPRINT2" localSheetId="2">#REF!</definedName>
    <definedName name="XPRINT2" localSheetId="3">#REF!</definedName>
    <definedName name="XPRINT2" localSheetId="5">#REF!</definedName>
    <definedName name="XPRINT2" localSheetId="6">#REF!</definedName>
    <definedName name="XPRINT2" localSheetId="9">#REF!</definedName>
    <definedName name="XPRINT2" localSheetId="18">#REF!</definedName>
    <definedName name="XPRINT2">#REF!</definedName>
    <definedName name="XPRINT3" localSheetId="1">#REF!</definedName>
    <definedName name="XPRINT3" localSheetId="2">#REF!</definedName>
    <definedName name="XPRINT3" localSheetId="3">#REF!</definedName>
    <definedName name="XPRINT3" localSheetId="5">#REF!</definedName>
    <definedName name="XPRINT3" localSheetId="6">#REF!</definedName>
    <definedName name="XPRINT3" localSheetId="9">#REF!</definedName>
    <definedName name="XPRINT3" localSheetId="18">#REF!</definedName>
    <definedName name="XPRINT3">#REF!</definedName>
    <definedName name="XPRINT4" localSheetId="1">#REF!</definedName>
    <definedName name="XPRINT4" localSheetId="2">#REF!</definedName>
    <definedName name="XPRINT4" localSheetId="3">#REF!</definedName>
    <definedName name="XPRINT4" localSheetId="5">#REF!</definedName>
    <definedName name="XPRINT4" localSheetId="6">#REF!</definedName>
    <definedName name="XPRINT4" localSheetId="9">#REF!</definedName>
    <definedName name="XPRINT4" localSheetId="18">#REF!</definedName>
    <definedName name="XPRINT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81" l="1"/>
  <c r="H15" i="81"/>
  <c r="P15" i="81" s="1"/>
  <c r="H13" i="81"/>
  <c r="P13" i="81" s="1"/>
  <c r="H10" i="81"/>
  <c r="P10" i="81" s="1"/>
  <c r="P8" i="81"/>
  <c r="H8" i="81"/>
  <c r="P6" i="81"/>
  <c r="M6" i="81"/>
  <c r="H6" i="81"/>
  <c r="P24" i="81" l="1"/>
  <c r="Q10" i="81" s="1"/>
  <c r="Q6" i="81" l="1"/>
  <c r="Q13" i="81"/>
  <c r="Q8" i="81"/>
  <c r="Q15" i="81"/>
  <c r="Q24" i="81" l="1"/>
  <c r="H28" i="33"/>
  <c r="H29" i="33"/>
  <c r="D13" i="73"/>
  <c r="N55" i="64" l="1"/>
  <c r="N54" i="64"/>
  <c r="N53" i="64"/>
  <c r="N52" i="64"/>
  <c r="K51" i="64"/>
  <c r="M50" i="64"/>
  <c r="M81" i="64" s="1"/>
  <c r="N47" i="64"/>
  <c r="N37" i="64"/>
  <c r="N81" i="64" s="1"/>
  <c r="L107" i="21"/>
  <c r="Q107" i="21" s="1"/>
  <c r="H107" i="21"/>
  <c r="H108" i="21" s="1"/>
  <c r="F107" i="21"/>
  <c r="E107" i="21"/>
  <c r="E108" i="21" s="1"/>
  <c r="D107" i="21"/>
  <c r="I107" i="21" s="1"/>
  <c r="L106" i="21"/>
  <c r="Q106" i="21" s="1"/>
  <c r="H106" i="21"/>
  <c r="F106" i="21"/>
  <c r="E106" i="21"/>
  <c r="D106" i="21"/>
  <c r="I106" i="21" s="1"/>
  <c r="L105" i="21"/>
  <c r="Q105" i="21" s="1"/>
  <c r="H105" i="21"/>
  <c r="F105" i="21"/>
  <c r="E105" i="21"/>
  <c r="D105" i="21"/>
  <c r="E100" i="21"/>
  <c r="D100" i="21"/>
  <c r="I99" i="21"/>
  <c r="Q99" i="21" s="1"/>
  <c r="Q100" i="21" s="1"/>
  <c r="R100" i="21" s="1"/>
  <c r="I98" i="21"/>
  <c r="Q98" i="21" s="1"/>
  <c r="I97" i="21"/>
  <c r="Q97" i="21" s="1"/>
  <c r="R97" i="21" s="1"/>
  <c r="F96" i="21"/>
  <c r="D96" i="21"/>
  <c r="N95" i="21"/>
  <c r="I95" i="21"/>
  <c r="I96" i="21" s="1"/>
  <c r="N94" i="21"/>
  <c r="I94" i="21"/>
  <c r="Q94" i="21" s="1"/>
  <c r="R94" i="21" s="1"/>
  <c r="N93" i="21"/>
  <c r="I93" i="21"/>
  <c r="Q93" i="21" s="1"/>
  <c r="R93" i="21" s="1"/>
  <c r="L92" i="21"/>
  <c r="F92" i="21"/>
  <c r="E92" i="21"/>
  <c r="D92" i="21"/>
  <c r="N91" i="21"/>
  <c r="I91" i="21"/>
  <c r="N90" i="21"/>
  <c r="I90" i="21"/>
  <c r="Q90" i="21" s="1"/>
  <c r="R90" i="21" s="1"/>
  <c r="N89" i="21"/>
  <c r="I89" i="21"/>
  <c r="Q89" i="21" s="1"/>
  <c r="R89" i="21" s="1"/>
  <c r="L88" i="21"/>
  <c r="N87" i="21"/>
  <c r="N86" i="21"/>
  <c r="Q86" i="21" s="1"/>
  <c r="Q85" i="21"/>
  <c r="N85" i="21"/>
  <c r="L84" i="21"/>
  <c r="F84" i="21"/>
  <c r="E84" i="21"/>
  <c r="D84" i="21"/>
  <c r="N83" i="21"/>
  <c r="N84" i="21" s="1"/>
  <c r="I83" i="21"/>
  <c r="Q83" i="21" s="1"/>
  <c r="N82" i="21"/>
  <c r="I82" i="21"/>
  <c r="Q82" i="21" s="1"/>
  <c r="N81" i="21"/>
  <c r="I81" i="21"/>
  <c r="Q81" i="21" s="1"/>
  <c r="L80" i="21"/>
  <c r="F80" i="21"/>
  <c r="D80" i="21"/>
  <c r="N79" i="21"/>
  <c r="I79" i="21"/>
  <c r="Q79" i="21" s="1"/>
  <c r="N78" i="21"/>
  <c r="N80" i="21" s="1"/>
  <c r="I78" i="21"/>
  <c r="Q78" i="21" s="1"/>
  <c r="R78" i="21" s="1"/>
  <c r="Q77" i="21"/>
  <c r="N77" i="21"/>
  <c r="I77" i="21"/>
  <c r="L76" i="21"/>
  <c r="F76" i="21"/>
  <c r="N75" i="21"/>
  <c r="I75" i="21"/>
  <c r="N74" i="21"/>
  <c r="I74" i="21"/>
  <c r="Q74" i="21" s="1"/>
  <c r="N73" i="21"/>
  <c r="I73" i="21"/>
  <c r="Q73" i="21" s="1"/>
  <c r="L72" i="21"/>
  <c r="F72" i="21"/>
  <c r="N71" i="21"/>
  <c r="N72" i="21" s="1"/>
  <c r="I71" i="21"/>
  <c r="I72" i="21" s="1"/>
  <c r="N70" i="21"/>
  <c r="I70" i="21"/>
  <c r="Q70" i="21" s="1"/>
  <c r="R70" i="21" s="1"/>
  <c r="N69" i="21"/>
  <c r="I69" i="21"/>
  <c r="Q69" i="21" s="1"/>
  <c r="R69" i="21" s="1"/>
  <c r="F68" i="21"/>
  <c r="Q67" i="21"/>
  <c r="I67" i="21"/>
  <c r="I66" i="21"/>
  <c r="Q66" i="21" s="1"/>
  <c r="I65" i="21"/>
  <c r="Q65" i="21" s="1"/>
  <c r="R65" i="21" s="1"/>
  <c r="L64" i="21"/>
  <c r="F64" i="21"/>
  <c r="D64" i="21"/>
  <c r="N63" i="21"/>
  <c r="I63" i="21"/>
  <c r="Q63" i="21" s="1"/>
  <c r="N62" i="21"/>
  <c r="N64" i="21" s="1"/>
  <c r="I62" i="21"/>
  <c r="Q62" i="21" s="1"/>
  <c r="R62" i="21" s="1"/>
  <c r="Q61" i="21"/>
  <c r="N61" i="21"/>
  <c r="I61" i="21"/>
  <c r="F60" i="21"/>
  <c r="D60" i="21"/>
  <c r="I59" i="21"/>
  <c r="I58" i="21"/>
  <c r="Q58" i="21" s="1"/>
  <c r="R58" i="21" s="1"/>
  <c r="N57" i="21"/>
  <c r="Q57" i="21" s="1"/>
  <c r="I57" i="21"/>
  <c r="F56" i="21"/>
  <c r="I55" i="21"/>
  <c r="Q55" i="21" s="1"/>
  <c r="I54" i="21"/>
  <c r="Q54" i="21" s="1"/>
  <c r="R54" i="21" s="1"/>
  <c r="I53" i="21"/>
  <c r="Q53" i="21" s="1"/>
  <c r="L52" i="21"/>
  <c r="I52" i="21"/>
  <c r="F52" i="21"/>
  <c r="D52" i="21"/>
  <c r="N51" i="21"/>
  <c r="I51" i="21"/>
  <c r="N50" i="21"/>
  <c r="I50" i="21"/>
  <c r="N49" i="21"/>
  <c r="I49" i="21"/>
  <c r="F48" i="21"/>
  <c r="D48" i="21"/>
  <c r="I47" i="21"/>
  <c r="I48" i="21" s="1"/>
  <c r="I46" i="21"/>
  <c r="Q46" i="21" s="1"/>
  <c r="N45" i="21"/>
  <c r="I45" i="21"/>
  <c r="Q45" i="21" s="1"/>
  <c r="L44" i="21"/>
  <c r="F44" i="21"/>
  <c r="D44" i="21"/>
  <c r="N43" i="21"/>
  <c r="I43" i="21"/>
  <c r="N42" i="21"/>
  <c r="I42" i="21"/>
  <c r="Q42" i="21" s="1"/>
  <c r="N41" i="21"/>
  <c r="I41" i="21"/>
  <c r="L40" i="21"/>
  <c r="F40" i="21"/>
  <c r="D40" i="21"/>
  <c r="N39" i="21"/>
  <c r="Q39" i="21" s="1"/>
  <c r="I39" i="21"/>
  <c r="N38" i="21"/>
  <c r="I38" i="21"/>
  <c r="Q38" i="21" s="1"/>
  <c r="R38" i="21" s="1"/>
  <c r="N37" i="21"/>
  <c r="I37" i="21"/>
  <c r="Q37" i="21" s="1"/>
  <c r="R37" i="21" s="1"/>
  <c r="F36" i="21"/>
  <c r="N35" i="21"/>
  <c r="I35" i="21"/>
  <c r="N34" i="21"/>
  <c r="I34" i="21"/>
  <c r="Q34" i="21" s="1"/>
  <c r="R34" i="21" s="1"/>
  <c r="N33" i="21"/>
  <c r="Q33" i="21" s="1"/>
  <c r="R33" i="21" s="1"/>
  <c r="I33" i="21"/>
  <c r="F32" i="21"/>
  <c r="D32" i="21"/>
  <c r="N31" i="21"/>
  <c r="I31" i="21"/>
  <c r="N30" i="21"/>
  <c r="I30" i="21"/>
  <c r="Q30" i="21" s="1"/>
  <c r="R30" i="21" s="1"/>
  <c r="N29" i="21"/>
  <c r="I29" i="21"/>
  <c r="Q29" i="21" s="1"/>
  <c r="L24" i="21"/>
  <c r="F24" i="21"/>
  <c r="E24" i="21"/>
  <c r="N23" i="21"/>
  <c r="I23" i="21"/>
  <c r="Q23" i="21" s="1"/>
  <c r="N22" i="21"/>
  <c r="N24" i="21" s="1"/>
  <c r="I22" i="21"/>
  <c r="I24" i="21" s="1"/>
  <c r="Q21" i="21"/>
  <c r="N21" i="21"/>
  <c r="I21" i="21"/>
  <c r="L16" i="21"/>
  <c r="H16" i="21"/>
  <c r="F16" i="21"/>
  <c r="E16" i="21"/>
  <c r="D16" i="21"/>
  <c r="N15" i="21"/>
  <c r="I15" i="21"/>
  <c r="Q15" i="21" s="1"/>
  <c r="N14" i="21"/>
  <c r="I14" i="21"/>
  <c r="Q14" i="21" s="1"/>
  <c r="R14" i="21" s="1"/>
  <c r="N13" i="21"/>
  <c r="I13" i="21"/>
  <c r="Q13" i="21" s="1"/>
  <c r="R13" i="21" s="1"/>
  <c r="R103" i="21" l="1"/>
  <c r="R19" i="21"/>
  <c r="R28" i="21"/>
  <c r="R104" i="21"/>
  <c r="R29" i="21"/>
  <c r="Q22" i="21"/>
  <c r="R22" i="21" s="1"/>
  <c r="I60" i="21"/>
  <c r="N76" i="21"/>
  <c r="I92" i="21"/>
  <c r="I84" i="21"/>
  <c r="Q91" i="21"/>
  <c r="Q92" i="21" s="1"/>
  <c r="R92" i="21" s="1"/>
  <c r="R45" i="21"/>
  <c r="R57" i="21"/>
  <c r="R74" i="21"/>
  <c r="R98" i="21"/>
  <c r="R42" i="21"/>
  <c r="Q49" i="21"/>
  <c r="R49" i="21" s="1"/>
  <c r="I64" i="21"/>
  <c r="R86" i="21"/>
  <c r="R46" i="21"/>
  <c r="Q71" i="21"/>
  <c r="Q72" i="21" s="1"/>
  <c r="R72" i="21" s="1"/>
  <c r="N88" i="21"/>
  <c r="Q95" i="21"/>
  <c r="Q96" i="21" s="1"/>
  <c r="R96" i="21" s="1"/>
  <c r="I32" i="21"/>
  <c r="I44" i="21"/>
  <c r="I40" i="21"/>
  <c r="Q47" i="21"/>
  <c r="R81" i="21"/>
  <c r="Q16" i="21"/>
  <c r="R16" i="21" s="1"/>
  <c r="N40" i="21"/>
  <c r="R73" i="21"/>
  <c r="F108" i="21"/>
  <c r="R21" i="21"/>
  <c r="R61" i="21"/>
  <c r="R67" i="21"/>
  <c r="R77" i="21"/>
  <c r="R85" i="21"/>
  <c r="N105" i="21"/>
  <c r="I80" i="21"/>
  <c r="R53" i="21"/>
  <c r="Q87" i="21"/>
  <c r="Q88" i="21" s="1"/>
  <c r="R88" i="21" s="1"/>
  <c r="N44" i="21"/>
  <c r="N92" i="21"/>
  <c r="I36" i="21"/>
  <c r="R66" i="21"/>
  <c r="R82" i="21"/>
  <c r="I105" i="21"/>
  <c r="N16" i="21"/>
  <c r="Q35" i="21"/>
  <c r="R35" i="21" s="1"/>
  <c r="Q41" i="21"/>
  <c r="R41" i="21" s="1"/>
  <c r="I68" i="21"/>
  <c r="D108" i="21"/>
  <c r="Q64" i="21"/>
  <c r="R64" i="21" s="1"/>
  <c r="R63" i="21"/>
  <c r="Q40" i="21"/>
  <c r="R40" i="21" s="1"/>
  <c r="R39" i="21"/>
  <c r="N52" i="21"/>
  <c r="Q51" i="21"/>
  <c r="I56" i="21"/>
  <c r="R71" i="21"/>
  <c r="Q75" i="21"/>
  <c r="I76" i="21"/>
  <c r="Q84" i="21"/>
  <c r="R84" i="21" s="1"/>
  <c r="R83" i="21"/>
  <c r="R15" i="21"/>
  <c r="R23" i="21"/>
  <c r="Q80" i="21"/>
  <c r="R80" i="21" s="1"/>
  <c r="R79" i="21"/>
  <c r="N106" i="21"/>
  <c r="Q50" i="21"/>
  <c r="R50" i="21" s="1"/>
  <c r="R55" i="21"/>
  <c r="Q56" i="21"/>
  <c r="R56" i="21" s="1"/>
  <c r="I108" i="21"/>
  <c r="Q108" i="21"/>
  <c r="R108" i="21" s="1"/>
  <c r="R107" i="21"/>
  <c r="Q36" i="21"/>
  <c r="R36" i="21" s="1"/>
  <c r="Q48" i="21"/>
  <c r="R48" i="21" s="1"/>
  <c r="R47" i="21"/>
  <c r="Q68" i="21"/>
  <c r="R68" i="21" s="1"/>
  <c r="I16" i="21"/>
  <c r="R20" i="21"/>
  <c r="R25" i="21"/>
  <c r="R87" i="21"/>
  <c r="R91" i="21"/>
  <c r="R95" i="21"/>
  <c r="R101" i="21"/>
  <c r="R105" i="21"/>
  <c r="N107" i="21"/>
  <c r="L108" i="21"/>
  <c r="R17" i="21"/>
  <c r="R26" i="21"/>
  <c r="I100" i="21"/>
  <c r="R102" i="21"/>
  <c r="R106" i="21"/>
  <c r="R18" i="21"/>
  <c r="R27" i="21"/>
  <c r="Q31" i="21"/>
  <c r="Q43" i="21"/>
  <c r="Q59" i="21"/>
  <c r="R99" i="21"/>
  <c r="Q24" i="21" l="1"/>
  <c r="R24" i="21" s="1"/>
  <c r="N108" i="21"/>
  <c r="R59" i="21"/>
  <c r="Q60" i="21"/>
  <c r="R60" i="21" s="1"/>
  <c r="R31" i="21"/>
  <c r="Q32" i="21"/>
  <c r="R32" i="21" s="1"/>
  <c r="R75" i="21"/>
  <c r="Q76" i="21"/>
  <c r="R76" i="21" s="1"/>
  <c r="R51" i="21"/>
  <c r="Q52" i="21"/>
  <c r="R52" i="21" s="1"/>
  <c r="Q44" i="21"/>
  <c r="R44" i="21" s="1"/>
  <c r="R43" i="21"/>
  <c r="E5410" i="53" l="1"/>
  <c r="P5409" i="53"/>
  <c r="P5408" i="53"/>
  <c r="P5407" i="53"/>
  <c r="P5406" i="53"/>
  <c r="P5405" i="53"/>
  <c r="P5404" i="53"/>
  <c r="P5403" i="53"/>
  <c r="M5403" i="53"/>
  <c r="P5402" i="53"/>
  <c r="M5402" i="53"/>
  <c r="P5401" i="53"/>
  <c r="M5401" i="53"/>
  <c r="P5400" i="53"/>
  <c r="M5400" i="53"/>
  <c r="P5399" i="53"/>
  <c r="M5399" i="53"/>
  <c r="P5398" i="53"/>
  <c r="M5398" i="53"/>
  <c r="P5397" i="53"/>
  <c r="M5397" i="53"/>
  <c r="P5396" i="53"/>
  <c r="M5396" i="53"/>
  <c r="P5395" i="53"/>
  <c r="M5395" i="53"/>
  <c r="P5394" i="53"/>
  <c r="M5394" i="53"/>
  <c r="P5393" i="53"/>
  <c r="M5393" i="53"/>
  <c r="P5392" i="53"/>
  <c r="M5392" i="53"/>
  <c r="P5391" i="53"/>
  <c r="M5391" i="53"/>
  <c r="P5390" i="53"/>
  <c r="M5390" i="53"/>
  <c r="P5389" i="53"/>
  <c r="M5389" i="53"/>
  <c r="P5388" i="53"/>
  <c r="M5388" i="53"/>
  <c r="P5387" i="53"/>
  <c r="M5387" i="53"/>
  <c r="P5386" i="53"/>
  <c r="M5386" i="53"/>
  <c r="P5385" i="53"/>
  <c r="M5385" i="53"/>
  <c r="P5384" i="53"/>
  <c r="M5384" i="53"/>
  <c r="P5383" i="53"/>
  <c r="M5383" i="53"/>
  <c r="P5382" i="53"/>
  <c r="M5382" i="53"/>
  <c r="P5381" i="53"/>
  <c r="M5381" i="53"/>
  <c r="P5380" i="53"/>
  <c r="M5380" i="53"/>
  <c r="P5379" i="53"/>
  <c r="M5379" i="53"/>
  <c r="P5378" i="53"/>
  <c r="M5378" i="53"/>
  <c r="P5377" i="53"/>
  <c r="M5377" i="53"/>
  <c r="P5376" i="53"/>
  <c r="M5376" i="53"/>
  <c r="P5375" i="53"/>
  <c r="M5375" i="53"/>
  <c r="P5374" i="53"/>
  <c r="M5374" i="53"/>
  <c r="P5373" i="53"/>
  <c r="M5373" i="53"/>
  <c r="P5372" i="53"/>
  <c r="M5372" i="53"/>
  <c r="P5371" i="53"/>
  <c r="M5371" i="53"/>
  <c r="P5370" i="53"/>
  <c r="M5370" i="53"/>
  <c r="P5369" i="53"/>
  <c r="M5369" i="53"/>
  <c r="P5368" i="53"/>
  <c r="M5368" i="53"/>
  <c r="P5367" i="53"/>
  <c r="M5367" i="53"/>
  <c r="P5366" i="53"/>
  <c r="M5366" i="53"/>
  <c r="P5365" i="53"/>
  <c r="M5365" i="53"/>
  <c r="P5364" i="53"/>
  <c r="M5364" i="53"/>
  <c r="P5363" i="53"/>
  <c r="M5363" i="53"/>
  <c r="P5362" i="53"/>
  <c r="M5362" i="53"/>
  <c r="P5361" i="53"/>
  <c r="M5361" i="53"/>
  <c r="P5360" i="53"/>
  <c r="M5360" i="53"/>
  <c r="P5359" i="53"/>
  <c r="M5359" i="53"/>
  <c r="P5358" i="53"/>
  <c r="M5358" i="53"/>
  <c r="P5357" i="53"/>
  <c r="M5357" i="53"/>
  <c r="P5356" i="53"/>
  <c r="M5356" i="53"/>
  <c r="P5355" i="53"/>
  <c r="M5355" i="53"/>
  <c r="P5354" i="53"/>
  <c r="M5354" i="53"/>
  <c r="P5353" i="53"/>
  <c r="M5353" i="53"/>
  <c r="P5352" i="53"/>
  <c r="M5352" i="53"/>
  <c r="P5351" i="53"/>
  <c r="M5351" i="53"/>
  <c r="P5350" i="53"/>
  <c r="M5350" i="53"/>
  <c r="P5349" i="53"/>
  <c r="M5349" i="53"/>
  <c r="P5348" i="53"/>
  <c r="M5348" i="53"/>
  <c r="P5347" i="53"/>
  <c r="M5347" i="53"/>
  <c r="P5346" i="53"/>
  <c r="M5346" i="53"/>
  <c r="P5345" i="53"/>
  <c r="M5345" i="53"/>
  <c r="P5344" i="53"/>
  <c r="M5344" i="53"/>
  <c r="P5343" i="53"/>
  <c r="M5343" i="53"/>
  <c r="P5342" i="53"/>
  <c r="M5342" i="53"/>
  <c r="P5341" i="53"/>
  <c r="M5341" i="53"/>
  <c r="P5340" i="53"/>
  <c r="M5340" i="53"/>
  <c r="P5339" i="53"/>
  <c r="M5339" i="53"/>
  <c r="P5338" i="53"/>
  <c r="M5338" i="53"/>
  <c r="P5337" i="53"/>
  <c r="M5337" i="53"/>
  <c r="P5336" i="53"/>
  <c r="M5336" i="53"/>
  <c r="P5335" i="53"/>
  <c r="M5335" i="53"/>
  <c r="P5334" i="53"/>
  <c r="M5334" i="53"/>
  <c r="P5333" i="53"/>
  <c r="M5333" i="53"/>
  <c r="P5332" i="53"/>
  <c r="M5332" i="53"/>
  <c r="P5331" i="53"/>
  <c r="M5331" i="53"/>
  <c r="P5330" i="53"/>
  <c r="M5330" i="53"/>
  <c r="P5329" i="53"/>
  <c r="M5329" i="53"/>
  <c r="P5328" i="53"/>
  <c r="M5328" i="53"/>
  <c r="P5327" i="53"/>
  <c r="M5327" i="53"/>
  <c r="P5326" i="53"/>
  <c r="M5326" i="53"/>
  <c r="P5325" i="53"/>
  <c r="M5325" i="53"/>
  <c r="P5324" i="53"/>
  <c r="M5324" i="53"/>
  <c r="P5323" i="53"/>
  <c r="M5323" i="53"/>
  <c r="P5322" i="53"/>
  <c r="M5322" i="53"/>
  <c r="P5321" i="53"/>
  <c r="M5321" i="53"/>
  <c r="P5320" i="53"/>
  <c r="M5320" i="53"/>
  <c r="P5319" i="53"/>
  <c r="M5319" i="53"/>
  <c r="P5318" i="53"/>
  <c r="M5318" i="53"/>
  <c r="P5317" i="53"/>
  <c r="M5317" i="53"/>
  <c r="P5316" i="53"/>
  <c r="M5316" i="53"/>
  <c r="P5315" i="53"/>
  <c r="M5315" i="53"/>
  <c r="P5314" i="53"/>
  <c r="M5314" i="53"/>
  <c r="P5313" i="53"/>
  <c r="M5313" i="53"/>
  <c r="P5312" i="53"/>
  <c r="M5312" i="53"/>
  <c r="P5311" i="53"/>
  <c r="M5311" i="53"/>
  <c r="P5310" i="53"/>
  <c r="M5310" i="53"/>
  <c r="P5309" i="53"/>
  <c r="M5309" i="53"/>
  <c r="P5308" i="53"/>
  <c r="M5308" i="53"/>
  <c r="P5307" i="53"/>
  <c r="M5307" i="53"/>
  <c r="P5306" i="53"/>
  <c r="M5306" i="53"/>
  <c r="P5305" i="53"/>
  <c r="M5305" i="53"/>
  <c r="P5304" i="53"/>
  <c r="M5304" i="53"/>
  <c r="P5303" i="53"/>
  <c r="M5303" i="53"/>
  <c r="P5302" i="53"/>
  <c r="M5302" i="53"/>
  <c r="P5301" i="53"/>
  <c r="M5301" i="53"/>
  <c r="P5300" i="53"/>
  <c r="M5300" i="53"/>
  <c r="P5299" i="53"/>
  <c r="M5299" i="53"/>
  <c r="P5298" i="53"/>
  <c r="M5298" i="53"/>
  <c r="P5297" i="53"/>
  <c r="M5297" i="53"/>
  <c r="P5296" i="53"/>
  <c r="M5296" i="53"/>
  <c r="P5295" i="53"/>
  <c r="M5295" i="53"/>
  <c r="P5294" i="53"/>
  <c r="M5294" i="53"/>
  <c r="P5293" i="53"/>
  <c r="M5293" i="53"/>
  <c r="P5292" i="53"/>
  <c r="M5292" i="53"/>
  <c r="P5291" i="53"/>
  <c r="M5291" i="53"/>
  <c r="P5290" i="53"/>
  <c r="M5290" i="53"/>
  <c r="P5289" i="53"/>
  <c r="M5289" i="53"/>
  <c r="P5288" i="53"/>
  <c r="M5288" i="53"/>
  <c r="P5287" i="53"/>
  <c r="M5287" i="53"/>
  <c r="P5286" i="53"/>
  <c r="M5286" i="53"/>
  <c r="P5285" i="53"/>
  <c r="M5285" i="53"/>
  <c r="P5284" i="53"/>
  <c r="M5284" i="53"/>
  <c r="P5283" i="53"/>
  <c r="M5283" i="53"/>
  <c r="P5282" i="53"/>
  <c r="M5282" i="53"/>
  <c r="P5281" i="53"/>
  <c r="M5281" i="53"/>
  <c r="P5280" i="53"/>
  <c r="M5280" i="53"/>
  <c r="P5279" i="53"/>
  <c r="M5279" i="53"/>
  <c r="M5278" i="53"/>
  <c r="P5277" i="53"/>
  <c r="M5277" i="53"/>
  <c r="P5276" i="53"/>
  <c r="M5276" i="53"/>
  <c r="P5275" i="53"/>
  <c r="M5275" i="53"/>
  <c r="M5274" i="53"/>
  <c r="P5273" i="53"/>
  <c r="M5273" i="53"/>
  <c r="M5272" i="53"/>
  <c r="P5271" i="53"/>
  <c r="M5271" i="53"/>
  <c r="P5270" i="53"/>
  <c r="M5270" i="53"/>
  <c r="M5269" i="53"/>
  <c r="P5268" i="53"/>
  <c r="M5268" i="53"/>
  <c r="P5267" i="53"/>
  <c r="M5267" i="53"/>
  <c r="P5266" i="53"/>
  <c r="M5266" i="53"/>
  <c r="P5265" i="53"/>
  <c r="M5265" i="53"/>
  <c r="P5264" i="53"/>
  <c r="M5264" i="53"/>
  <c r="P5263" i="53"/>
  <c r="M5263" i="53"/>
  <c r="P5262" i="53"/>
  <c r="M5262" i="53"/>
  <c r="P5261" i="53"/>
  <c r="M5261" i="53"/>
  <c r="P5260" i="53"/>
  <c r="M5260" i="53"/>
  <c r="P5259" i="53"/>
  <c r="M5259" i="53"/>
  <c r="P5258" i="53"/>
  <c r="M5258" i="53"/>
  <c r="P5257" i="53"/>
  <c r="M5257" i="53"/>
  <c r="P5256" i="53"/>
  <c r="M5256" i="53"/>
  <c r="P5255" i="53"/>
  <c r="M5255" i="53"/>
  <c r="P5254" i="53"/>
  <c r="M5254" i="53"/>
  <c r="M5253" i="53"/>
  <c r="P5252" i="53"/>
  <c r="M5252" i="53"/>
  <c r="P5251" i="53"/>
  <c r="M5251" i="53"/>
  <c r="P5250" i="53"/>
  <c r="M5250" i="53"/>
  <c r="P5249" i="53"/>
  <c r="M5249" i="53"/>
  <c r="P5248" i="53"/>
  <c r="M5248" i="53"/>
  <c r="M5247" i="53"/>
  <c r="P5246" i="53"/>
  <c r="M5246" i="53"/>
  <c r="P5245" i="53"/>
  <c r="M5245" i="53"/>
  <c r="P5244" i="53"/>
  <c r="M5244" i="53"/>
  <c r="P5243" i="53"/>
  <c r="M5243" i="53"/>
  <c r="P5242" i="53"/>
  <c r="M5242" i="53"/>
  <c r="P5241" i="53"/>
  <c r="M5241" i="53"/>
  <c r="P5240" i="53"/>
  <c r="M5240" i="53"/>
  <c r="P5239" i="53"/>
  <c r="M5239" i="53"/>
  <c r="P5238" i="53"/>
  <c r="M5238" i="53"/>
  <c r="P5237" i="53"/>
  <c r="M5237" i="53"/>
  <c r="P5236" i="53"/>
  <c r="M5236" i="53"/>
  <c r="P5235" i="53"/>
  <c r="M5235" i="53"/>
  <c r="P5234" i="53"/>
  <c r="M5234" i="53"/>
  <c r="P5233" i="53"/>
  <c r="M5233" i="53"/>
  <c r="P5232" i="53"/>
  <c r="M5232" i="53"/>
  <c r="P5231" i="53"/>
  <c r="M5231" i="53"/>
  <c r="P5230" i="53"/>
  <c r="M5230" i="53"/>
  <c r="P5229" i="53"/>
  <c r="M5229" i="53"/>
  <c r="P5228" i="53"/>
  <c r="M5228" i="53"/>
  <c r="P5227" i="53"/>
  <c r="M5227" i="53"/>
  <c r="P5226" i="53"/>
  <c r="M5226" i="53"/>
  <c r="P5225" i="53"/>
  <c r="M5225" i="53"/>
  <c r="P5224" i="53"/>
  <c r="M5224" i="53"/>
  <c r="P5223" i="53"/>
  <c r="M5223" i="53"/>
  <c r="P5222" i="53"/>
  <c r="M5222" i="53"/>
  <c r="P5221" i="53"/>
  <c r="M5221" i="53"/>
  <c r="P5220" i="53"/>
  <c r="M5220" i="53"/>
  <c r="P5219" i="53"/>
  <c r="M5219" i="53"/>
  <c r="P5218" i="53"/>
  <c r="M5218" i="53"/>
  <c r="M5217" i="53"/>
  <c r="P5216" i="53"/>
  <c r="M5216" i="53"/>
  <c r="P5215" i="53"/>
  <c r="M5215" i="53"/>
  <c r="P5214" i="53"/>
  <c r="M5214" i="53"/>
  <c r="P5213" i="53"/>
  <c r="M5213" i="53"/>
  <c r="P5212" i="53"/>
  <c r="M5212" i="53"/>
  <c r="P5211" i="53"/>
  <c r="M5211" i="53"/>
  <c r="P5210" i="53"/>
  <c r="M5210" i="53"/>
  <c r="P5209" i="53"/>
  <c r="M5209" i="53"/>
  <c r="P5208" i="53"/>
  <c r="M5208" i="53"/>
  <c r="P5207" i="53"/>
  <c r="M5207" i="53"/>
  <c r="P5206" i="53"/>
  <c r="M5206" i="53"/>
  <c r="P5205" i="53"/>
  <c r="M5205" i="53"/>
  <c r="P5204" i="53"/>
  <c r="M5204" i="53"/>
  <c r="P5203" i="53"/>
  <c r="M5203" i="53"/>
  <c r="P5202" i="53"/>
  <c r="M5202" i="53"/>
  <c r="P5201" i="53"/>
  <c r="M5201" i="53"/>
  <c r="P5200" i="53"/>
  <c r="M5200" i="53"/>
  <c r="P5199" i="53"/>
  <c r="M5199" i="53"/>
  <c r="P5198" i="53"/>
  <c r="M5198" i="53"/>
  <c r="P5197" i="53"/>
  <c r="M5197" i="53"/>
  <c r="P5196" i="53"/>
  <c r="M5196" i="53"/>
  <c r="P5195" i="53"/>
  <c r="M5195" i="53"/>
  <c r="P5194" i="53"/>
  <c r="M5194" i="53"/>
  <c r="P5193" i="53"/>
  <c r="M5193" i="53"/>
  <c r="P5192" i="53"/>
  <c r="M5192" i="53"/>
  <c r="P5191" i="53"/>
  <c r="M5191" i="53"/>
  <c r="P5190" i="53"/>
  <c r="M5190" i="53"/>
  <c r="P5189" i="53"/>
  <c r="M5189" i="53"/>
  <c r="P5188" i="53"/>
  <c r="M5188" i="53"/>
  <c r="P5187" i="53"/>
  <c r="M5187" i="53"/>
  <c r="P5186" i="53"/>
  <c r="M5186" i="53"/>
  <c r="P5185" i="53"/>
  <c r="M5185" i="53"/>
  <c r="P5184" i="53"/>
  <c r="M5184" i="53"/>
  <c r="P5183" i="53"/>
  <c r="M5183" i="53"/>
  <c r="P5182" i="53"/>
  <c r="M5182" i="53"/>
  <c r="P5181" i="53"/>
  <c r="M5181" i="53"/>
  <c r="P5180" i="53"/>
  <c r="M5180" i="53"/>
  <c r="P5179" i="53"/>
  <c r="M5179" i="53"/>
  <c r="P5178" i="53"/>
  <c r="M5178" i="53"/>
  <c r="P5177" i="53"/>
  <c r="M5177" i="53"/>
  <c r="P5176" i="53"/>
  <c r="M5176" i="53"/>
  <c r="P5175" i="53"/>
  <c r="M5175" i="53"/>
  <c r="P5174" i="53"/>
  <c r="M5174" i="53"/>
  <c r="P5173" i="53"/>
  <c r="M5173" i="53"/>
  <c r="P5172" i="53"/>
  <c r="M5172" i="53"/>
  <c r="P5171" i="53"/>
  <c r="M5171" i="53"/>
  <c r="P5170" i="53"/>
  <c r="M5170" i="53"/>
  <c r="P5169" i="53"/>
  <c r="M5169" i="53"/>
  <c r="P5168" i="53"/>
  <c r="M5168" i="53"/>
  <c r="P5167" i="53"/>
  <c r="M5167" i="53"/>
  <c r="P5166" i="53"/>
  <c r="M5166" i="53"/>
  <c r="P5165" i="53"/>
  <c r="M5165" i="53"/>
  <c r="P5164" i="53"/>
  <c r="M5164" i="53"/>
  <c r="P5163" i="53"/>
  <c r="M5163" i="53"/>
  <c r="P5162" i="53"/>
  <c r="M5162" i="53"/>
  <c r="P5161" i="53"/>
  <c r="M5161" i="53"/>
  <c r="P5160" i="53"/>
  <c r="M5160" i="53"/>
  <c r="P5159" i="53"/>
  <c r="M5159" i="53"/>
  <c r="P5158" i="53"/>
  <c r="M5158" i="53"/>
  <c r="P5157" i="53"/>
  <c r="M5157" i="53"/>
  <c r="P5156" i="53"/>
  <c r="M5156" i="53"/>
  <c r="P5155" i="53"/>
  <c r="M5155" i="53"/>
  <c r="P5154" i="53"/>
  <c r="M5154" i="53"/>
  <c r="M5153" i="53"/>
  <c r="P5152" i="53"/>
  <c r="M5152" i="53"/>
  <c r="P5151" i="53"/>
  <c r="M5151" i="53"/>
  <c r="P5150" i="53"/>
  <c r="M5150" i="53"/>
  <c r="P5149" i="53"/>
  <c r="M5149" i="53"/>
  <c r="P5148" i="53"/>
  <c r="M5148" i="53"/>
  <c r="P5147" i="53"/>
  <c r="M5147" i="53"/>
  <c r="P5146" i="53"/>
  <c r="M5146" i="53"/>
  <c r="P5145" i="53"/>
  <c r="M5145" i="53"/>
  <c r="P5144" i="53"/>
  <c r="M5144" i="53"/>
  <c r="P5143" i="53"/>
  <c r="M5143" i="53"/>
  <c r="P5142" i="53"/>
  <c r="M5142" i="53"/>
  <c r="P5141" i="53"/>
  <c r="M5141" i="53"/>
  <c r="P5140" i="53"/>
  <c r="M5140" i="53"/>
  <c r="P5139" i="53"/>
  <c r="M5139" i="53"/>
  <c r="P5138" i="53"/>
  <c r="M5138" i="53"/>
  <c r="P5137" i="53"/>
  <c r="M5137" i="53"/>
  <c r="P5136" i="53"/>
  <c r="M5136" i="53"/>
  <c r="P5135" i="53"/>
  <c r="M5135" i="53"/>
  <c r="P5134" i="53"/>
  <c r="M5134" i="53"/>
  <c r="P5133" i="53"/>
  <c r="M5133" i="53"/>
  <c r="P5132" i="53"/>
  <c r="M5132" i="53"/>
  <c r="P5131" i="53"/>
  <c r="M5131" i="53"/>
  <c r="P5130" i="53"/>
  <c r="M5130" i="53"/>
  <c r="P5129" i="53"/>
  <c r="M5129" i="53"/>
  <c r="P5128" i="53"/>
  <c r="M5128" i="53"/>
  <c r="P5127" i="53"/>
  <c r="M5127" i="53"/>
  <c r="P5126" i="53"/>
  <c r="M5126" i="53"/>
  <c r="P5125" i="53"/>
  <c r="M5125" i="53"/>
  <c r="P5124" i="53"/>
  <c r="M5124" i="53"/>
  <c r="P5123" i="53"/>
  <c r="M5123" i="53"/>
  <c r="P5122" i="53"/>
  <c r="M5122" i="53"/>
  <c r="P5121" i="53"/>
  <c r="M5121" i="53"/>
  <c r="P5120" i="53"/>
  <c r="M5120" i="53"/>
  <c r="P5119" i="53"/>
  <c r="M5119" i="53"/>
  <c r="P5118" i="53"/>
  <c r="M5118" i="53"/>
  <c r="P5117" i="53"/>
  <c r="M5117" i="53"/>
  <c r="P5116" i="53"/>
  <c r="M5116" i="53"/>
  <c r="P5115" i="53"/>
  <c r="M5115" i="53"/>
  <c r="P5114" i="53"/>
  <c r="M5114" i="53"/>
  <c r="P5113" i="53"/>
  <c r="M5113" i="53"/>
  <c r="P5112" i="53"/>
  <c r="M5112" i="53"/>
  <c r="P5111" i="53"/>
  <c r="M5111" i="53"/>
  <c r="P5110" i="53"/>
  <c r="M5110" i="53"/>
  <c r="P5109" i="53"/>
  <c r="M5109" i="53"/>
  <c r="P5108" i="53"/>
  <c r="M5108" i="53"/>
  <c r="P5107" i="53"/>
  <c r="M5107" i="53"/>
  <c r="P5106" i="53"/>
  <c r="M5106" i="53"/>
  <c r="P5105" i="53"/>
  <c r="M5105" i="53"/>
  <c r="P5104" i="53"/>
  <c r="M5104" i="53"/>
  <c r="P5103" i="53"/>
  <c r="M5103" i="53"/>
  <c r="P5102" i="53"/>
  <c r="M5102" i="53"/>
  <c r="P5101" i="53"/>
  <c r="M5101" i="53"/>
  <c r="P5100" i="53"/>
  <c r="M5100" i="53"/>
  <c r="P5099" i="53"/>
  <c r="M5099" i="53"/>
  <c r="P5098" i="53"/>
  <c r="M5098" i="53"/>
  <c r="P5097" i="53"/>
  <c r="M5097" i="53"/>
  <c r="P5096" i="53"/>
  <c r="M5096" i="53"/>
  <c r="P5095" i="53"/>
  <c r="M5095" i="53"/>
  <c r="P5094" i="53"/>
  <c r="M5094" i="53"/>
  <c r="P5093" i="53"/>
  <c r="M5093" i="53"/>
  <c r="P5092" i="53"/>
  <c r="M5092" i="53"/>
  <c r="P5091" i="53"/>
  <c r="M5091" i="53"/>
  <c r="P5090" i="53"/>
  <c r="M5090" i="53"/>
  <c r="P5089" i="53"/>
  <c r="M5089" i="53"/>
  <c r="P5088" i="53"/>
  <c r="M5088" i="53"/>
  <c r="M5087" i="53"/>
  <c r="P5086" i="53"/>
  <c r="M5086" i="53"/>
  <c r="P5085" i="53"/>
  <c r="M5085" i="53"/>
  <c r="P5084" i="53"/>
  <c r="M5084" i="53"/>
  <c r="P5083" i="53"/>
  <c r="M5083" i="53"/>
  <c r="P5082" i="53"/>
  <c r="M5082" i="53"/>
  <c r="P5081" i="53"/>
  <c r="M5081" i="53"/>
  <c r="P5080" i="53"/>
  <c r="M5080" i="53"/>
  <c r="P5079" i="53"/>
  <c r="M5079" i="53"/>
  <c r="M5078" i="53"/>
  <c r="P5077" i="53"/>
  <c r="M5077" i="53"/>
  <c r="P5076" i="53"/>
  <c r="M5076" i="53"/>
  <c r="P5075" i="53"/>
  <c r="M5075" i="53"/>
  <c r="P5074" i="53"/>
  <c r="M5074" i="53"/>
  <c r="P5073" i="53"/>
  <c r="M5073" i="53"/>
  <c r="P5072" i="53"/>
  <c r="M5072" i="53"/>
  <c r="P5071" i="53"/>
  <c r="M5071" i="53"/>
  <c r="P5070" i="53"/>
  <c r="M5070" i="53"/>
  <c r="P5069" i="53"/>
  <c r="M5069" i="53"/>
  <c r="P5068" i="53"/>
  <c r="M5068" i="53"/>
  <c r="P5067" i="53"/>
  <c r="M5067" i="53"/>
  <c r="P5066" i="53"/>
  <c r="M5066" i="53"/>
  <c r="P5065" i="53"/>
  <c r="M5065" i="53"/>
  <c r="P5064" i="53"/>
  <c r="M5064" i="53"/>
  <c r="P5063" i="53"/>
  <c r="M5063" i="53"/>
  <c r="P5062" i="53"/>
  <c r="M5062" i="53"/>
  <c r="P5061" i="53"/>
  <c r="M5061" i="53"/>
  <c r="P5060" i="53"/>
  <c r="M5060" i="53"/>
  <c r="P5059" i="53"/>
  <c r="M5059" i="53"/>
  <c r="P5058" i="53"/>
  <c r="M5058" i="53"/>
  <c r="P5057" i="53"/>
  <c r="M5057" i="53"/>
  <c r="P5056" i="53"/>
  <c r="M5056" i="53"/>
  <c r="P5055" i="53"/>
  <c r="M5055" i="53"/>
  <c r="P5054" i="53"/>
  <c r="M5054" i="53"/>
  <c r="P5053" i="53"/>
  <c r="M5053" i="53"/>
  <c r="P5052" i="53"/>
  <c r="M5052" i="53"/>
  <c r="P5051" i="53"/>
  <c r="M5051" i="53"/>
  <c r="P5050" i="53"/>
  <c r="M5050" i="53"/>
  <c r="P5049" i="53"/>
  <c r="M5049" i="53"/>
  <c r="P5048" i="53"/>
  <c r="M5048" i="53"/>
  <c r="P5047" i="53"/>
  <c r="M5047" i="53"/>
  <c r="P5046" i="53"/>
  <c r="M5046" i="53"/>
  <c r="P5045" i="53"/>
  <c r="M5045" i="53"/>
  <c r="P5044" i="53"/>
  <c r="M5044" i="53"/>
  <c r="P5043" i="53"/>
  <c r="M5043" i="53"/>
  <c r="P5042" i="53"/>
  <c r="M5042" i="53"/>
  <c r="P5041" i="53"/>
  <c r="M5041" i="53"/>
  <c r="P5040" i="53"/>
  <c r="M5040" i="53"/>
  <c r="P5039" i="53"/>
  <c r="M5039" i="53"/>
  <c r="P5038" i="53"/>
  <c r="M5038" i="53"/>
  <c r="P5037" i="53"/>
  <c r="M5037" i="53"/>
  <c r="P5036" i="53"/>
  <c r="M5036" i="53"/>
  <c r="P5035" i="53"/>
  <c r="M5035" i="53"/>
  <c r="P5034" i="53"/>
  <c r="M5034" i="53"/>
  <c r="P5033" i="53"/>
  <c r="M5033" i="53"/>
  <c r="P5032" i="53"/>
  <c r="M5032" i="53"/>
  <c r="P5031" i="53"/>
  <c r="M5031" i="53"/>
  <c r="M5030" i="53"/>
  <c r="P5029" i="53"/>
  <c r="M5029" i="53"/>
  <c r="P5028" i="53"/>
  <c r="M5028" i="53"/>
  <c r="P5027" i="53"/>
  <c r="M5027" i="53"/>
  <c r="P5026" i="53"/>
  <c r="M5026" i="53"/>
  <c r="P5025" i="53"/>
  <c r="M5025" i="53"/>
  <c r="P5024" i="53"/>
  <c r="M5024" i="53"/>
  <c r="P5023" i="53"/>
  <c r="M5023" i="53"/>
  <c r="P5022" i="53"/>
  <c r="M5022" i="53"/>
  <c r="P5021" i="53"/>
  <c r="M5021" i="53"/>
  <c r="P5020" i="53"/>
  <c r="M5020" i="53"/>
  <c r="P5019" i="53"/>
  <c r="M5019" i="53"/>
  <c r="P5018" i="53"/>
  <c r="M5018" i="53"/>
  <c r="P5017" i="53"/>
  <c r="M5017" i="53"/>
  <c r="P5016" i="53"/>
  <c r="M5016" i="53"/>
  <c r="P5015" i="53"/>
  <c r="M5015" i="53"/>
  <c r="P5014" i="53"/>
  <c r="M5014" i="53"/>
  <c r="P5013" i="53"/>
  <c r="M5013" i="53"/>
  <c r="P5012" i="53"/>
  <c r="M5012" i="53"/>
  <c r="P5011" i="53"/>
  <c r="M5011" i="53"/>
  <c r="P5010" i="53"/>
  <c r="M5010" i="53"/>
  <c r="P5009" i="53"/>
  <c r="M5009" i="53"/>
  <c r="M5008" i="53"/>
  <c r="P5007" i="53"/>
  <c r="M5007" i="53"/>
  <c r="P5006" i="53"/>
  <c r="M5006" i="53"/>
  <c r="P5005" i="53"/>
  <c r="M5005" i="53"/>
  <c r="P5004" i="53"/>
  <c r="M5004" i="53"/>
  <c r="P5003" i="53"/>
  <c r="M5003" i="53"/>
  <c r="P5002" i="53"/>
  <c r="M5002" i="53"/>
  <c r="P5001" i="53"/>
  <c r="M5001" i="53"/>
  <c r="P5000" i="53"/>
  <c r="M5000" i="53"/>
  <c r="P4999" i="53"/>
  <c r="M4999" i="53"/>
  <c r="P4998" i="53"/>
  <c r="M4998" i="53"/>
  <c r="P4997" i="53"/>
  <c r="M4997" i="53"/>
  <c r="P4996" i="53"/>
  <c r="M4996" i="53"/>
  <c r="P4995" i="53"/>
  <c r="M4995" i="53"/>
  <c r="P4994" i="53"/>
  <c r="M4994" i="53"/>
  <c r="P4993" i="53"/>
  <c r="M4993" i="53"/>
  <c r="P4992" i="53"/>
  <c r="M4992" i="53"/>
  <c r="E4991" i="53"/>
  <c r="P4990" i="53"/>
  <c r="M4990" i="53"/>
  <c r="P4989" i="53"/>
  <c r="M4989" i="53"/>
  <c r="P4988" i="53"/>
  <c r="M4988" i="53"/>
  <c r="P4987" i="53"/>
  <c r="M4987" i="53"/>
  <c r="P4986" i="53"/>
  <c r="M4986" i="53"/>
  <c r="P4985" i="53"/>
  <c r="M4985" i="53"/>
  <c r="P4984" i="53"/>
  <c r="M4984" i="53"/>
  <c r="P4983" i="53"/>
  <c r="M4983" i="53"/>
  <c r="P4982" i="53"/>
  <c r="M4982" i="53"/>
  <c r="P4981" i="53"/>
  <c r="M4981" i="53"/>
  <c r="P4980" i="53"/>
  <c r="M4980" i="53"/>
  <c r="P4979" i="53"/>
  <c r="M4979" i="53"/>
  <c r="P4978" i="53"/>
  <c r="M4978" i="53"/>
  <c r="P4977" i="53"/>
  <c r="M4977" i="53"/>
  <c r="P4976" i="53"/>
  <c r="M4976" i="53"/>
  <c r="P4975" i="53"/>
  <c r="M4975" i="53"/>
  <c r="P4974" i="53"/>
  <c r="M4974" i="53"/>
  <c r="P4973" i="53"/>
  <c r="M4973" i="53"/>
  <c r="P4972" i="53"/>
  <c r="M4972" i="53"/>
  <c r="P4971" i="53"/>
  <c r="M4971" i="53"/>
  <c r="P4970" i="53"/>
  <c r="M4970" i="53"/>
  <c r="P4969" i="53"/>
  <c r="M4969" i="53"/>
  <c r="P4968" i="53"/>
  <c r="M4968" i="53"/>
  <c r="P4967" i="53"/>
  <c r="M4967" i="53"/>
  <c r="P4966" i="53"/>
  <c r="M4966" i="53"/>
  <c r="P4965" i="53"/>
  <c r="M4965" i="53"/>
  <c r="P4964" i="53"/>
  <c r="M4964" i="53"/>
  <c r="P4963" i="53"/>
  <c r="M4963" i="53"/>
  <c r="P4962" i="53"/>
  <c r="M4962" i="53"/>
  <c r="P4961" i="53"/>
  <c r="M4961" i="53"/>
  <c r="P4960" i="53"/>
  <c r="M4960" i="53"/>
  <c r="P4959" i="53"/>
  <c r="M4959" i="53"/>
  <c r="P4958" i="53"/>
  <c r="M4958" i="53"/>
  <c r="P4957" i="53"/>
  <c r="M4957" i="53"/>
  <c r="P4956" i="53"/>
  <c r="M4956" i="53"/>
  <c r="P4955" i="53"/>
  <c r="M4955" i="53"/>
  <c r="P4954" i="53"/>
  <c r="M4954" i="53"/>
  <c r="P4953" i="53"/>
  <c r="M4953" i="53"/>
  <c r="P4952" i="53"/>
  <c r="M4952" i="53"/>
  <c r="P4951" i="53"/>
  <c r="M4951" i="53"/>
  <c r="P4950" i="53"/>
  <c r="M4950" i="53"/>
  <c r="P4949" i="53"/>
  <c r="M4949" i="53"/>
  <c r="P4948" i="53"/>
  <c r="M4948" i="53"/>
  <c r="P4947" i="53"/>
  <c r="M4947" i="53"/>
  <c r="P4946" i="53"/>
  <c r="M4946" i="53"/>
  <c r="P4945" i="53"/>
  <c r="M4945" i="53"/>
  <c r="P4944" i="53"/>
  <c r="M4944" i="53"/>
  <c r="P4943" i="53"/>
  <c r="M4943" i="53"/>
  <c r="P4942" i="53"/>
  <c r="M4942" i="53"/>
  <c r="P4941" i="53"/>
  <c r="M4941" i="53"/>
  <c r="P4940" i="53"/>
  <c r="M4940" i="53"/>
  <c r="P4939" i="53"/>
  <c r="M4939" i="53"/>
  <c r="P4938" i="53"/>
  <c r="M4938" i="53"/>
  <c r="P4937" i="53"/>
  <c r="M4937" i="53"/>
  <c r="P4936" i="53"/>
  <c r="M4936" i="53"/>
  <c r="P4935" i="53"/>
  <c r="M4935" i="53"/>
  <c r="P4934" i="53"/>
  <c r="M4934" i="53"/>
  <c r="P4933" i="53"/>
  <c r="M4933" i="53"/>
  <c r="P4932" i="53"/>
  <c r="M4932" i="53"/>
  <c r="P4931" i="53"/>
  <c r="M4931" i="53"/>
  <c r="P4930" i="53"/>
  <c r="M4930" i="53"/>
  <c r="P4929" i="53"/>
  <c r="M4929" i="53"/>
  <c r="P4928" i="53"/>
  <c r="M4928" i="53"/>
  <c r="P4927" i="53"/>
  <c r="M4927" i="53"/>
  <c r="P4926" i="53"/>
  <c r="M4926" i="53"/>
  <c r="P4925" i="53"/>
  <c r="M4925" i="53"/>
  <c r="P4924" i="53"/>
  <c r="M4924" i="53"/>
  <c r="P4923" i="53"/>
  <c r="M4923" i="53"/>
  <c r="P4922" i="53"/>
  <c r="M4922" i="53"/>
  <c r="P4921" i="53"/>
  <c r="M4921" i="53"/>
  <c r="P4920" i="53"/>
  <c r="M4920" i="53"/>
  <c r="P4919" i="53"/>
  <c r="M4919" i="53"/>
  <c r="P4918" i="53"/>
  <c r="M4918" i="53"/>
  <c r="P4917" i="53"/>
  <c r="M4917" i="53"/>
  <c r="P4916" i="53"/>
  <c r="M4916" i="53"/>
  <c r="P4915" i="53"/>
  <c r="M4915" i="53"/>
  <c r="P4914" i="53"/>
  <c r="M4914" i="53"/>
  <c r="P4913" i="53"/>
  <c r="M4913" i="53"/>
  <c r="P4912" i="53"/>
  <c r="M4912" i="53"/>
  <c r="P4911" i="53"/>
  <c r="M4911" i="53"/>
  <c r="P4910" i="53"/>
  <c r="M4910" i="53"/>
  <c r="P4909" i="53"/>
  <c r="M4909" i="53"/>
  <c r="P4908" i="53"/>
  <c r="M4908" i="53"/>
  <c r="P4907" i="53"/>
  <c r="M4907" i="53"/>
  <c r="P4906" i="53"/>
  <c r="M4906" i="53"/>
  <c r="P4905" i="53"/>
  <c r="M4905" i="53"/>
  <c r="P4904" i="53"/>
  <c r="M4904" i="53"/>
  <c r="P4903" i="53"/>
  <c r="M4903" i="53"/>
  <c r="P4902" i="53"/>
  <c r="M4902" i="53"/>
  <c r="P4901" i="53"/>
  <c r="M4901" i="53"/>
  <c r="P4900" i="53"/>
  <c r="M4900" i="53"/>
  <c r="P4899" i="53"/>
  <c r="M4899" i="53"/>
  <c r="P4898" i="53"/>
  <c r="M4898" i="53"/>
  <c r="P4897" i="53"/>
  <c r="M4897" i="53"/>
  <c r="P4896" i="53"/>
  <c r="M4896" i="53"/>
  <c r="P4895" i="53"/>
  <c r="M4895" i="53"/>
  <c r="P4894" i="53"/>
  <c r="M4894" i="53"/>
  <c r="P4893" i="53"/>
  <c r="M4893" i="53"/>
  <c r="P4892" i="53"/>
  <c r="M4892" i="53"/>
  <c r="P4891" i="53"/>
  <c r="M4891" i="53"/>
  <c r="P4890" i="53"/>
  <c r="M4890" i="53"/>
  <c r="P4889" i="53"/>
  <c r="M4889" i="53"/>
  <c r="P4888" i="53"/>
  <c r="M4888" i="53"/>
  <c r="P4887" i="53"/>
  <c r="M4887" i="53"/>
  <c r="P4886" i="53"/>
  <c r="M4886" i="53"/>
  <c r="P4885" i="53"/>
  <c r="M4885" i="53"/>
  <c r="P4884" i="53"/>
  <c r="M4884" i="53"/>
  <c r="P4883" i="53"/>
  <c r="M4883" i="53"/>
  <c r="P4882" i="53"/>
  <c r="M4882" i="53"/>
  <c r="P4881" i="53"/>
  <c r="M4881" i="53"/>
  <c r="P4880" i="53"/>
  <c r="M4880" i="53"/>
  <c r="P4879" i="53"/>
  <c r="M4879" i="53"/>
  <c r="P4878" i="53"/>
  <c r="M4878" i="53"/>
  <c r="P4877" i="53"/>
  <c r="M4877" i="53"/>
  <c r="P4876" i="53"/>
  <c r="M4876" i="53"/>
  <c r="P4875" i="53"/>
  <c r="M4875" i="53"/>
  <c r="P4874" i="53"/>
  <c r="M4874" i="53"/>
  <c r="P4873" i="53"/>
  <c r="M4873" i="53"/>
  <c r="P4872" i="53"/>
  <c r="M4872" i="53"/>
  <c r="P4871" i="53"/>
  <c r="M4871" i="53"/>
  <c r="P4870" i="53"/>
  <c r="M4870" i="53"/>
  <c r="P4869" i="53"/>
  <c r="M4869" i="53"/>
  <c r="P4868" i="53"/>
  <c r="M4868" i="53"/>
  <c r="P4867" i="53"/>
  <c r="M4867" i="53"/>
  <c r="P4866" i="53"/>
  <c r="M4866" i="53"/>
  <c r="P4865" i="53"/>
  <c r="M4865" i="53"/>
  <c r="P4864" i="53"/>
  <c r="M4864" i="53"/>
  <c r="P4863" i="53"/>
  <c r="M4863" i="53"/>
  <c r="P4862" i="53"/>
  <c r="M4862" i="53"/>
  <c r="P4861" i="53"/>
  <c r="M4861" i="53"/>
  <c r="P4860" i="53"/>
  <c r="M4860" i="53"/>
  <c r="P4859" i="53"/>
  <c r="M4859" i="53"/>
  <c r="P4858" i="53"/>
  <c r="M4858" i="53"/>
  <c r="P4857" i="53"/>
  <c r="M4857" i="53"/>
  <c r="P4856" i="53"/>
  <c r="M4856" i="53"/>
  <c r="P4855" i="53"/>
  <c r="M4855" i="53"/>
  <c r="P4854" i="53"/>
  <c r="M4854" i="53"/>
  <c r="P4853" i="53"/>
  <c r="M4853" i="53"/>
  <c r="P4852" i="53"/>
  <c r="M4852" i="53"/>
  <c r="P4851" i="53"/>
  <c r="M4851" i="53"/>
  <c r="P4850" i="53"/>
  <c r="M4850" i="53"/>
  <c r="P4849" i="53"/>
  <c r="M4849" i="53"/>
  <c r="P4848" i="53"/>
  <c r="M4848" i="53"/>
  <c r="P4847" i="53"/>
  <c r="M4847" i="53"/>
  <c r="P4846" i="53"/>
  <c r="M4846" i="53"/>
  <c r="P4845" i="53"/>
  <c r="M4845" i="53"/>
  <c r="P4844" i="53"/>
  <c r="M4844" i="53"/>
  <c r="P4843" i="53"/>
  <c r="M4843" i="53"/>
  <c r="P4842" i="53"/>
  <c r="M4842" i="53"/>
  <c r="P4841" i="53"/>
  <c r="M4841" i="53"/>
  <c r="P4840" i="53"/>
  <c r="M4840" i="53"/>
  <c r="P4839" i="53"/>
  <c r="M4839" i="53"/>
  <c r="P4838" i="53"/>
  <c r="M4838" i="53"/>
  <c r="P4837" i="53"/>
  <c r="M4837" i="53"/>
  <c r="P4836" i="53"/>
  <c r="M4836" i="53"/>
  <c r="P4835" i="53"/>
  <c r="M4835" i="53"/>
  <c r="P4834" i="53"/>
  <c r="M4834" i="53"/>
  <c r="P4833" i="53"/>
  <c r="M4833" i="53"/>
  <c r="P4832" i="53"/>
  <c r="M4832" i="53"/>
  <c r="P4831" i="53"/>
  <c r="M4831" i="53"/>
  <c r="P4830" i="53"/>
  <c r="M4830" i="53"/>
  <c r="P4829" i="53"/>
  <c r="M4829" i="53"/>
  <c r="P4828" i="53"/>
  <c r="M4828" i="53"/>
  <c r="P4827" i="53"/>
  <c r="M4827" i="53"/>
  <c r="P4826" i="53"/>
  <c r="M4826" i="53"/>
  <c r="P4825" i="53"/>
  <c r="M4825" i="53"/>
  <c r="P4824" i="53"/>
  <c r="M4824" i="53"/>
  <c r="P4823" i="53"/>
  <c r="M4823" i="53"/>
  <c r="P4822" i="53"/>
  <c r="M4822" i="53"/>
  <c r="P4821" i="53"/>
  <c r="M4821" i="53"/>
  <c r="P4820" i="53"/>
  <c r="M4820" i="53"/>
  <c r="P4819" i="53"/>
  <c r="M4819" i="53"/>
  <c r="P4818" i="53"/>
  <c r="M4818" i="53"/>
  <c r="P4817" i="53"/>
  <c r="M4817" i="53"/>
  <c r="P4816" i="53"/>
  <c r="M4816" i="53"/>
  <c r="P4815" i="53"/>
  <c r="M4815" i="53"/>
  <c r="P4814" i="53"/>
  <c r="M4814" i="53"/>
  <c r="P4813" i="53"/>
  <c r="M4813" i="53"/>
  <c r="P4812" i="53"/>
  <c r="M4812" i="53"/>
  <c r="P4811" i="53"/>
  <c r="M4811" i="53"/>
  <c r="P4810" i="53"/>
  <c r="M4810" i="53"/>
  <c r="P4809" i="53"/>
  <c r="M4809" i="53"/>
  <c r="P4808" i="53"/>
  <c r="M4808" i="53"/>
  <c r="P4807" i="53"/>
  <c r="M4807" i="53"/>
  <c r="P4806" i="53"/>
  <c r="M4806" i="53"/>
  <c r="P4805" i="53"/>
  <c r="M4805" i="53"/>
  <c r="P4804" i="53"/>
  <c r="M4804" i="53"/>
  <c r="P4803" i="53"/>
  <c r="M4803" i="53"/>
  <c r="P4802" i="53"/>
  <c r="M4802" i="53"/>
  <c r="P4801" i="53"/>
  <c r="M4801" i="53"/>
  <c r="P4800" i="53"/>
  <c r="M4800" i="53"/>
  <c r="P4799" i="53"/>
  <c r="M4799" i="53"/>
  <c r="P4798" i="53"/>
  <c r="M4798" i="53"/>
  <c r="P4797" i="53"/>
  <c r="M4797" i="53"/>
  <c r="P4796" i="53"/>
  <c r="M4796" i="53"/>
  <c r="P4795" i="53"/>
  <c r="M4795" i="53"/>
  <c r="P4794" i="53"/>
  <c r="M4794" i="53"/>
  <c r="P4793" i="53"/>
  <c r="M4793" i="53"/>
  <c r="P4792" i="53"/>
  <c r="M4792" i="53"/>
  <c r="P4791" i="53"/>
  <c r="M4791" i="53"/>
  <c r="P4790" i="53"/>
  <c r="M4790" i="53"/>
  <c r="P4789" i="53"/>
  <c r="M4789" i="53"/>
  <c r="P4788" i="53"/>
  <c r="M4788" i="53"/>
  <c r="P4787" i="53"/>
  <c r="M4787" i="53"/>
  <c r="P4786" i="53"/>
  <c r="M4786" i="53"/>
  <c r="P4785" i="53"/>
  <c r="M4785" i="53"/>
  <c r="P4784" i="53"/>
  <c r="M4784" i="53"/>
  <c r="P4783" i="53"/>
  <c r="M4783" i="53"/>
  <c r="P4782" i="53"/>
  <c r="M4782" i="53"/>
  <c r="P4781" i="53"/>
  <c r="M4781" i="53"/>
  <c r="P4780" i="53"/>
  <c r="M4780" i="53"/>
  <c r="P4779" i="53"/>
  <c r="M4779" i="53"/>
  <c r="P4778" i="53"/>
  <c r="M4778" i="53"/>
  <c r="P4777" i="53"/>
  <c r="M4777" i="53"/>
  <c r="P4776" i="53"/>
  <c r="M4776" i="53"/>
  <c r="P4775" i="53"/>
  <c r="M4775" i="53"/>
  <c r="P4774" i="53"/>
  <c r="M4774" i="53"/>
  <c r="P4773" i="53"/>
  <c r="M4773" i="53"/>
  <c r="P4772" i="53"/>
  <c r="M4772" i="53"/>
  <c r="P4771" i="53"/>
  <c r="M4771" i="53"/>
  <c r="P4770" i="53"/>
  <c r="M4770" i="53"/>
  <c r="P4769" i="53"/>
  <c r="M4769" i="53"/>
  <c r="P4768" i="53"/>
  <c r="M4768" i="53"/>
  <c r="P4767" i="53"/>
  <c r="M4767" i="53"/>
  <c r="P4766" i="53"/>
  <c r="M4766" i="53"/>
  <c r="P4765" i="53"/>
  <c r="M4765" i="53"/>
  <c r="P4764" i="53"/>
  <c r="M4764" i="53"/>
  <c r="P4763" i="53"/>
  <c r="M4763" i="53"/>
  <c r="P4762" i="53"/>
  <c r="M4762" i="53"/>
  <c r="P4761" i="53"/>
  <c r="M4761" i="53"/>
  <c r="P4760" i="53"/>
  <c r="M4760" i="53"/>
  <c r="P4759" i="53"/>
  <c r="M4759" i="53"/>
  <c r="P4758" i="53"/>
  <c r="M4758" i="53"/>
  <c r="P4757" i="53"/>
  <c r="M4757" i="53"/>
  <c r="P4756" i="53"/>
  <c r="M4756" i="53"/>
  <c r="P4755" i="53"/>
  <c r="M4755" i="53"/>
  <c r="P4754" i="53"/>
  <c r="M4754" i="53"/>
  <c r="P4753" i="53"/>
  <c r="M4753" i="53"/>
  <c r="P4752" i="53"/>
  <c r="M4752" i="53"/>
  <c r="P4751" i="53"/>
  <c r="M4751" i="53"/>
  <c r="P4750" i="53"/>
  <c r="M4750" i="53"/>
  <c r="P4749" i="53"/>
  <c r="M4749" i="53"/>
  <c r="P4748" i="53"/>
  <c r="M4748" i="53"/>
  <c r="P4747" i="53"/>
  <c r="M4747" i="53"/>
  <c r="P4746" i="53"/>
  <c r="M4746" i="53"/>
  <c r="P4745" i="53"/>
  <c r="M4745" i="53"/>
  <c r="P4744" i="53"/>
  <c r="M4744" i="53"/>
  <c r="P4743" i="53"/>
  <c r="M4743" i="53"/>
  <c r="P4742" i="53"/>
  <c r="M4742" i="53"/>
  <c r="P4741" i="53"/>
  <c r="M4741" i="53"/>
  <c r="P4740" i="53"/>
  <c r="M4740" i="53"/>
  <c r="P4739" i="53"/>
  <c r="M4739" i="53"/>
  <c r="P4738" i="53"/>
  <c r="M4738" i="53"/>
  <c r="P4737" i="53"/>
  <c r="M4737" i="53"/>
  <c r="P4736" i="53"/>
  <c r="M4736" i="53"/>
  <c r="P4735" i="53"/>
  <c r="M4735" i="53"/>
  <c r="P4734" i="53"/>
  <c r="M4734" i="53"/>
  <c r="P4733" i="53"/>
  <c r="M4733" i="53"/>
  <c r="P4732" i="53"/>
  <c r="M4732" i="53"/>
  <c r="P4731" i="53"/>
  <c r="M4731" i="53"/>
  <c r="P4730" i="53"/>
  <c r="M4730" i="53"/>
  <c r="P4729" i="53"/>
  <c r="M4729" i="53"/>
  <c r="P4728" i="53"/>
  <c r="M4728" i="53"/>
  <c r="P4727" i="53"/>
  <c r="M4727" i="53"/>
  <c r="P4726" i="53"/>
  <c r="M4726" i="53"/>
  <c r="P4725" i="53"/>
  <c r="M4725" i="53"/>
  <c r="P4724" i="53"/>
  <c r="M4724" i="53"/>
  <c r="P4723" i="53"/>
  <c r="M4723" i="53"/>
  <c r="P4722" i="53"/>
  <c r="M4722" i="53"/>
  <c r="P4721" i="53"/>
  <c r="M4721" i="53"/>
  <c r="P4720" i="53"/>
  <c r="M4720" i="53"/>
  <c r="P4719" i="53"/>
  <c r="M4719" i="53"/>
  <c r="P4718" i="53"/>
  <c r="M4718" i="53"/>
  <c r="P4717" i="53"/>
  <c r="M4717" i="53"/>
  <c r="P4716" i="53"/>
  <c r="M4716" i="53"/>
  <c r="P4715" i="53"/>
  <c r="M4715" i="53"/>
  <c r="P4714" i="53"/>
  <c r="M4714" i="53"/>
  <c r="P4713" i="53"/>
  <c r="M4713" i="53"/>
  <c r="P4712" i="53"/>
  <c r="M4712" i="53"/>
  <c r="P4711" i="53"/>
  <c r="M4711" i="53"/>
  <c r="P4710" i="53"/>
  <c r="M4710" i="53"/>
  <c r="P4709" i="53"/>
  <c r="M4709" i="53"/>
  <c r="P4708" i="53"/>
  <c r="M4708" i="53"/>
  <c r="P4707" i="53"/>
  <c r="M4707" i="53"/>
  <c r="P4706" i="53"/>
  <c r="M4706" i="53"/>
  <c r="P4705" i="53"/>
  <c r="M4705" i="53"/>
  <c r="P4704" i="53"/>
  <c r="M4704" i="53"/>
  <c r="P4703" i="53"/>
  <c r="M4703" i="53"/>
  <c r="P4702" i="53"/>
  <c r="M4702" i="53"/>
  <c r="P4701" i="53"/>
  <c r="M4701" i="53"/>
  <c r="P4700" i="53"/>
  <c r="M4700" i="53"/>
  <c r="P4699" i="53"/>
  <c r="M4699" i="53"/>
  <c r="P4698" i="53"/>
  <c r="M4698" i="53"/>
  <c r="P4697" i="53"/>
  <c r="M4697" i="53"/>
  <c r="P4696" i="53"/>
  <c r="M4696" i="53"/>
  <c r="P4695" i="53"/>
  <c r="M4695" i="53"/>
  <c r="P4694" i="53"/>
  <c r="M4694" i="53"/>
  <c r="P4693" i="53"/>
  <c r="M4693" i="53"/>
  <c r="P4692" i="53"/>
  <c r="M4692" i="53"/>
  <c r="P4691" i="53"/>
  <c r="M4691" i="53"/>
  <c r="P4690" i="53"/>
  <c r="M4690" i="53"/>
  <c r="P4689" i="53"/>
  <c r="M4689" i="53"/>
  <c r="P4688" i="53"/>
  <c r="M4688" i="53"/>
  <c r="P4687" i="53"/>
  <c r="M4687" i="53"/>
  <c r="P4686" i="53"/>
  <c r="M4686" i="53"/>
  <c r="P4685" i="53"/>
  <c r="M4685" i="53"/>
  <c r="P4684" i="53"/>
  <c r="M4684" i="53"/>
  <c r="P4683" i="53"/>
  <c r="M4683" i="53"/>
  <c r="P4682" i="53"/>
  <c r="M4682" i="53"/>
  <c r="P4681" i="53"/>
  <c r="M4681" i="53"/>
  <c r="P4680" i="53"/>
  <c r="M4680" i="53"/>
  <c r="P4679" i="53"/>
  <c r="M4679" i="53"/>
  <c r="P4678" i="53"/>
  <c r="M4678" i="53"/>
  <c r="P4677" i="53"/>
  <c r="M4677" i="53"/>
  <c r="P4676" i="53"/>
  <c r="M4676" i="53"/>
  <c r="P4675" i="53"/>
  <c r="M4675" i="53"/>
  <c r="E4675" i="53"/>
  <c r="E4423" i="53"/>
  <c r="P4422" i="53"/>
  <c r="P4421" i="53"/>
  <c r="P4420" i="53"/>
  <c r="P4419" i="53"/>
  <c r="P4418" i="53"/>
  <c r="P4417" i="53"/>
  <c r="P4416" i="53"/>
  <c r="P4415" i="53"/>
  <c r="M4414" i="53"/>
  <c r="M4413" i="53"/>
  <c r="M4412" i="53"/>
  <c r="M4411" i="53"/>
  <c r="M4410" i="53"/>
  <c r="M4409" i="53"/>
  <c r="M4408" i="53"/>
  <c r="M4407" i="53"/>
  <c r="M4406" i="53"/>
  <c r="M4405" i="53"/>
  <c r="M4404" i="53"/>
  <c r="M4403" i="53"/>
  <c r="M4402" i="53"/>
  <c r="M4401" i="53"/>
  <c r="M4400" i="53"/>
  <c r="M4399" i="53"/>
  <c r="M4398" i="53"/>
  <c r="M4397" i="53"/>
  <c r="M4396" i="53"/>
  <c r="M4395" i="53"/>
  <c r="M4394" i="53"/>
  <c r="M4393" i="53"/>
  <c r="M4392" i="53"/>
  <c r="M4391" i="53"/>
  <c r="M4390" i="53"/>
  <c r="M4389" i="53"/>
  <c r="M4388" i="53"/>
  <c r="M4387" i="53"/>
  <c r="M4386" i="53"/>
  <c r="M4385" i="53"/>
  <c r="M4384" i="53"/>
  <c r="M4383" i="53"/>
  <c r="M4382" i="53"/>
  <c r="M4381" i="53"/>
  <c r="M4380" i="53"/>
  <c r="M4379" i="53"/>
  <c r="M4378" i="53"/>
  <c r="M4377" i="53"/>
  <c r="M4376" i="53"/>
  <c r="M4375" i="53"/>
  <c r="M4374" i="53"/>
  <c r="M4373" i="53"/>
  <c r="M4372" i="53"/>
  <c r="M4371" i="53"/>
  <c r="M4370" i="53"/>
  <c r="M4369" i="53"/>
  <c r="M4368" i="53"/>
  <c r="M4367" i="53"/>
  <c r="M4366" i="53"/>
  <c r="M4365" i="53"/>
  <c r="M4364" i="53"/>
  <c r="M4363" i="53"/>
  <c r="M4362" i="53"/>
  <c r="M4361" i="53"/>
  <c r="M4360" i="53"/>
  <c r="M4359" i="53"/>
  <c r="M4358" i="53"/>
  <c r="M4357" i="53"/>
  <c r="M4356" i="53"/>
  <c r="E4184" i="53"/>
  <c r="E4183" i="53"/>
  <c r="E4182" i="53"/>
  <c r="E4181" i="53"/>
  <c r="E4180" i="53"/>
  <c r="E4179" i="53"/>
  <c r="E4178" i="53"/>
  <c r="E4177" i="53"/>
  <c r="E4176" i="53"/>
  <c r="E4175" i="53"/>
  <c r="E4174" i="53"/>
  <c r="E4173" i="53"/>
  <c r="E4172" i="53"/>
  <c r="E4171" i="53"/>
  <c r="E4170" i="53"/>
  <c r="E4169" i="53"/>
  <c r="E4168" i="53"/>
  <c r="E4167" i="53"/>
  <c r="E4166" i="53"/>
  <c r="E4165" i="53"/>
  <c r="E4164" i="53"/>
  <c r="E4163" i="53"/>
  <c r="E4162" i="53"/>
  <c r="E4161" i="53"/>
  <c r="E4160" i="53"/>
  <c r="E4159" i="53"/>
  <c r="E4158" i="53"/>
  <c r="E4157" i="53"/>
  <c r="E4156" i="53"/>
  <c r="E4155" i="53"/>
  <c r="E4154" i="53"/>
  <c r="E4153" i="53"/>
  <c r="E4152" i="53"/>
  <c r="E4151" i="53"/>
  <c r="E4150" i="53"/>
  <c r="E4149" i="53"/>
  <c r="E4148" i="53"/>
  <c r="E4147" i="53"/>
  <c r="E4146" i="53"/>
  <c r="E4145" i="53"/>
  <c r="E4144" i="53"/>
  <c r="E4143" i="53"/>
  <c r="E4142" i="53"/>
  <c r="E4141" i="53"/>
  <c r="E4140" i="53"/>
  <c r="E4139" i="53"/>
  <c r="E4138" i="53"/>
  <c r="E4137" i="53"/>
  <c r="P4136" i="53"/>
  <c r="P4135" i="53"/>
  <c r="P4134" i="53"/>
  <c r="P4133" i="53"/>
  <c r="P4132" i="53"/>
  <c r="P4131" i="53"/>
  <c r="P4130" i="53"/>
  <c r="P4129" i="53"/>
  <c r="P4128" i="53"/>
  <c r="P4127" i="53"/>
  <c r="P4126" i="53"/>
  <c r="P4125" i="53"/>
  <c r="P4124" i="53"/>
  <c r="P4123" i="53"/>
  <c r="P4122" i="53"/>
  <c r="P4121" i="53"/>
  <c r="P4120" i="53"/>
  <c r="P4119" i="53"/>
  <c r="P4118" i="53"/>
  <c r="P4117" i="53"/>
  <c r="P4116" i="53"/>
  <c r="P4115" i="53"/>
  <c r="P4114" i="53"/>
  <c r="P4113" i="53"/>
  <c r="P4112" i="53"/>
  <c r="P4111" i="53"/>
  <c r="P4110" i="53"/>
  <c r="P4109" i="53"/>
  <c r="P4108" i="53"/>
  <c r="P4107" i="53"/>
  <c r="P4106" i="53"/>
  <c r="P4105" i="53"/>
  <c r="P4104" i="53"/>
  <c r="P4103" i="53"/>
  <c r="P4102" i="53"/>
  <c r="P4101" i="53"/>
  <c r="P4100" i="53"/>
  <c r="P4099" i="53"/>
  <c r="P4098" i="53"/>
  <c r="P4097" i="53"/>
  <c r="P4096" i="53"/>
  <c r="P4095" i="53"/>
  <c r="P4094" i="53"/>
  <c r="P4093" i="53"/>
  <c r="P4092" i="53"/>
  <c r="P4091" i="53"/>
  <c r="P4090" i="53"/>
  <c r="P4089" i="53"/>
  <c r="P4088" i="53"/>
  <c r="P4087" i="53"/>
  <c r="P4086" i="53"/>
  <c r="P4085" i="53"/>
  <c r="P4084" i="53"/>
  <c r="P4083" i="53"/>
  <c r="P4082" i="53"/>
  <c r="P4081" i="53"/>
  <c r="P4080" i="53"/>
  <c r="P4079" i="53"/>
  <c r="P4078" i="53"/>
  <c r="P4077" i="53"/>
  <c r="P4076" i="53"/>
  <c r="P4075" i="53"/>
  <c r="P4074" i="53"/>
  <c r="P4073" i="53"/>
  <c r="P4072" i="53"/>
  <c r="P4071" i="53"/>
  <c r="P4070" i="53"/>
  <c r="P4069" i="53"/>
  <c r="P4068" i="53"/>
  <c r="P4067" i="53"/>
  <c r="P4066" i="53"/>
  <c r="P4065" i="53"/>
  <c r="P4064" i="53"/>
  <c r="P4063" i="53"/>
  <c r="P4062" i="53"/>
  <c r="P4061" i="53"/>
  <c r="P4060" i="53"/>
  <c r="P4059" i="53"/>
  <c r="P4058" i="53"/>
  <c r="P4057" i="53"/>
  <c r="P4056" i="53"/>
  <c r="P4055" i="53"/>
  <c r="P4054" i="53"/>
  <c r="P4053" i="53"/>
  <c r="P4052" i="53"/>
  <c r="P4051" i="53"/>
  <c r="P4050" i="53"/>
  <c r="P4049" i="53"/>
  <c r="P4048" i="53"/>
  <c r="P4047" i="53"/>
  <c r="P4046" i="53"/>
  <c r="P4045" i="53"/>
  <c r="P4044" i="53"/>
  <c r="P4043" i="53"/>
  <c r="P4042" i="53"/>
  <c r="P4041" i="53"/>
  <c r="P4040" i="53"/>
  <c r="P4039" i="53"/>
  <c r="P4038" i="53"/>
  <c r="P4037" i="53"/>
  <c r="P4036" i="53"/>
  <c r="P4035" i="53"/>
  <c r="P4034" i="53"/>
  <c r="P4033" i="53"/>
  <c r="P4032" i="53"/>
  <c r="P4031" i="53"/>
  <c r="P4030" i="53"/>
  <c r="P4029" i="53"/>
  <c r="P4028" i="53"/>
  <c r="P4027" i="53"/>
  <c r="P4026" i="53"/>
  <c r="P4025" i="53"/>
  <c r="P4024" i="53"/>
  <c r="P4023" i="53"/>
  <c r="P4022" i="53"/>
  <c r="P4021" i="53"/>
  <c r="P4020" i="53"/>
  <c r="P4019" i="53"/>
  <c r="P4018" i="53"/>
  <c r="P4017" i="53"/>
  <c r="P4016" i="53"/>
  <c r="P4015" i="53"/>
  <c r="P4014" i="53"/>
  <c r="P4013" i="53"/>
  <c r="P4012" i="53"/>
  <c r="P4011" i="53"/>
  <c r="P4010" i="53"/>
  <c r="P4009" i="53"/>
  <c r="P4008" i="53"/>
  <c r="P4007" i="53"/>
  <c r="P4006" i="53"/>
  <c r="P4005" i="53"/>
  <c r="P4004" i="53"/>
  <c r="P4003" i="53"/>
  <c r="P4002" i="53"/>
  <c r="P4001" i="53"/>
  <c r="P4000" i="53"/>
  <c r="P3999" i="53"/>
  <c r="P3998" i="53"/>
  <c r="P3997" i="53"/>
  <c r="P3996" i="53"/>
  <c r="P3995" i="53"/>
  <c r="P3994" i="53"/>
  <c r="P3993" i="53"/>
  <c r="P3992" i="53"/>
  <c r="P3991" i="53"/>
  <c r="P3990" i="53"/>
  <c r="P3989" i="53"/>
  <c r="P3988" i="53"/>
  <c r="P3987" i="53"/>
  <c r="P3986" i="53"/>
  <c r="P3985" i="53"/>
  <c r="P3984" i="53"/>
  <c r="P3983" i="53"/>
  <c r="P3982" i="53"/>
  <c r="P3981" i="53"/>
  <c r="P3980" i="53"/>
  <c r="P3979" i="53"/>
  <c r="P3978" i="53"/>
  <c r="P3977" i="53"/>
  <c r="P3976" i="53"/>
  <c r="P3975" i="53"/>
  <c r="P3974" i="53"/>
  <c r="P3973" i="53"/>
  <c r="P3972" i="53"/>
  <c r="P3971" i="53"/>
  <c r="P3970" i="53"/>
  <c r="P3969" i="53"/>
  <c r="P3968" i="53"/>
  <c r="P3967" i="53"/>
  <c r="P3966" i="53"/>
  <c r="P3965" i="53"/>
  <c r="P3964" i="53"/>
  <c r="P3963" i="53"/>
  <c r="P3962" i="53"/>
  <c r="P3961" i="53"/>
  <c r="P3960" i="53"/>
  <c r="P3959" i="53"/>
  <c r="P3958" i="53"/>
  <c r="P3957" i="53"/>
  <c r="P3956" i="53"/>
  <c r="P3955" i="53"/>
  <c r="P3954" i="53"/>
  <c r="P3953" i="53"/>
  <c r="P3952" i="53"/>
  <c r="P3951" i="53"/>
  <c r="P3950" i="53"/>
  <c r="P3949" i="53"/>
  <c r="P3948" i="53"/>
  <c r="P3947" i="53"/>
  <c r="P3946" i="53"/>
  <c r="P3945" i="53"/>
  <c r="P3944" i="53"/>
  <c r="P3943" i="53"/>
  <c r="P3942" i="53"/>
  <c r="P3941" i="53"/>
  <c r="P3940" i="53"/>
  <c r="P3939" i="53"/>
  <c r="P3938" i="53"/>
  <c r="P3937" i="53"/>
  <c r="P3936" i="53"/>
  <c r="P3935" i="53"/>
  <c r="P3934" i="53"/>
  <c r="P3933" i="53"/>
  <c r="P3932" i="53"/>
  <c r="P3931" i="53"/>
  <c r="P3930" i="53"/>
  <c r="P3929" i="53"/>
  <c r="P3928" i="53"/>
  <c r="P3927" i="53"/>
  <c r="P3926" i="53"/>
  <c r="P3925" i="53"/>
  <c r="P3924" i="53"/>
  <c r="P3923" i="53"/>
  <c r="P3922" i="53"/>
  <c r="P3921" i="53"/>
  <c r="P3920" i="53"/>
  <c r="P3919" i="53"/>
  <c r="P3918" i="53"/>
  <c r="P3917" i="53"/>
  <c r="P3916" i="53"/>
  <c r="P3915" i="53"/>
  <c r="P3914" i="53"/>
  <c r="P3913" i="53"/>
  <c r="P3912" i="53"/>
  <c r="P3911" i="53"/>
  <c r="P3910" i="53"/>
  <c r="P3909" i="53"/>
  <c r="P3908" i="53"/>
  <c r="P3907" i="53"/>
  <c r="P3906" i="53"/>
  <c r="P3905" i="53"/>
  <c r="P3904" i="53"/>
  <c r="P3903" i="53"/>
  <c r="P3902" i="53"/>
  <c r="P3901" i="53"/>
  <c r="P3900" i="53"/>
  <c r="P3899" i="53"/>
  <c r="P3898" i="53"/>
  <c r="P3897" i="53"/>
  <c r="P3896" i="53"/>
  <c r="P3895" i="53"/>
  <c r="P3894" i="53"/>
  <c r="P3893" i="53"/>
  <c r="P3892" i="53"/>
  <c r="P3891" i="53"/>
  <c r="P3890" i="53"/>
  <c r="P3889" i="53"/>
  <c r="P3888" i="53"/>
  <c r="P3887" i="53"/>
  <c r="P3886" i="53"/>
  <c r="P3885" i="53"/>
  <c r="P3884" i="53"/>
  <c r="P3883" i="53"/>
  <c r="P3882" i="53"/>
  <c r="P3881" i="53"/>
  <c r="P3880" i="53"/>
  <c r="P3879" i="53"/>
  <c r="P3878" i="53"/>
  <c r="P3877" i="53"/>
  <c r="P3876" i="53"/>
  <c r="P3875" i="53"/>
  <c r="P3874" i="53"/>
  <c r="P3873" i="53"/>
  <c r="P3872" i="53"/>
  <c r="P3871" i="53"/>
  <c r="P3870" i="53"/>
  <c r="P3869" i="53"/>
  <c r="P3868" i="53"/>
  <c r="P3867" i="53"/>
  <c r="P3866" i="53"/>
  <c r="P3865" i="53"/>
  <c r="P3864" i="53"/>
  <c r="P3863" i="53"/>
  <c r="P3862" i="53"/>
  <c r="P3861" i="53"/>
  <c r="P3860" i="53"/>
  <c r="P3859" i="53"/>
  <c r="P3858" i="53"/>
  <c r="P3857" i="53"/>
  <c r="P3856" i="53"/>
  <c r="P3855" i="53"/>
  <c r="P3854" i="53"/>
  <c r="P3853" i="53"/>
  <c r="P3852" i="53"/>
  <c r="P3851" i="53"/>
  <c r="P3850" i="53"/>
  <c r="P3849" i="53"/>
  <c r="P3848" i="53"/>
  <c r="P3847" i="53"/>
  <c r="P3846" i="53"/>
  <c r="P3845" i="53"/>
  <c r="P3844" i="53"/>
  <c r="P3843" i="53"/>
  <c r="P3842" i="53"/>
  <c r="P3841" i="53"/>
  <c r="P3840" i="53"/>
  <c r="P3839" i="53"/>
  <c r="P3838" i="53"/>
  <c r="P3837" i="53"/>
  <c r="P3836" i="53"/>
  <c r="P3835" i="53"/>
  <c r="P3834" i="53"/>
  <c r="P3833" i="53"/>
  <c r="P3832" i="53"/>
  <c r="P3831" i="53"/>
  <c r="P3830" i="53"/>
  <c r="P3829" i="53"/>
  <c r="P3828" i="53"/>
  <c r="P3827" i="53"/>
  <c r="P3826" i="53"/>
  <c r="P3825" i="53"/>
  <c r="P3824" i="53"/>
  <c r="P3823" i="53"/>
  <c r="M3822" i="53"/>
  <c r="M3821" i="53"/>
  <c r="M3820" i="53"/>
  <c r="M3819" i="53"/>
  <c r="M3818" i="53"/>
  <c r="M3817" i="53"/>
  <c r="M3816" i="53"/>
  <c r="M3815" i="53"/>
  <c r="M3814" i="53"/>
  <c r="M3813" i="53"/>
  <c r="M3812" i="53"/>
  <c r="M3811" i="53"/>
  <c r="M3810" i="53"/>
  <c r="M3809" i="53"/>
  <c r="M3808" i="53"/>
  <c r="M3807" i="53"/>
  <c r="M3806" i="53"/>
  <c r="M3805" i="53"/>
  <c r="M3804" i="53"/>
  <c r="M3803" i="53"/>
  <c r="M3802" i="53"/>
  <c r="M3801" i="53"/>
  <c r="M3800" i="53"/>
  <c r="M3799" i="53"/>
  <c r="M3798" i="53"/>
  <c r="M3797" i="53"/>
  <c r="M3796" i="53"/>
  <c r="M3795" i="53"/>
  <c r="M3794" i="53"/>
  <c r="M3793" i="53"/>
  <c r="M3792" i="53"/>
  <c r="M3791" i="53"/>
  <c r="M3790" i="53"/>
  <c r="M3789" i="53"/>
  <c r="M3788" i="53"/>
  <c r="M3787" i="53"/>
  <c r="M3786" i="53"/>
  <c r="M3785" i="53"/>
  <c r="M3784" i="53"/>
  <c r="M3783" i="53"/>
  <c r="M3782" i="53"/>
  <c r="M3781" i="53"/>
  <c r="M3780" i="53"/>
  <c r="M3779" i="53"/>
  <c r="M3778" i="53"/>
  <c r="M3777" i="53"/>
  <c r="M3776" i="53"/>
  <c r="M3775" i="53"/>
  <c r="M3774" i="53"/>
  <c r="M3773" i="53"/>
  <c r="M3772" i="53"/>
  <c r="M3771" i="53"/>
  <c r="M3770" i="53"/>
  <c r="M3769" i="53"/>
  <c r="M3768" i="53"/>
  <c r="M3767" i="53"/>
  <c r="M3766" i="53"/>
  <c r="M3765" i="53"/>
  <c r="M3764" i="53"/>
  <c r="M3763" i="53"/>
  <c r="M3762" i="53"/>
  <c r="M3761" i="53"/>
  <c r="M3760" i="53"/>
  <c r="M3759" i="53"/>
  <c r="M3758" i="53"/>
  <c r="M3757" i="53"/>
  <c r="M3756" i="53"/>
  <c r="M3755" i="53"/>
  <c r="M3754" i="53"/>
  <c r="M3753" i="53"/>
  <c r="M3752" i="53"/>
  <c r="M3751" i="53"/>
  <c r="M3750" i="53"/>
  <c r="M3749" i="53"/>
  <c r="M3748" i="53"/>
  <c r="M3747" i="53"/>
  <c r="M3746" i="53"/>
  <c r="M3745" i="53"/>
  <c r="M3744" i="53"/>
  <c r="M3743" i="53"/>
  <c r="M3742" i="53"/>
  <c r="M3741" i="53"/>
  <c r="M3740" i="53"/>
  <c r="M3739" i="53"/>
  <c r="M3738" i="53"/>
  <c r="M3737" i="53"/>
  <c r="M3736" i="53"/>
  <c r="M3735" i="53"/>
  <c r="M3734" i="53"/>
  <c r="M3733" i="53"/>
  <c r="M3732" i="53"/>
  <c r="M3731" i="53"/>
  <c r="M3730" i="53"/>
  <c r="M3729" i="53"/>
  <c r="M3728" i="53"/>
  <c r="M3727" i="53"/>
  <c r="M3726" i="53"/>
  <c r="M3725" i="53"/>
  <c r="M3724" i="53"/>
  <c r="M3723" i="53"/>
  <c r="M3722" i="53"/>
  <c r="M3721" i="53"/>
  <c r="M3720" i="53"/>
  <c r="M3719" i="53"/>
  <c r="M3718" i="53"/>
  <c r="M3717" i="53"/>
  <c r="M3716" i="53"/>
  <c r="M3715" i="53"/>
  <c r="M3714" i="53"/>
  <c r="M3713" i="53"/>
  <c r="M3712" i="53"/>
  <c r="M3711" i="53"/>
  <c r="M3710" i="53"/>
  <c r="M3709" i="53"/>
  <c r="M3708" i="53"/>
  <c r="M3707" i="53"/>
  <c r="M3706" i="53"/>
  <c r="M3705" i="53"/>
  <c r="M3704" i="53"/>
  <c r="M3703" i="53"/>
  <c r="M3702" i="53"/>
  <c r="M3701" i="53"/>
  <c r="M3700" i="53"/>
  <c r="M3699" i="53"/>
  <c r="M3698" i="53"/>
  <c r="M3697" i="53"/>
  <c r="M3696" i="53"/>
  <c r="M3695" i="53"/>
  <c r="M3694" i="53"/>
  <c r="M3693" i="53"/>
  <c r="M3692" i="53"/>
  <c r="M3691" i="53"/>
  <c r="M3690" i="53"/>
  <c r="M3689" i="53"/>
  <c r="M3688" i="53"/>
  <c r="M3687" i="53"/>
  <c r="M3686" i="53"/>
  <c r="M3685" i="53"/>
  <c r="M3684" i="53"/>
  <c r="M3683" i="53"/>
  <c r="M3682" i="53"/>
  <c r="M3681" i="53"/>
  <c r="M3680" i="53"/>
  <c r="M3679" i="53"/>
  <c r="M3678" i="53"/>
  <c r="M3677" i="53"/>
  <c r="M3676" i="53"/>
  <c r="M3675" i="53"/>
  <c r="M3674" i="53"/>
  <c r="M3673" i="53"/>
  <c r="M3672" i="53"/>
  <c r="M3671" i="53"/>
  <c r="M3670" i="53"/>
  <c r="M3669" i="53"/>
  <c r="M3668" i="53"/>
  <c r="M3667" i="53"/>
  <c r="M3666" i="53"/>
  <c r="M3665" i="53"/>
  <c r="M3664" i="53"/>
  <c r="M3663" i="53"/>
  <c r="M3662" i="53"/>
  <c r="M3661" i="53"/>
  <c r="M3660" i="53"/>
  <c r="M3659" i="53"/>
  <c r="M3658" i="53"/>
  <c r="M3657" i="53"/>
  <c r="M3656" i="53"/>
  <c r="M3655" i="53"/>
  <c r="M3654" i="53"/>
  <c r="M3653" i="53"/>
  <c r="M3652" i="53"/>
  <c r="M3651" i="53"/>
  <c r="M3650" i="53"/>
  <c r="M3649" i="53"/>
  <c r="M3648" i="53"/>
  <c r="M3647" i="53"/>
  <c r="M3646" i="53"/>
  <c r="M3645" i="53"/>
  <c r="M3644" i="53"/>
  <c r="M3643" i="53"/>
  <c r="M3642" i="53"/>
  <c r="M3641" i="53"/>
  <c r="M3640" i="53"/>
  <c r="M3639" i="53"/>
  <c r="M3638" i="53"/>
  <c r="M3637" i="53"/>
  <c r="M3636" i="53"/>
  <c r="M3635" i="53"/>
  <c r="M3634" i="53"/>
  <c r="M3633" i="53"/>
  <c r="M3632" i="53"/>
  <c r="M3631" i="53"/>
  <c r="M3630" i="53"/>
  <c r="M3629" i="53"/>
  <c r="M3628" i="53"/>
  <c r="M3627" i="53"/>
  <c r="M3626" i="53"/>
  <c r="M3625" i="53"/>
  <c r="M3624" i="53"/>
  <c r="M3623" i="53"/>
  <c r="M3622" i="53"/>
  <c r="M3621" i="53"/>
  <c r="M3620" i="53"/>
  <c r="M3619" i="53"/>
  <c r="M3618" i="53"/>
  <c r="M3617" i="53"/>
  <c r="M3616" i="53"/>
  <c r="M3615" i="53"/>
  <c r="M3614" i="53"/>
  <c r="M3613" i="53"/>
  <c r="M3612" i="53"/>
  <c r="M3611" i="53"/>
  <c r="M3610" i="53"/>
  <c r="M3609" i="53"/>
  <c r="M3608" i="53"/>
  <c r="M3607" i="53"/>
  <c r="M3606" i="53"/>
  <c r="M3605" i="53"/>
  <c r="M3604" i="53"/>
  <c r="M3603" i="53"/>
  <c r="M3602" i="53"/>
  <c r="M3601" i="53"/>
  <c r="M3600" i="53"/>
  <c r="M3599" i="53"/>
  <c r="M3598" i="53"/>
  <c r="M3597" i="53"/>
  <c r="M3596" i="53"/>
  <c r="M3595" i="53"/>
  <c r="M3594" i="53"/>
  <c r="M3593" i="53"/>
  <c r="M3592" i="53"/>
  <c r="M3591" i="53"/>
  <c r="M3590" i="53"/>
  <c r="M3589" i="53"/>
  <c r="M3588" i="53"/>
  <c r="M3587" i="53"/>
  <c r="M3586" i="53"/>
  <c r="M3585" i="53"/>
  <c r="M3584" i="53"/>
  <c r="M3583" i="53"/>
  <c r="M3582" i="53"/>
  <c r="M3581" i="53"/>
  <c r="M3580" i="53"/>
  <c r="M3579" i="53"/>
  <c r="M3578" i="53"/>
  <c r="M3577" i="53"/>
  <c r="M3576" i="53"/>
  <c r="M3575" i="53"/>
  <c r="M3574" i="53"/>
  <c r="M3573" i="53"/>
  <c r="M3572" i="53"/>
  <c r="M3571" i="53"/>
  <c r="M3570" i="53"/>
  <c r="M3569" i="53"/>
  <c r="M3568" i="53"/>
  <c r="M3567" i="53"/>
  <c r="M3566" i="53"/>
  <c r="M3565" i="53"/>
  <c r="M3564" i="53"/>
  <c r="M3563" i="53"/>
  <c r="M3562" i="53"/>
  <c r="M3561" i="53"/>
  <c r="M3560" i="53"/>
  <c r="M3559" i="53"/>
  <c r="M3558" i="53"/>
  <c r="M3557" i="53"/>
  <c r="M3556" i="53"/>
  <c r="M3555" i="53"/>
  <c r="M3554" i="53"/>
  <c r="M3553" i="53"/>
  <c r="M3552" i="53"/>
  <c r="M3551" i="53"/>
  <c r="M3550" i="53"/>
  <c r="M3549" i="53"/>
  <c r="M3548" i="53"/>
  <c r="M3547" i="53"/>
  <c r="M3546" i="53"/>
  <c r="M3545" i="53"/>
  <c r="M3544" i="53"/>
  <c r="M3543" i="53"/>
  <c r="M3542" i="53"/>
  <c r="M3541" i="53"/>
  <c r="M3540" i="53"/>
  <c r="M3539" i="53"/>
  <c r="M3538" i="53"/>
  <c r="M3537" i="53"/>
  <c r="M3536" i="53"/>
  <c r="M3535" i="53"/>
  <c r="M3534" i="53"/>
  <c r="M3533" i="53"/>
  <c r="M3532" i="53"/>
  <c r="M3531" i="53"/>
  <c r="M3530" i="53"/>
  <c r="M3529" i="53"/>
  <c r="M3528" i="53"/>
  <c r="M3527" i="53"/>
  <c r="M3526" i="53"/>
  <c r="M3525" i="53"/>
  <c r="M3524" i="53"/>
  <c r="M3523" i="53"/>
  <c r="M3522" i="53"/>
  <c r="M3521" i="53"/>
  <c r="M3520" i="53"/>
  <c r="M3519" i="53"/>
  <c r="M3518" i="53"/>
  <c r="M3517" i="53"/>
  <c r="M3516" i="53"/>
  <c r="M3515" i="53"/>
  <c r="M3514" i="53"/>
  <c r="M3513" i="53"/>
  <c r="M3512" i="53"/>
  <c r="M3511" i="53"/>
  <c r="M3510" i="53"/>
  <c r="M3509" i="53"/>
  <c r="M3508" i="53"/>
  <c r="M3507" i="53"/>
  <c r="M3506" i="53"/>
  <c r="M3505" i="53"/>
  <c r="M3504" i="53"/>
  <c r="M3503" i="53"/>
  <c r="M3502" i="53"/>
  <c r="M3501" i="53"/>
  <c r="M3500" i="53"/>
  <c r="E3500" i="53"/>
  <c r="P3448" i="53"/>
  <c r="P3447" i="53"/>
  <c r="P3446" i="53"/>
  <c r="P3445" i="53"/>
  <c r="P3444" i="53"/>
  <c r="P3443" i="53"/>
  <c r="P3442" i="53"/>
  <c r="P3441" i="53"/>
  <c r="P3440" i="53"/>
  <c r="P3439" i="53"/>
  <c r="P3438" i="53"/>
  <c r="P3437" i="53"/>
  <c r="P3436" i="53"/>
  <c r="P3435" i="53"/>
  <c r="P3434" i="53"/>
  <c r="P3433" i="53"/>
  <c r="P3432" i="53"/>
  <c r="P3431" i="53"/>
  <c r="P3430" i="53"/>
  <c r="P3429" i="53"/>
  <c r="P3428" i="53"/>
  <c r="P3427" i="53"/>
  <c r="P3426" i="53"/>
  <c r="P3425" i="53"/>
  <c r="P3424" i="53"/>
  <c r="P3423" i="53"/>
  <c r="P3422" i="53"/>
  <c r="P3421" i="53"/>
  <c r="P3420" i="53"/>
  <c r="P3419" i="53"/>
  <c r="P3418" i="53"/>
  <c r="P3417" i="53"/>
  <c r="P3416" i="53"/>
  <c r="P3415" i="53"/>
  <c r="P3414" i="53"/>
  <c r="P3413" i="53"/>
  <c r="P3412" i="53"/>
  <c r="P3411" i="53"/>
  <c r="P3410" i="53"/>
  <c r="P3409" i="53"/>
  <c r="P3408" i="53"/>
  <c r="P3407" i="53"/>
  <c r="P3406" i="53"/>
  <c r="P3405" i="53"/>
  <c r="P3404" i="53"/>
  <c r="P3403" i="53"/>
  <c r="P3402" i="53"/>
  <c r="P3401" i="53"/>
  <c r="P3400" i="53"/>
  <c r="P3399" i="53"/>
  <c r="P3398" i="53"/>
  <c r="P3397" i="53"/>
  <c r="P3396" i="53"/>
  <c r="P3395" i="53"/>
  <c r="P3394" i="53"/>
  <c r="P3393" i="53"/>
  <c r="P3392" i="53"/>
  <c r="P3391" i="53"/>
  <c r="P3390" i="53"/>
  <c r="P3389" i="53"/>
  <c r="P3388" i="53"/>
  <c r="P3387" i="53"/>
  <c r="P3386" i="53"/>
  <c r="P3385" i="53"/>
  <c r="P3384" i="53"/>
  <c r="P3383" i="53"/>
  <c r="P3382" i="53"/>
  <c r="P3381" i="53"/>
  <c r="P3380" i="53"/>
  <c r="P3379" i="53"/>
  <c r="P3378" i="53"/>
  <c r="P3377" i="53"/>
  <c r="P3376" i="53"/>
  <c r="P3375" i="53"/>
  <c r="P3374" i="53"/>
  <c r="P3373" i="53"/>
  <c r="P3372" i="53"/>
  <c r="P3371" i="53"/>
  <c r="P3370" i="53"/>
  <c r="P3369" i="53"/>
  <c r="P3368" i="53"/>
  <c r="P3367" i="53"/>
  <c r="P3366" i="53"/>
  <c r="P3365" i="53"/>
  <c r="P3364" i="53"/>
  <c r="P3363" i="53"/>
  <c r="P3362" i="53"/>
  <c r="P3361" i="53"/>
  <c r="P3360" i="53"/>
  <c r="P3359" i="53"/>
  <c r="P3358" i="53"/>
  <c r="P3357" i="53"/>
  <c r="P3356" i="53"/>
  <c r="P3355" i="53"/>
  <c r="P3354" i="53"/>
  <c r="P3353" i="53"/>
  <c r="P3352" i="53"/>
  <c r="P3351" i="53"/>
  <c r="P3350" i="53"/>
  <c r="P3349" i="53"/>
  <c r="P3348" i="53"/>
  <c r="P3347" i="53"/>
  <c r="P3346" i="53"/>
  <c r="P3345" i="53"/>
  <c r="P3344" i="53"/>
  <c r="P3343" i="53"/>
  <c r="P3342" i="53"/>
  <c r="P3341" i="53"/>
  <c r="P3340" i="53"/>
  <c r="P3339" i="53"/>
  <c r="P3338" i="53"/>
  <c r="P3337" i="53"/>
  <c r="P3336" i="53"/>
  <c r="P3335" i="53"/>
  <c r="P3334" i="53"/>
  <c r="P3333" i="53"/>
  <c r="P3332" i="53"/>
  <c r="P3331" i="53"/>
  <c r="P3330" i="53"/>
  <c r="P3329" i="53"/>
  <c r="P3328" i="53"/>
  <c r="P3327" i="53"/>
  <c r="P3326" i="53"/>
  <c r="P3325" i="53"/>
  <c r="P3324" i="53"/>
  <c r="P3323" i="53"/>
  <c r="P3322" i="53"/>
  <c r="P3321" i="53"/>
  <c r="P3320" i="53"/>
  <c r="P3319" i="53"/>
  <c r="P3318" i="53"/>
  <c r="P3317" i="53"/>
  <c r="P3316" i="53"/>
  <c r="P3315" i="53"/>
  <c r="P3314" i="53"/>
  <c r="P3313" i="53"/>
  <c r="P3312" i="53"/>
  <c r="P3311" i="53"/>
  <c r="P3310" i="53"/>
  <c r="P3309" i="53"/>
  <c r="P3308" i="53"/>
  <c r="P3307" i="53"/>
  <c r="P3306" i="53"/>
  <c r="P3305" i="53"/>
  <c r="P3304" i="53"/>
  <c r="P3303" i="53"/>
  <c r="P3302" i="53"/>
  <c r="P3301" i="53"/>
  <c r="P3300" i="53"/>
  <c r="P3299" i="53"/>
  <c r="P3298" i="53"/>
  <c r="P3297" i="53"/>
  <c r="P3296" i="53"/>
  <c r="P3295" i="53"/>
  <c r="P3294" i="53"/>
  <c r="P3293" i="53"/>
  <c r="P3292" i="53"/>
  <c r="P3291" i="53"/>
  <c r="P3290" i="53"/>
  <c r="P3289" i="53"/>
  <c r="P3288" i="53"/>
  <c r="P3287" i="53"/>
  <c r="P3286" i="53"/>
  <c r="P3285" i="53"/>
  <c r="P3284" i="53"/>
  <c r="P3283" i="53"/>
  <c r="P3282" i="53"/>
  <c r="P3281" i="53"/>
  <c r="P3280" i="53"/>
  <c r="P3279" i="53"/>
  <c r="P3278" i="53"/>
  <c r="P3277" i="53"/>
  <c r="P3276" i="53"/>
  <c r="P3275" i="53"/>
  <c r="P3274" i="53"/>
  <c r="P3273" i="53"/>
  <c r="P3272" i="53"/>
  <c r="P3271" i="53"/>
  <c r="P3270" i="53"/>
  <c r="P3269" i="53"/>
  <c r="P3268" i="53"/>
  <c r="P3267" i="53"/>
  <c r="P3266" i="53"/>
  <c r="P3265" i="53"/>
  <c r="P3264" i="53"/>
  <c r="P3263" i="53"/>
  <c r="P3262" i="53"/>
  <c r="P3261" i="53"/>
  <c r="P3260" i="53"/>
  <c r="P3259" i="53"/>
  <c r="P3258" i="53"/>
  <c r="P3257" i="53"/>
  <c r="P3256" i="53"/>
  <c r="P3255" i="53"/>
  <c r="P3254" i="53"/>
  <c r="P3253" i="53"/>
  <c r="P3252" i="53"/>
  <c r="P3251" i="53"/>
  <c r="P3250" i="53"/>
  <c r="P3249" i="53"/>
  <c r="P3248" i="53"/>
  <c r="P3247" i="53"/>
  <c r="P3246" i="53"/>
  <c r="P3245" i="53"/>
  <c r="P3244" i="53"/>
  <c r="P3243" i="53"/>
  <c r="P3242" i="53"/>
  <c r="P3241" i="53"/>
  <c r="P3240" i="53"/>
  <c r="P3239" i="53"/>
  <c r="P3238" i="53"/>
  <c r="P3237" i="53"/>
  <c r="P3236" i="53"/>
  <c r="P3235" i="53"/>
  <c r="P3234" i="53"/>
  <c r="P3233" i="53"/>
  <c r="P3232" i="53"/>
  <c r="P3231" i="53"/>
  <c r="P3230" i="53"/>
  <c r="P3229" i="53"/>
  <c r="P3228" i="53"/>
  <c r="P3227" i="53"/>
  <c r="P3226" i="53"/>
  <c r="P3225" i="53"/>
  <c r="P3224" i="53"/>
  <c r="P3223" i="53"/>
  <c r="P3222" i="53"/>
  <c r="P3221" i="53"/>
  <c r="P3220" i="53"/>
  <c r="P3219" i="53"/>
  <c r="P3218" i="53"/>
  <c r="P3217" i="53"/>
  <c r="P3216" i="53"/>
  <c r="P3215" i="53"/>
  <c r="P3214" i="53"/>
  <c r="P3213" i="53"/>
  <c r="P3212" i="53"/>
  <c r="P3211" i="53"/>
  <c r="P3210" i="53"/>
  <c r="P3209" i="53"/>
  <c r="P3208" i="53"/>
  <c r="P3207" i="53"/>
  <c r="P3206" i="53"/>
  <c r="P3205" i="53"/>
  <c r="P3204" i="53"/>
  <c r="P3203" i="53"/>
  <c r="P3202" i="53"/>
  <c r="P3201" i="53"/>
  <c r="P3200" i="53"/>
  <c r="P3199" i="53"/>
  <c r="P3198" i="53"/>
  <c r="P3197" i="53"/>
  <c r="P3196" i="53"/>
  <c r="P3195" i="53"/>
  <c r="P3194" i="53"/>
  <c r="P3193" i="53"/>
  <c r="P3192" i="53"/>
  <c r="P3191" i="53"/>
  <c r="P3190" i="53"/>
  <c r="P3189" i="53"/>
  <c r="P3188" i="53"/>
  <c r="P3187" i="53"/>
  <c r="P3186" i="53"/>
  <c r="P3185" i="53"/>
  <c r="P3184" i="53"/>
  <c r="P3183" i="53"/>
  <c r="P3182" i="53"/>
  <c r="P3181" i="53"/>
  <c r="P3180" i="53"/>
  <c r="P3179" i="53"/>
  <c r="P3178" i="53"/>
  <c r="P3177" i="53"/>
  <c r="P3176" i="53"/>
  <c r="P3175" i="53"/>
  <c r="P3174" i="53"/>
  <c r="P3173" i="53"/>
  <c r="P3172" i="53"/>
  <c r="P3171" i="53"/>
  <c r="P3170" i="53"/>
  <c r="P3169" i="53"/>
  <c r="P3168" i="53"/>
  <c r="P3167" i="53"/>
  <c r="P3166" i="53"/>
  <c r="P3165" i="53"/>
  <c r="P3164" i="53"/>
  <c r="P3163" i="53"/>
  <c r="P3162" i="53"/>
  <c r="P3161" i="53"/>
  <c r="P3160" i="53"/>
  <c r="P3159" i="53"/>
  <c r="P3158" i="53"/>
  <c r="P3157" i="53"/>
  <c r="P3156" i="53"/>
  <c r="P3155" i="53"/>
  <c r="P3154" i="53"/>
  <c r="P3153" i="53"/>
  <c r="P3152" i="53"/>
  <c r="P3151" i="53"/>
  <c r="P3150" i="53"/>
  <c r="P3149" i="53"/>
  <c r="P3148" i="53"/>
  <c r="P3147" i="53"/>
  <c r="P3146" i="53"/>
  <c r="P3145" i="53"/>
  <c r="P3144" i="53"/>
  <c r="P3143" i="53"/>
  <c r="P3142" i="53"/>
  <c r="P3141" i="53"/>
  <c r="P3140" i="53"/>
  <c r="P3139" i="53"/>
  <c r="P3138" i="53"/>
  <c r="P3137" i="53"/>
  <c r="P3136" i="53"/>
  <c r="P3135" i="53"/>
  <c r="P3134" i="53"/>
  <c r="P3133" i="53"/>
  <c r="P3132" i="53"/>
  <c r="P3131" i="53"/>
  <c r="P3130" i="53"/>
  <c r="P3129" i="53"/>
  <c r="P3128" i="53"/>
  <c r="P3127" i="53"/>
  <c r="P3126" i="53"/>
  <c r="P3125" i="53"/>
  <c r="P3124" i="53"/>
  <c r="P3123" i="53"/>
  <c r="P3122" i="53"/>
  <c r="P3121" i="53"/>
  <c r="P3120" i="53"/>
  <c r="P3119" i="53"/>
  <c r="P3118" i="53"/>
  <c r="P3117" i="53"/>
  <c r="P3116" i="53"/>
  <c r="P3115" i="53"/>
  <c r="P3114" i="53"/>
  <c r="P3113" i="53"/>
  <c r="P3112" i="53"/>
  <c r="P3111" i="53"/>
  <c r="P3110" i="53"/>
  <c r="P3109" i="53"/>
  <c r="P3108" i="53"/>
  <c r="P3107" i="53"/>
  <c r="P3106" i="53"/>
  <c r="P3105" i="53"/>
  <c r="P3104" i="53"/>
  <c r="P3103" i="53"/>
  <c r="P3102" i="53"/>
  <c r="P3101" i="53"/>
  <c r="P3100" i="53"/>
  <c r="P3099" i="53"/>
  <c r="P3098" i="53"/>
  <c r="P3097" i="53"/>
  <c r="P3096" i="53"/>
  <c r="P3095" i="53"/>
  <c r="P3094" i="53"/>
  <c r="P3093" i="53"/>
  <c r="P3092" i="53"/>
  <c r="P3091" i="53"/>
  <c r="P3090" i="53"/>
  <c r="P3089" i="53"/>
  <c r="P3088" i="53"/>
  <c r="P3087" i="53"/>
  <c r="P3086" i="53"/>
  <c r="P3085" i="53"/>
  <c r="P3084" i="53"/>
  <c r="P3083" i="53"/>
  <c r="P3082" i="53"/>
  <c r="P3081" i="53"/>
  <c r="P3080" i="53"/>
  <c r="P3079" i="53"/>
  <c r="P3078" i="53"/>
  <c r="P3077" i="53"/>
  <c r="P3076" i="53"/>
  <c r="P3075" i="53"/>
  <c r="P3074" i="53"/>
  <c r="P3073" i="53"/>
  <c r="P3072" i="53"/>
  <c r="P3071" i="53"/>
  <c r="P3070" i="53"/>
  <c r="P3069" i="53"/>
  <c r="P3068" i="53"/>
  <c r="P3067" i="53"/>
  <c r="P3066" i="53"/>
  <c r="P3065" i="53"/>
  <c r="P3064" i="53"/>
  <c r="P3063" i="53"/>
  <c r="P3062" i="53"/>
  <c r="P3061" i="53"/>
  <c r="P3060" i="53"/>
  <c r="P3059" i="53"/>
  <c r="P3058" i="53"/>
  <c r="P3057" i="53"/>
  <c r="P3056" i="53"/>
  <c r="P3055" i="53"/>
  <c r="P3054" i="53"/>
  <c r="P3053" i="53"/>
  <c r="P3052" i="53"/>
  <c r="P3051" i="53"/>
  <c r="P3050" i="53"/>
  <c r="P3049" i="53"/>
  <c r="P3048" i="53"/>
  <c r="P3047" i="53"/>
  <c r="P3046" i="53"/>
  <c r="P3045" i="53"/>
  <c r="P3044" i="53"/>
  <c r="P3043" i="53"/>
  <c r="P3042" i="53"/>
  <c r="P3041" i="53"/>
  <c r="P3040" i="53"/>
  <c r="P3039" i="53"/>
  <c r="P3038" i="53"/>
  <c r="P3037" i="53"/>
  <c r="P3036" i="53"/>
  <c r="P3035" i="53"/>
  <c r="P3034" i="53"/>
  <c r="P3033" i="53"/>
  <c r="P3032" i="53"/>
  <c r="P3031" i="53"/>
  <c r="P3030" i="53"/>
  <c r="P3029" i="53"/>
  <c r="P3028" i="53"/>
  <c r="P3027" i="53"/>
  <c r="P3026" i="53"/>
  <c r="P3025" i="53"/>
  <c r="P3024" i="53"/>
  <c r="P3023" i="53"/>
  <c r="P3022" i="53"/>
  <c r="P3021" i="53"/>
  <c r="P3020" i="53"/>
  <c r="P3019" i="53"/>
  <c r="P3018" i="53"/>
  <c r="P3017" i="53"/>
  <c r="P3016" i="53"/>
  <c r="P3015" i="53"/>
  <c r="P3014" i="53"/>
  <c r="P3013" i="53"/>
  <c r="P3012" i="53"/>
  <c r="P3011" i="53"/>
  <c r="P3010" i="53"/>
  <c r="P3009" i="53"/>
  <c r="P3008" i="53"/>
  <c r="P3007" i="53"/>
  <c r="P3006" i="53"/>
  <c r="P3005" i="53"/>
  <c r="P3004" i="53"/>
  <c r="P3003" i="53"/>
  <c r="P3002" i="53"/>
  <c r="P3001" i="53"/>
  <c r="P3000" i="53"/>
  <c r="P2999" i="53"/>
  <c r="P2998" i="53"/>
  <c r="P2997" i="53"/>
  <c r="P2996" i="53"/>
  <c r="P2995" i="53"/>
  <c r="P2994" i="53"/>
  <c r="P2993" i="53"/>
  <c r="P2992" i="53"/>
  <c r="P2991" i="53"/>
  <c r="P2990" i="53"/>
  <c r="P2989" i="53"/>
  <c r="P2988" i="53"/>
  <c r="P2987" i="53"/>
  <c r="P2986" i="53"/>
  <c r="P2985" i="53"/>
  <c r="P2984" i="53"/>
  <c r="P2983" i="53"/>
  <c r="P2982" i="53"/>
  <c r="P2981" i="53"/>
  <c r="P2980" i="53"/>
  <c r="P2979" i="53"/>
  <c r="P2978" i="53"/>
  <c r="P2977" i="53"/>
  <c r="P2976" i="53"/>
  <c r="P2975" i="53"/>
  <c r="P2974" i="53"/>
  <c r="P2973" i="53"/>
  <c r="P2972" i="53"/>
  <c r="P2971" i="53"/>
  <c r="P2970" i="53"/>
  <c r="P2969" i="53"/>
  <c r="P2968" i="53"/>
  <c r="P2967" i="53"/>
  <c r="P2966" i="53"/>
  <c r="P2965" i="53"/>
  <c r="P2964" i="53"/>
  <c r="P2963" i="53"/>
  <c r="P2962" i="53"/>
  <c r="P2961" i="53"/>
  <c r="P2960" i="53"/>
  <c r="P2959" i="53"/>
  <c r="P2958" i="53"/>
  <c r="P2957" i="53"/>
  <c r="P2956" i="53"/>
  <c r="P2955" i="53"/>
  <c r="P2954" i="53"/>
  <c r="P2953" i="53"/>
  <c r="P2952" i="53"/>
  <c r="P2951" i="53"/>
  <c r="P2950" i="53"/>
  <c r="P2949" i="53"/>
  <c r="P2948" i="53"/>
  <c r="P2947" i="53"/>
  <c r="P2946" i="53"/>
  <c r="P2945" i="53"/>
  <c r="P2944" i="53"/>
  <c r="P2943" i="53"/>
  <c r="P2942" i="53"/>
  <c r="P2941" i="53"/>
  <c r="P2940" i="53"/>
  <c r="P2939" i="53"/>
  <c r="P2938" i="53"/>
  <c r="P2937" i="53"/>
  <c r="P2936" i="53"/>
  <c r="P2935" i="53"/>
  <c r="P2934" i="53"/>
  <c r="P2933" i="53"/>
  <c r="P2932" i="53"/>
  <c r="P2931" i="53"/>
  <c r="P2930" i="53"/>
  <c r="P2929" i="53"/>
  <c r="P2928" i="53"/>
  <c r="P2927" i="53"/>
  <c r="P2926" i="53"/>
  <c r="P2925" i="53"/>
  <c r="P2924" i="53"/>
  <c r="P2923" i="53"/>
  <c r="P2922" i="53"/>
  <c r="P2921" i="53"/>
  <c r="P2920" i="53"/>
  <c r="P2919" i="53"/>
  <c r="P2918" i="53"/>
  <c r="P2917" i="53"/>
  <c r="P2916" i="53"/>
  <c r="P2915" i="53"/>
  <c r="P2914" i="53"/>
  <c r="P2913" i="53"/>
  <c r="P2912" i="53"/>
  <c r="P2911" i="53"/>
  <c r="P2910" i="53"/>
  <c r="P2909" i="53"/>
  <c r="P2908" i="53"/>
  <c r="P2907" i="53"/>
  <c r="P2906" i="53"/>
  <c r="P2905" i="53"/>
  <c r="P2904" i="53"/>
  <c r="P2903" i="53"/>
  <c r="P2902" i="53"/>
  <c r="P2901" i="53"/>
  <c r="P2900" i="53"/>
  <c r="P2899" i="53"/>
  <c r="P2898" i="53"/>
  <c r="P2897" i="53"/>
  <c r="P2896" i="53"/>
  <c r="P2895" i="53"/>
  <c r="P2894" i="53"/>
  <c r="P2893" i="53"/>
  <c r="P2892" i="53"/>
  <c r="P2891" i="53"/>
  <c r="P2890" i="53"/>
  <c r="P2889" i="53"/>
  <c r="P2888" i="53"/>
  <c r="P2887" i="53"/>
  <c r="P2886" i="53"/>
  <c r="P2885" i="53"/>
  <c r="P2884" i="53"/>
  <c r="P2883" i="53"/>
  <c r="P2882" i="53"/>
  <c r="P2881" i="53"/>
  <c r="P2880" i="53"/>
  <c r="P2879" i="53"/>
  <c r="P2878" i="53"/>
  <c r="P2877" i="53"/>
  <c r="P2876" i="53"/>
  <c r="P2875" i="53"/>
  <c r="P2874" i="53"/>
  <c r="P2873" i="53"/>
  <c r="P2872" i="53"/>
  <c r="P2871" i="53"/>
  <c r="P2870" i="53"/>
  <c r="P2869" i="53"/>
  <c r="P2868" i="53"/>
  <c r="P2867" i="53"/>
  <c r="P2866" i="53"/>
  <c r="P2865" i="53"/>
  <c r="P2864" i="53"/>
  <c r="P2863" i="53"/>
  <c r="P2862" i="53"/>
  <c r="P2861" i="53"/>
  <c r="P2860" i="53"/>
  <c r="P2859" i="53"/>
  <c r="P2858" i="53"/>
  <c r="P2857" i="53"/>
  <c r="P2856" i="53"/>
  <c r="P2855" i="53"/>
  <c r="P2854" i="53"/>
  <c r="P2853" i="53"/>
  <c r="P2852" i="53"/>
  <c r="P2851" i="53"/>
  <c r="P2850" i="53"/>
  <c r="P2849" i="53"/>
  <c r="P2848" i="53"/>
  <c r="P2847" i="53"/>
  <c r="P2846" i="53"/>
  <c r="P2845" i="53"/>
  <c r="P2844" i="53"/>
  <c r="P2843" i="53"/>
  <c r="P2842" i="53"/>
  <c r="P2841" i="53"/>
  <c r="P2840" i="53"/>
  <c r="P2839" i="53"/>
  <c r="P2838" i="53"/>
  <c r="P2837" i="53"/>
  <c r="P2836" i="53"/>
  <c r="P2835" i="53"/>
  <c r="P2834" i="53"/>
  <c r="P2833" i="53"/>
  <c r="P2832" i="53"/>
  <c r="P2831" i="53"/>
  <c r="P2830" i="53"/>
  <c r="P2829" i="53"/>
  <c r="P2828" i="53"/>
  <c r="P2827" i="53"/>
  <c r="P2826" i="53"/>
  <c r="P2825" i="53"/>
  <c r="P2824" i="53"/>
  <c r="P2823" i="53"/>
  <c r="P2822" i="53"/>
  <c r="P2821" i="53"/>
  <c r="P2820" i="53"/>
  <c r="P2819" i="53"/>
  <c r="P2818" i="53"/>
  <c r="P2817" i="53"/>
  <c r="P2816" i="53"/>
  <c r="P2815" i="53"/>
  <c r="P2814" i="53"/>
  <c r="P2813" i="53"/>
  <c r="P2812" i="53"/>
  <c r="P2811" i="53"/>
  <c r="P2810" i="53"/>
  <c r="P2809" i="53"/>
  <c r="P2808" i="53"/>
  <c r="P2807" i="53"/>
  <c r="P2806" i="53"/>
  <c r="P2805" i="53"/>
  <c r="P2804" i="53"/>
  <c r="P2803" i="53"/>
  <c r="P2802" i="53"/>
  <c r="P2801" i="53"/>
  <c r="P2800" i="53"/>
  <c r="P2799" i="53"/>
  <c r="P2798" i="53"/>
  <c r="P2797" i="53"/>
  <c r="P2796" i="53"/>
  <c r="P2795" i="53"/>
  <c r="P2794" i="53"/>
  <c r="P2793" i="53"/>
  <c r="P2792" i="53"/>
  <c r="P2791" i="53"/>
  <c r="P2790" i="53"/>
  <c r="P2789" i="53"/>
  <c r="P2788" i="53"/>
  <c r="P2787" i="53"/>
  <c r="P2786" i="53"/>
  <c r="P2785" i="53"/>
  <c r="P2784" i="53"/>
  <c r="P2783" i="53"/>
  <c r="P2782" i="53"/>
  <c r="P2781" i="53"/>
  <c r="P2780" i="53"/>
  <c r="P2779" i="53"/>
  <c r="P2778" i="53"/>
  <c r="P2777" i="53"/>
  <c r="P2776" i="53"/>
  <c r="P2775" i="53"/>
  <c r="P2774" i="53"/>
  <c r="P2773" i="53"/>
  <c r="P2772" i="53"/>
  <c r="P2771" i="53"/>
  <c r="P2770" i="53"/>
  <c r="P2769" i="53"/>
  <c r="P2768" i="53"/>
  <c r="P2767" i="53"/>
  <c r="P2766" i="53"/>
  <c r="P2765" i="53"/>
  <c r="P2764" i="53"/>
  <c r="P2763" i="53"/>
  <c r="P2762" i="53"/>
  <c r="P2761" i="53"/>
  <c r="P2760" i="53"/>
  <c r="P2759" i="53"/>
  <c r="P2758" i="53"/>
  <c r="P2757" i="53"/>
  <c r="P2756" i="53"/>
  <c r="P2755" i="53"/>
  <c r="P2754" i="53"/>
  <c r="P2753" i="53"/>
  <c r="P2752" i="53"/>
  <c r="P2751" i="53"/>
  <c r="P2750" i="53"/>
  <c r="P2749" i="53"/>
  <c r="P2748" i="53"/>
  <c r="P2747" i="53"/>
  <c r="P2746" i="53"/>
  <c r="P2745" i="53"/>
  <c r="P2744" i="53"/>
  <c r="P2743" i="53"/>
  <c r="P2742" i="53"/>
  <c r="P2741" i="53"/>
  <c r="P2740" i="53"/>
  <c r="P2739" i="53"/>
  <c r="P2738" i="53"/>
  <c r="P2737" i="53"/>
  <c r="P2736" i="53"/>
  <c r="P2735" i="53"/>
  <c r="P2734" i="53"/>
  <c r="P2733" i="53"/>
  <c r="P2732" i="53"/>
  <c r="P2731" i="53"/>
  <c r="P2730" i="53"/>
  <c r="P2729" i="53"/>
  <c r="P2728" i="53"/>
  <c r="P2727" i="53"/>
  <c r="P2726" i="53"/>
  <c r="P2725" i="53"/>
  <c r="P2724" i="53"/>
  <c r="P2723" i="53"/>
  <c r="P2722" i="53"/>
  <c r="P2721" i="53"/>
  <c r="P2720" i="53"/>
  <c r="P2719" i="53"/>
  <c r="P2718" i="53"/>
  <c r="P2717" i="53"/>
  <c r="P2716" i="53"/>
  <c r="P2715" i="53"/>
  <c r="P2714" i="53"/>
  <c r="P2713" i="53"/>
  <c r="P2712" i="53"/>
  <c r="P2711" i="53"/>
  <c r="P2710" i="53"/>
  <c r="P2709" i="53"/>
  <c r="P2708" i="53"/>
  <c r="P2707" i="53"/>
  <c r="P2706" i="53"/>
  <c r="P2705" i="53"/>
  <c r="P2704" i="53"/>
  <c r="P2703" i="53"/>
  <c r="P2702" i="53"/>
  <c r="P2701" i="53"/>
  <c r="P2700" i="53"/>
  <c r="P2699" i="53"/>
  <c r="P2698" i="53"/>
  <c r="P2697" i="53"/>
  <c r="P2696" i="53"/>
  <c r="P2695" i="53"/>
  <c r="P2694" i="53"/>
  <c r="P2693" i="53"/>
  <c r="E2692" i="53"/>
  <c r="P2691" i="53"/>
  <c r="P2690" i="53"/>
  <c r="P2689" i="53"/>
  <c r="P2688" i="53"/>
  <c r="P2687" i="53"/>
  <c r="P2686" i="53"/>
  <c r="P2685" i="53"/>
  <c r="P2684" i="53"/>
  <c r="P2683" i="53"/>
  <c r="P2682" i="53"/>
  <c r="P2681" i="53"/>
  <c r="P2680" i="53"/>
  <c r="M2679" i="53"/>
  <c r="M2678" i="53"/>
  <c r="M2677" i="53"/>
  <c r="M2676" i="53"/>
  <c r="M2675" i="53"/>
  <c r="M2674" i="53"/>
  <c r="P2673" i="53"/>
  <c r="P2672" i="53"/>
  <c r="P2671" i="53"/>
  <c r="P2670" i="53"/>
  <c r="P2669" i="53"/>
  <c r="P2668" i="53"/>
  <c r="P2667" i="53"/>
  <c r="P2666" i="53"/>
  <c r="P2665" i="53"/>
  <c r="P2664" i="53"/>
  <c r="M2663" i="53"/>
  <c r="M2662" i="53"/>
  <c r="M2661" i="53"/>
  <c r="M2660" i="53"/>
  <c r="M2659" i="53"/>
  <c r="M2658" i="53"/>
  <c r="M2657" i="53"/>
  <c r="M2656" i="53"/>
  <c r="E2655" i="53"/>
  <c r="P2654" i="53"/>
  <c r="M2654" i="53"/>
  <c r="P2653" i="53"/>
  <c r="M2653" i="53"/>
  <c r="P2652" i="53"/>
  <c r="M2652" i="53"/>
  <c r="P2651" i="53"/>
  <c r="M2651" i="53"/>
  <c r="P2650" i="53"/>
  <c r="P2649" i="53"/>
  <c r="P2648" i="53"/>
  <c r="P2647" i="53"/>
  <c r="P2646" i="53"/>
  <c r="P2645" i="53"/>
  <c r="P2644" i="53"/>
  <c r="P2643" i="53"/>
  <c r="P2642" i="53"/>
  <c r="P2641" i="53"/>
  <c r="P2640" i="53"/>
  <c r="P2639" i="53"/>
  <c r="P2638" i="53"/>
  <c r="P2637" i="53"/>
  <c r="P2636" i="53"/>
  <c r="P2635" i="53"/>
  <c r="P2634" i="53"/>
  <c r="P2633" i="53"/>
  <c r="P2632" i="53"/>
  <c r="P2631" i="53"/>
  <c r="P2630" i="53"/>
  <c r="P2629" i="53"/>
  <c r="P2628" i="53"/>
  <c r="P2627" i="53"/>
  <c r="P2626" i="53"/>
  <c r="P2625" i="53"/>
  <c r="P2624" i="53"/>
  <c r="P2623" i="53"/>
  <c r="P2622" i="53"/>
  <c r="P2621" i="53"/>
  <c r="P2620" i="53"/>
  <c r="P2619" i="53"/>
  <c r="P2618" i="53"/>
  <c r="P2617" i="53"/>
  <c r="P2616" i="53"/>
  <c r="P2615" i="53"/>
  <c r="P2614" i="53"/>
  <c r="P2613" i="53"/>
  <c r="P2612" i="53"/>
  <c r="P2611" i="53"/>
  <c r="P2610" i="53"/>
  <c r="P2609" i="53"/>
  <c r="P2608" i="53"/>
  <c r="P2607" i="53"/>
  <c r="P2606" i="53"/>
  <c r="P2605" i="53"/>
  <c r="P2604" i="53"/>
  <c r="P2603" i="53"/>
  <c r="P2602" i="53"/>
  <c r="P2601" i="53"/>
  <c r="P2600" i="53"/>
  <c r="P2599" i="53"/>
  <c r="P2598" i="53"/>
  <c r="P2597" i="53"/>
  <c r="P2596" i="53"/>
  <c r="P2595" i="53"/>
  <c r="P2594" i="53"/>
  <c r="P2593" i="53"/>
  <c r="P2592" i="53"/>
  <c r="P2591" i="53"/>
  <c r="P2590" i="53"/>
  <c r="P2589" i="53"/>
  <c r="P2588" i="53"/>
  <c r="P2587" i="53"/>
  <c r="P2586" i="53"/>
  <c r="P2585" i="53"/>
  <c r="P2584" i="53"/>
  <c r="P2583" i="53"/>
  <c r="P2582" i="53"/>
  <c r="P2581" i="53"/>
  <c r="P2580" i="53"/>
  <c r="P2579" i="53"/>
  <c r="P2578" i="53"/>
  <c r="P2577" i="53"/>
  <c r="P2576" i="53"/>
  <c r="P2575" i="53"/>
  <c r="P2574" i="53"/>
  <c r="P2573" i="53"/>
  <c r="P2572" i="53"/>
  <c r="P2571" i="53"/>
  <c r="P2570" i="53"/>
  <c r="P2569" i="53"/>
  <c r="P2568" i="53"/>
  <c r="P2567" i="53"/>
  <c r="P2566" i="53"/>
  <c r="P2565" i="53"/>
  <c r="P2564" i="53"/>
  <c r="P2563" i="53"/>
  <c r="P2562" i="53"/>
  <c r="P2561" i="53"/>
  <c r="P2560" i="53"/>
  <c r="P2559" i="53"/>
  <c r="P2558" i="53"/>
  <c r="P2557" i="53"/>
  <c r="P2556" i="53"/>
  <c r="P2555" i="53"/>
  <c r="P2554" i="53"/>
  <c r="P2553" i="53"/>
  <c r="P2552" i="53"/>
  <c r="P2551" i="53"/>
  <c r="P2550" i="53"/>
  <c r="P2549" i="53"/>
  <c r="P2548" i="53"/>
  <c r="P2547" i="53"/>
  <c r="P2546" i="53"/>
  <c r="P2545" i="53"/>
  <c r="P2544" i="53"/>
  <c r="P2543" i="53"/>
  <c r="P2542" i="53"/>
  <c r="P2541" i="53"/>
  <c r="P2540" i="53"/>
  <c r="P2539" i="53"/>
  <c r="P2538" i="53"/>
  <c r="P2537" i="53"/>
  <c r="P2536" i="53"/>
  <c r="P2535" i="53"/>
  <c r="P2534" i="53"/>
  <c r="P2533" i="53"/>
  <c r="P2532" i="53"/>
  <c r="P2531" i="53"/>
  <c r="P2530" i="53"/>
  <c r="P2529" i="53"/>
  <c r="P2528" i="53"/>
  <c r="P2527" i="53"/>
  <c r="P2526" i="53"/>
  <c r="P2525" i="53"/>
  <c r="P2524" i="53"/>
  <c r="P2523" i="53"/>
  <c r="P2522" i="53"/>
  <c r="P2521" i="53"/>
  <c r="P2520" i="53"/>
  <c r="P2519" i="53"/>
  <c r="P2518" i="53"/>
  <c r="P2517" i="53"/>
  <c r="P2516" i="53"/>
  <c r="P2515" i="53"/>
  <c r="P2514" i="53"/>
  <c r="P2513" i="53"/>
  <c r="P2512" i="53"/>
  <c r="P2511" i="53"/>
  <c r="P2510" i="53"/>
  <c r="P2509" i="53"/>
  <c r="P2508" i="53"/>
  <c r="P2507" i="53"/>
  <c r="P2506" i="53"/>
  <c r="P2505" i="53"/>
  <c r="P2504" i="53"/>
  <c r="P2503" i="53"/>
  <c r="E2502" i="53"/>
  <c r="P2501" i="53"/>
  <c r="P2500" i="53"/>
  <c r="P2499" i="53"/>
  <c r="P2498" i="53"/>
  <c r="P2497" i="53"/>
  <c r="P2496" i="53"/>
  <c r="P2495" i="53"/>
  <c r="P2494" i="53"/>
  <c r="P2493" i="53"/>
  <c r="P2492" i="53"/>
  <c r="P2491" i="53"/>
  <c r="P2490" i="53"/>
  <c r="M2489" i="53"/>
  <c r="M2488" i="53"/>
  <c r="M2487" i="53"/>
  <c r="M2486" i="53"/>
  <c r="M2485" i="53"/>
  <c r="M2484" i="53"/>
  <c r="M2483" i="53"/>
  <c r="M2482" i="53"/>
  <c r="M2481" i="53"/>
  <c r="M2480" i="53"/>
  <c r="M2479" i="53"/>
  <c r="M2478" i="53"/>
  <c r="M2477" i="53"/>
  <c r="M2476" i="53"/>
  <c r="M2475" i="53"/>
  <c r="M2474" i="53"/>
  <c r="E2458" i="53"/>
  <c r="P2457" i="53"/>
  <c r="M2457" i="53"/>
  <c r="P2456" i="53"/>
  <c r="M2456" i="53"/>
  <c r="P2455" i="53"/>
  <c r="M2455" i="53"/>
  <c r="P2454" i="53"/>
  <c r="M2454" i="53"/>
  <c r="P2453" i="53"/>
  <c r="M2453" i="53"/>
  <c r="P2452" i="53"/>
  <c r="M2452" i="53"/>
  <c r="P2451" i="53"/>
  <c r="M2451" i="53"/>
  <c r="P2450" i="53"/>
  <c r="M2450" i="53"/>
  <c r="P2449" i="53"/>
  <c r="M2449" i="53"/>
  <c r="P2448" i="53"/>
  <c r="M2448" i="53"/>
  <c r="P2447" i="53"/>
  <c r="M2447" i="53"/>
  <c r="P2446" i="53"/>
  <c r="M2446" i="53"/>
  <c r="P2445" i="53"/>
  <c r="M2445" i="53"/>
  <c r="P2444" i="53"/>
  <c r="M2444" i="53"/>
  <c r="P2443" i="53"/>
  <c r="M2443" i="53"/>
  <c r="P2442" i="53"/>
  <c r="M2442" i="53"/>
  <c r="P2441" i="53"/>
  <c r="M2441" i="53"/>
  <c r="P2440" i="53"/>
  <c r="M2440" i="53"/>
  <c r="P2439" i="53"/>
  <c r="M2439" i="53"/>
  <c r="P2438" i="53"/>
  <c r="M2438" i="53"/>
  <c r="P2437" i="53"/>
  <c r="M2437" i="53"/>
  <c r="P2436" i="53"/>
  <c r="M2436" i="53"/>
  <c r="P2435" i="53"/>
  <c r="M2435" i="53"/>
  <c r="P2434" i="53"/>
  <c r="M2434" i="53"/>
  <c r="P2433" i="53"/>
  <c r="M2433" i="53"/>
  <c r="P2432" i="53"/>
  <c r="M2432" i="53"/>
  <c r="P2431" i="53"/>
  <c r="M2431" i="53"/>
  <c r="P2430" i="53"/>
  <c r="M2430" i="53"/>
  <c r="P2429" i="53"/>
  <c r="M2429" i="53"/>
  <c r="P2428" i="53"/>
  <c r="M2428" i="53"/>
  <c r="P2427" i="53"/>
  <c r="M2427" i="53"/>
  <c r="P2426" i="53"/>
  <c r="M2426" i="53"/>
  <c r="P2425" i="53"/>
  <c r="M2425" i="53"/>
  <c r="P2424" i="53"/>
  <c r="M2424" i="53"/>
  <c r="P2423" i="53"/>
  <c r="M2423" i="53"/>
  <c r="P2422" i="53"/>
  <c r="M2422" i="53"/>
  <c r="P2421" i="53"/>
  <c r="M2421" i="53"/>
  <c r="P2420" i="53"/>
  <c r="M2420" i="53"/>
  <c r="P2419" i="53"/>
  <c r="M2419" i="53"/>
  <c r="P2418" i="53"/>
  <c r="M2418" i="53"/>
  <c r="P2417" i="53"/>
  <c r="M2417" i="53"/>
  <c r="P2416" i="53"/>
  <c r="M2416" i="53"/>
  <c r="P2415" i="53"/>
  <c r="M2415" i="53"/>
  <c r="P2414" i="53"/>
  <c r="M2414" i="53"/>
  <c r="P2413" i="53"/>
  <c r="M2413" i="53"/>
  <c r="P2412" i="53"/>
  <c r="M2412" i="53"/>
  <c r="P2411" i="53"/>
  <c r="M2411" i="53"/>
  <c r="P2410" i="53"/>
  <c r="M2410" i="53"/>
  <c r="P2409" i="53"/>
  <c r="M2409" i="53"/>
  <c r="P2408" i="53"/>
  <c r="M2408" i="53"/>
  <c r="P2407" i="53"/>
  <c r="M2407" i="53"/>
  <c r="P2406" i="53"/>
  <c r="M2406" i="53"/>
  <c r="P2405" i="53"/>
  <c r="M2405" i="53"/>
  <c r="P2404" i="53"/>
  <c r="M2404" i="53"/>
  <c r="P2369" i="53"/>
  <c r="M2369" i="53"/>
  <c r="E2369" i="53"/>
  <c r="E1635" i="53"/>
  <c r="P1634" i="53"/>
  <c r="M1634" i="53"/>
  <c r="P1633" i="53"/>
  <c r="M1633" i="53"/>
  <c r="P1632" i="53"/>
  <c r="M1632" i="53"/>
  <c r="P1631" i="53"/>
  <c r="P1630" i="53"/>
  <c r="M1630" i="53"/>
  <c r="P1629" i="53"/>
  <c r="M1629" i="53"/>
  <c r="P1628" i="53"/>
  <c r="M1628" i="53"/>
  <c r="P1627" i="53"/>
  <c r="M1627" i="53"/>
  <c r="P1626" i="53"/>
  <c r="M1626" i="53"/>
  <c r="P1625" i="53"/>
  <c r="M1625" i="53"/>
  <c r="P1624" i="53"/>
  <c r="M1624" i="53"/>
  <c r="P1623" i="53"/>
  <c r="M1623" i="53"/>
  <c r="P1622" i="53"/>
  <c r="M1622" i="53"/>
  <c r="P1621" i="53"/>
  <c r="M1621" i="53"/>
  <c r="P1620" i="53"/>
  <c r="M1620" i="53"/>
  <c r="P1619" i="53"/>
  <c r="P1618" i="53"/>
  <c r="M1618" i="53"/>
  <c r="P1617" i="53"/>
  <c r="M1616" i="53"/>
  <c r="P1615" i="53"/>
  <c r="P1614" i="53"/>
  <c r="M1614" i="53"/>
  <c r="P1613" i="53"/>
  <c r="M1613" i="53"/>
  <c r="P1612" i="53"/>
  <c r="M1612" i="53"/>
  <c r="P1611" i="53"/>
  <c r="M1611" i="53"/>
  <c r="P1595" i="53"/>
  <c r="M1595" i="53"/>
  <c r="P1593" i="53"/>
  <c r="P1591" i="53"/>
  <c r="M1591" i="53"/>
  <c r="P1567" i="53"/>
  <c r="E1563" i="53"/>
  <c r="P1562" i="53"/>
  <c r="M1562" i="53"/>
  <c r="P1561" i="53"/>
  <c r="M1561" i="53"/>
  <c r="P1560" i="53"/>
  <c r="M1560" i="53"/>
  <c r="P1559" i="53"/>
  <c r="M1559" i="53"/>
  <c r="P1558" i="53"/>
  <c r="M1558" i="53"/>
  <c r="P1557" i="53"/>
  <c r="M1557" i="53"/>
  <c r="P1556" i="53"/>
  <c r="P1555" i="53"/>
  <c r="M1555" i="53"/>
  <c r="P1554" i="53"/>
  <c r="M1554" i="53"/>
  <c r="P1553" i="53"/>
  <c r="M1553" i="53"/>
  <c r="P1552" i="53"/>
  <c r="M1552" i="53"/>
  <c r="P1551" i="53"/>
  <c r="M1551" i="53"/>
  <c r="P1550" i="53"/>
  <c r="M1550" i="53"/>
  <c r="J1550" i="53"/>
  <c r="I1550" i="53"/>
  <c r="H1550" i="53"/>
  <c r="P1549" i="53"/>
  <c r="M1549" i="53"/>
  <c r="J1549" i="53"/>
  <c r="I1549" i="53"/>
  <c r="H1549" i="53"/>
  <c r="G1549" i="53"/>
  <c r="F1549" i="53"/>
  <c r="P1548" i="53"/>
  <c r="M1548" i="53"/>
  <c r="J1548" i="53"/>
  <c r="H1548" i="53"/>
  <c r="P1547" i="53"/>
  <c r="M1547" i="53"/>
  <c r="P1546" i="53"/>
  <c r="M1546" i="53"/>
  <c r="P1545" i="53"/>
  <c r="M1545" i="53"/>
  <c r="J1545" i="53"/>
  <c r="I1545" i="53"/>
  <c r="H1545" i="53"/>
  <c r="G1545" i="53"/>
  <c r="F1545" i="53"/>
  <c r="P1544" i="53"/>
  <c r="M1544" i="53"/>
  <c r="P1543" i="53"/>
  <c r="M1543" i="53"/>
  <c r="P1542" i="53"/>
  <c r="M1542" i="53"/>
  <c r="P1541" i="53"/>
  <c r="M1541" i="53"/>
  <c r="P1540" i="53"/>
  <c r="M1540" i="53"/>
  <c r="E1539" i="53"/>
  <c r="P1538" i="53"/>
  <c r="M1538" i="53"/>
  <c r="P1537" i="53"/>
  <c r="M1537" i="53"/>
  <c r="P1536" i="53"/>
  <c r="M1536" i="53"/>
  <c r="P1535" i="53"/>
  <c r="M1535" i="53"/>
  <c r="P1534" i="53"/>
  <c r="M1534" i="53"/>
  <c r="P1533" i="53"/>
  <c r="M1533" i="53"/>
  <c r="P1532" i="53"/>
  <c r="M1532" i="53"/>
  <c r="P1531" i="53"/>
  <c r="M1531" i="53"/>
  <c r="P1530" i="53"/>
  <c r="M1530" i="53"/>
  <c r="P1529" i="53"/>
  <c r="M1529" i="53"/>
  <c r="P1528" i="53"/>
  <c r="M1528" i="53"/>
  <c r="P1527" i="53"/>
  <c r="M1527" i="53"/>
  <c r="P1526" i="53"/>
  <c r="M1526" i="53"/>
  <c r="P1525" i="53"/>
  <c r="M1525" i="53"/>
  <c r="P1524" i="53"/>
  <c r="M1524" i="53"/>
  <c r="P1523" i="53"/>
  <c r="M1523" i="53"/>
  <c r="P1522" i="53"/>
  <c r="M1522" i="53"/>
  <c r="P1521" i="53"/>
  <c r="M1521" i="53"/>
  <c r="P1520" i="53"/>
  <c r="M1520" i="53"/>
  <c r="P1519" i="53"/>
  <c r="M1519" i="53"/>
  <c r="P1518" i="53"/>
  <c r="M1518" i="53"/>
  <c r="P1517" i="53"/>
  <c r="M1517" i="53"/>
  <c r="P1516" i="53"/>
  <c r="M1516" i="53"/>
  <c r="P1515" i="53"/>
  <c r="M1515" i="53"/>
  <c r="P1514" i="53"/>
  <c r="M1514" i="53"/>
  <c r="P1513" i="53"/>
  <c r="M1513" i="53"/>
  <c r="P1512" i="53"/>
  <c r="M1512" i="53"/>
  <c r="P1511" i="53"/>
  <c r="M1511" i="53"/>
  <c r="P1510" i="53"/>
  <c r="M1510" i="53"/>
  <c r="P1509" i="53"/>
  <c r="M1509" i="53"/>
  <c r="P1508" i="53"/>
  <c r="M1508" i="53"/>
  <c r="P1507" i="53"/>
  <c r="M1507" i="53"/>
  <c r="P1506" i="53"/>
  <c r="M1506" i="53"/>
  <c r="P1505" i="53"/>
  <c r="M1505" i="53"/>
  <c r="P1504" i="53"/>
  <c r="M1504" i="53"/>
  <c r="P1503" i="53"/>
  <c r="M1503" i="53"/>
  <c r="P1502" i="53"/>
  <c r="M1502" i="53"/>
  <c r="P1501" i="53"/>
  <c r="M1501" i="53"/>
  <c r="P1500" i="53"/>
  <c r="M1500" i="53"/>
  <c r="P1499" i="53"/>
  <c r="M1499" i="53"/>
  <c r="P1498" i="53"/>
  <c r="M1498" i="53"/>
  <c r="P1497" i="53"/>
  <c r="M1497" i="53"/>
  <c r="P1496" i="53"/>
  <c r="M1496" i="53"/>
  <c r="P1495" i="53"/>
  <c r="M1495" i="53"/>
  <c r="P1494" i="53"/>
  <c r="M1494" i="53"/>
  <c r="P1493" i="53"/>
  <c r="M1493" i="53"/>
  <c r="P1492" i="53"/>
  <c r="M1492" i="53"/>
  <c r="P1491" i="53"/>
  <c r="M1491" i="53"/>
  <c r="P1490" i="53"/>
  <c r="M1490" i="53"/>
  <c r="P1489" i="53"/>
  <c r="M1489" i="53"/>
  <c r="P1488" i="53"/>
  <c r="M1488" i="53"/>
  <c r="P1487" i="53"/>
  <c r="M1487" i="53"/>
  <c r="P1486" i="53"/>
  <c r="M1486" i="53"/>
  <c r="P1485" i="53"/>
  <c r="M1485" i="53"/>
  <c r="P1484" i="53"/>
  <c r="M1484" i="53"/>
  <c r="P1483" i="53"/>
  <c r="M1483" i="53"/>
  <c r="P1482" i="53"/>
  <c r="M1482" i="53"/>
  <c r="P1481" i="53"/>
  <c r="M1481" i="53"/>
  <c r="P1480" i="53"/>
  <c r="M1480" i="53"/>
  <c r="P1479" i="53"/>
  <c r="M1479" i="53"/>
  <c r="P1478" i="53"/>
  <c r="M1478" i="53"/>
  <c r="P1477" i="53"/>
  <c r="M1477" i="53"/>
  <c r="P1476" i="53"/>
  <c r="M1476" i="53"/>
  <c r="P1475" i="53"/>
  <c r="M1475" i="53"/>
  <c r="P1474" i="53"/>
  <c r="M1474" i="53"/>
  <c r="P1473" i="53"/>
  <c r="M1473" i="53"/>
  <c r="P1472" i="53"/>
  <c r="M1472" i="53"/>
  <c r="P1471" i="53"/>
  <c r="M1471" i="53"/>
  <c r="P1470" i="53"/>
  <c r="M1470" i="53"/>
  <c r="P1469" i="53"/>
  <c r="M1469" i="53"/>
  <c r="P1468" i="53"/>
  <c r="M1468" i="53"/>
  <c r="P1467" i="53"/>
  <c r="M1467" i="53"/>
  <c r="P1466" i="53"/>
  <c r="M1466" i="53"/>
  <c r="P1465" i="53"/>
  <c r="M1465" i="53"/>
  <c r="P1464" i="53"/>
  <c r="M1464" i="53"/>
  <c r="P1463" i="53"/>
  <c r="M1463" i="53"/>
  <c r="P1462" i="53"/>
  <c r="M1462" i="53"/>
  <c r="P1461" i="53"/>
  <c r="M1461" i="53"/>
  <c r="P1460" i="53"/>
  <c r="M1460" i="53"/>
  <c r="E1459" i="53"/>
  <c r="P1456" i="53"/>
  <c r="P1452" i="53"/>
  <c r="P1451" i="53"/>
  <c r="P1450" i="53"/>
  <c r="P1449" i="53"/>
  <c r="P1446" i="53"/>
  <c r="P1445" i="53"/>
  <c r="P1444" i="53"/>
  <c r="P1443" i="53"/>
  <c r="P1441" i="53"/>
  <c r="P1440" i="53"/>
  <c r="P1438" i="53"/>
  <c r="P1437" i="53"/>
  <c r="P1436" i="53"/>
  <c r="P1435" i="53"/>
  <c r="P1434" i="53"/>
  <c r="P1433" i="53"/>
  <c r="P1432" i="53"/>
  <c r="P1430" i="53"/>
  <c r="P1429" i="53"/>
  <c r="P1428" i="53"/>
  <c r="P1427" i="53"/>
  <c r="P1426" i="53"/>
  <c r="P1425" i="53"/>
  <c r="P1424" i="53"/>
  <c r="P1423" i="53"/>
  <c r="P1422" i="53"/>
  <c r="P1420" i="53"/>
  <c r="P1419" i="53"/>
  <c r="P1418" i="53"/>
  <c r="P1417" i="53"/>
  <c r="P1416" i="53"/>
  <c r="P1415" i="53"/>
  <c r="P1414" i="53"/>
  <c r="P1413" i="53"/>
  <c r="P1412" i="53"/>
  <c r="P1411" i="53"/>
  <c r="P1410" i="53"/>
  <c r="P1409" i="53"/>
  <c r="P1408" i="53"/>
  <c r="P1407" i="53"/>
  <c r="P1406" i="53"/>
  <c r="P1405" i="53"/>
  <c r="P1404" i="53"/>
  <c r="P1403" i="53"/>
  <c r="P1401" i="53"/>
  <c r="P1400" i="53"/>
  <c r="P1399" i="53"/>
  <c r="P1398" i="53"/>
  <c r="P1397" i="53"/>
  <c r="P1396" i="53"/>
  <c r="P1395" i="53"/>
  <c r="P1394" i="53"/>
  <c r="P1393" i="53"/>
  <c r="P1392" i="53"/>
  <c r="P1391" i="53"/>
  <c r="M1388" i="53"/>
  <c r="M1387" i="53"/>
  <c r="M1386" i="53"/>
  <c r="M1385" i="53"/>
  <c r="M1384" i="53"/>
  <c r="M1382" i="53"/>
  <c r="M1375" i="53"/>
  <c r="M1373" i="53"/>
  <c r="M1371" i="53"/>
  <c r="M1368" i="53"/>
  <c r="M1367" i="53"/>
  <c r="M1366" i="53"/>
  <c r="M1362" i="53"/>
  <c r="M1360" i="53"/>
  <c r="M1359" i="53"/>
  <c r="M1358" i="53"/>
  <c r="M1357" i="53"/>
  <c r="M1356" i="53"/>
  <c r="M1355" i="53"/>
  <c r="M1354" i="53"/>
  <c r="M1353" i="53"/>
  <c r="M1352" i="53"/>
  <c r="M1351" i="53"/>
  <c r="M1350" i="53"/>
  <c r="M1349" i="53"/>
  <c r="M1348" i="53"/>
  <c r="M1346" i="53"/>
  <c r="M1344" i="53"/>
  <c r="M1343" i="53"/>
  <c r="M1342" i="53"/>
  <c r="M1340" i="53"/>
  <c r="M1339" i="53"/>
  <c r="M1336" i="53"/>
  <c r="M1334" i="53"/>
  <c r="M1332" i="53"/>
  <c r="M1331" i="53"/>
  <c r="M1330" i="53"/>
  <c r="M1328" i="53"/>
  <c r="M1327" i="53"/>
  <c r="M1326" i="53"/>
  <c r="M1324" i="53"/>
  <c r="M1322" i="53"/>
  <c r="M1319" i="53"/>
  <c r="M1318" i="53"/>
  <c r="M1317" i="53"/>
  <c r="M1313" i="53"/>
  <c r="M1312" i="53"/>
  <c r="M1310" i="53"/>
  <c r="M1307" i="53"/>
  <c r="M1306" i="53"/>
  <c r="M1305" i="53"/>
  <c r="M1304" i="53"/>
  <c r="M1300" i="53"/>
  <c r="M1298" i="53"/>
  <c r="M1297" i="53"/>
  <c r="M1292" i="53"/>
  <c r="M1290" i="53"/>
  <c r="M1287" i="53"/>
  <c r="M1286" i="53"/>
  <c r="M1285" i="53"/>
  <c r="M1284" i="53"/>
  <c r="M1283" i="53"/>
  <c r="M1282" i="53"/>
  <c r="M1281" i="53"/>
  <c r="M1280" i="53"/>
  <c r="M1279" i="53"/>
  <c r="M1278" i="53"/>
  <c r="M1277" i="53"/>
  <c r="M1276" i="53"/>
  <c r="M1275" i="53"/>
  <c r="M1272" i="53"/>
  <c r="M1271" i="53"/>
  <c r="M1270" i="53"/>
  <c r="M1269" i="53"/>
  <c r="M1268" i="53"/>
  <c r="M1266" i="53"/>
  <c r="M1265" i="53"/>
  <c r="M1263" i="53"/>
  <c r="M1262" i="53"/>
  <c r="P1261" i="53"/>
  <c r="P1260" i="53"/>
  <c r="P1259" i="53"/>
  <c r="P1258" i="53"/>
  <c r="P1257" i="53"/>
  <c r="P1256" i="53"/>
  <c r="P1255" i="53"/>
  <c r="P1254" i="53"/>
  <c r="P1253" i="53"/>
  <c r="P1252" i="53"/>
  <c r="P1251" i="53"/>
  <c r="M1248" i="53"/>
  <c r="M1247" i="53"/>
  <c r="M1246" i="53"/>
  <c r="M1245" i="53"/>
  <c r="M1244" i="53"/>
  <c r="M1243" i="53"/>
  <c r="M1242" i="53"/>
  <c r="M1240" i="53"/>
  <c r="M1239" i="53"/>
  <c r="M1238" i="53"/>
  <c r="M1237" i="53"/>
  <c r="M1236" i="53"/>
  <c r="M1235" i="53"/>
  <c r="M1234" i="53"/>
  <c r="M1233" i="53"/>
  <c r="M1232" i="53"/>
  <c r="E1231" i="53"/>
  <c r="P1158" i="53"/>
  <c r="M1158" i="53"/>
  <c r="P1157" i="53"/>
  <c r="M1157" i="53"/>
  <c r="P1156" i="53"/>
  <c r="M1156" i="53"/>
  <c r="P1155" i="53"/>
  <c r="M1155" i="53"/>
  <c r="M1152" i="53"/>
  <c r="P1151" i="53"/>
  <c r="M1151" i="53"/>
  <c r="P1150" i="53"/>
  <c r="P1149" i="53"/>
  <c r="P1148" i="53"/>
  <c r="P1147" i="53"/>
  <c r="M1146" i="53"/>
  <c r="M1145" i="53"/>
  <c r="M1144" i="53"/>
  <c r="P1143" i="53"/>
  <c r="P1142" i="53"/>
  <c r="P1141" i="53"/>
  <c r="M1141" i="53"/>
  <c r="P1140" i="53"/>
  <c r="P1139" i="53"/>
  <c r="M1139" i="53"/>
  <c r="M1138" i="53"/>
  <c r="P1137" i="53"/>
  <c r="M1137" i="53"/>
  <c r="E1137" i="53"/>
  <c r="H396" i="79"/>
  <c r="G396" i="79"/>
  <c r="H376" i="79"/>
  <c r="G376" i="79"/>
  <c r="H352" i="79"/>
  <c r="G352" i="79"/>
  <c r="H332" i="79"/>
  <c r="G332" i="79"/>
  <c r="H303" i="79"/>
  <c r="G303" i="79"/>
  <c r="H267" i="79"/>
  <c r="G267" i="79"/>
  <c r="H262" i="79"/>
  <c r="G262" i="79"/>
  <c r="H253" i="79"/>
  <c r="G253" i="79"/>
  <c r="H229" i="79"/>
  <c r="G229" i="79"/>
  <c r="H209" i="79"/>
  <c r="G209" i="79"/>
  <c r="H189" i="79"/>
  <c r="G189" i="79"/>
  <c r="H153" i="79"/>
  <c r="H148" i="79"/>
  <c r="H162" i="79" s="1"/>
  <c r="G148" i="79"/>
  <c r="G162" i="79" s="1"/>
  <c r="H139" i="79"/>
  <c r="G139" i="79"/>
  <c r="H119" i="79"/>
  <c r="G119" i="79"/>
  <c r="H96" i="79"/>
  <c r="G96" i="79"/>
  <c r="H69" i="79"/>
  <c r="G69" i="79"/>
  <c r="H49" i="79"/>
  <c r="G49" i="79"/>
  <c r="H26" i="79"/>
  <c r="G26" i="79"/>
  <c r="G276" i="79" l="1"/>
  <c r="M1459" i="53"/>
  <c r="P1459" i="53"/>
  <c r="M1539" i="53"/>
  <c r="M1635" i="53"/>
  <c r="P2655" i="53"/>
  <c r="P3500" i="53"/>
  <c r="P4205" i="53"/>
  <c r="M5410" i="53"/>
  <c r="P1539" i="53"/>
  <c r="M2692" i="53"/>
  <c r="P2692" i="53"/>
  <c r="M2458" i="53"/>
  <c r="P2458" i="53"/>
  <c r="P4423" i="53"/>
  <c r="P1563" i="53"/>
  <c r="M1231" i="53"/>
  <c r="P1231" i="53"/>
  <c r="M4205" i="53"/>
  <c r="M4991" i="53"/>
  <c r="P5410" i="53"/>
  <c r="P2502" i="53"/>
  <c r="M1563" i="53"/>
  <c r="P1635" i="53"/>
  <c r="M2502" i="53"/>
  <c r="M2655" i="53"/>
  <c r="E4205" i="53"/>
  <c r="E5411" i="53" s="1"/>
  <c r="M4423" i="53"/>
  <c r="P4991" i="53"/>
  <c r="H276" i="79"/>
  <c r="H397" i="79" s="1"/>
  <c r="G397" i="79"/>
  <c r="M5411" i="53" l="1"/>
  <c r="P5411" i="53"/>
  <c r="B19" i="73"/>
  <c r="B7" i="73"/>
  <c r="F60" i="50"/>
  <c r="D139" i="76"/>
  <c r="C139" i="76"/>
  <c r="B139" i="76"/>
  <c r="D93" i="76"/>
  <c r="C93" i="76"/>
  <c r="B93" i="76"/>
  <c r="D47" i="76"/>
  <c r="C47" i="76"/>
  <c r="B47" i="76"/>
  <c r="M23" i="30"/>
  <c r="L23" i="30"/>
  <c r="K23" i="30"/>
  <c r="J23" i="30"/>
  <c r="H23" i="30"/>
  <c r="G23" i="30"/>
  <c r="F23" i="30"/>
  <c r="E23" i="30"/>
  <c r="D23" i="30"/>
  <c r="C23" i="30"/>
  <c r="N22" i="30"/>
  <c r="I22" i="30"/>
  <c r="N21" i="30"/>
  <c r="I21" i="30"/>
  <c r="N20" i="30"/>
  <c r="I20" i="30"/>
  <c r="N19" i="30"/>
  <c r="Q19" i="30" s="1"/>
  <c r="I19" i="30"/>
  <c r="N18" i="30"/>
  <c r="I18" i="30"/>
  <c r="N17" i="30"/>
  <c r="I17" i="30"/>
  <c r="N16" i="30"/>
  <c r="I16" i="30"/>
  <c r="N15" i="30"/>
  <c r="Q15" i="30" s="1"/>
  <c r="I15" i="30"/>
  <c r="N14" i="30"/>
  <c r="I14" i="30"/>
  <c r="N13" i="30"/>
  <c r="I13" i="30"/>
  <c r="N12" i="30"/>
  <c r="I12" i="30"/>
  <c r="N11" i="30"/>
  <c r="Q11" i="30" s="1"/>
  <c r="I11" i="30"/>
  <c r="N10" i="30"/>
  <c r="I10" i="30"/>
  <c r="N9" i="30"/>
  <c r="I9" i="30"/>
  <c r="N8" i="30"/>
  <c r="I8" i="30"/>
  <c r="N7" i="30"/>
  <c r="Q7" i="30" s="1"/>
  <c r="I7" i="30"/>
  <c r="N6" i="30"/>
  <c r="I6" i="30"/>
  <c r="N5" i="30"/>
  <c r="I5" i="30"/>
  <c r="I23" i="30" s="1"/>
  <c r="E86" i="39"/>
  <c r="E85" i="39"/>
  <c r="F84" i="39"/>
  <c r="E84" i="39"/>
  <c r="E243" i="51"/>
  <c r="E168" i="51"/>
  <c r="E166" i="51"/>
  <c r="E161" i="51"/>
  <c r="E160" i="51"/>
  <c r="E159" i="51"/>
  <c r="E156" i="51"/>
  <c r="E155" i="51"/>
  <c r="E150" i="51"/>
  <c r="E144" i="51"/>
  <c r="E31" i="51"/>
  <c r="E29" i="51"/>
  <c r="E24" i="51"/>
  <c r="E23" i="51"/>
  <c r="E22" i="51"/>
  <c r="E19" i="51"/>
  <c r="E18" i="51"/>
  <c r="E13" i="51"/>
  <c r="E7" i="51"/>
  <c r="F38" i="33"/>
  <c r="E38" i="33"/>
  <c r="D38" i="33"/>
  <c r="C38" i="33"/>
  <c r="B38" i="33"/>
  <c r="I36" i="33"/>
  <c r="J35" i="33"/>
  <c r="I35" i="33"/>
  <c r="H35" i="33"/>
  <c r="G35" i="33"/>
  <c r="I34" i="33"/>
  <c r="J33" i="33"/>
  <c r="I33" i="33"/>
  <c r="H33" i="33"/>
  <c r="G33" i="33"/>
  <c r="J32" i="33"/>
  <c r="I32" i="33"/>
  <c r="H32" i="33"/>
  <c r="G32" i="33"/>
  <c r="J31" i="33"/>
  <c r="I31" i="33"/>
  <c r="H31" i="33"/>
  <c r="G31" i="33"/>
  <c r="J30" i="33"/>
  <c r="I30" i="33"/>
  <c r="H30" i="33"/>
  <c r="G30" i="33"/>
  <c r="J29" i="33"/>
  <c r="I29" i="33"/>
  <c r="G29" i="33"/>
  <c r="J28" i="33"/>
  <c r="I28" i="33"/>
  <c r="G28" i="33"/>
  <c r="J27" i="33"/>
  <c r="I27" i="33"/>
  <c r="H27" i="33"/>
  <c r="G27" i="33"/>
  <c r="J26" i="33"/>
  <c r="I26" i="33"/>
  <c r="H26" i="33"/>
  <c r="G26" i="33"/>
  <c r="J25" i="33"/>
  <c r="I25" i="33"/>
  <c r="H25" i="33"/>
  <c r="G25" i="33"/>
  <c r="I24" i="33"/>
  <c r="I23" i="33"/>
  <c r="J22" i="33"/>
  <c r="I22" i="33"/>
  <c r="H22" i="33"/>
  <c r="G22" i="33"/>
  <c r="I21" i="33"/>
  <c r="I20" i="33"/>
  <c r="I19" i="33"/>
  <c r="J18" i="33"/>
  <c r="I18" i="33"/>
  <c r="H18" i="33"/>
  <c r="G18" i="33"/>
  <c r="J17" i="33"/>
  <c r="I17" i="33"/>
  <c r="H17" i="33"/>
  <c r="G17" i="33"/>
  <c r="J16" i="33"/>
  <c r="I16" i="33"/>
  <c r="H16" i="33"/>
  <c r="G16" i="33"/>
  <c r="J15" i="33"/>
  <c r="I15" i="33"/>
  <c r="H15" i="33"/>
  <c r="G15" i="33"/>
  <c r="J14" i="33"/>
  <c r="I14" i="33"/>
  <c r="H14" i="33"/>
  <c r="G14" i="33"/>
  <c r="I13" i="33"/>
  <c r="J12" i="33"/>
  <c r="I12" i="33"/>
  <c r="H12" i="33"/>
  <c r="G12" i="33"/>
  <c r="J11" i="33"/>
  <c r="I11" i="33"/>
  <c r="H11" i="33"/>
  <c r="G11" i="33"/>
  <c r="I10" i="33"/>
  <c r="I9" i="33"/>
  <c r="I8" i="33"/>
  <c r="J7" i="33"/>
  <c r="I7" i="33"/>
  <c r="H7" i="33"/>
  <c r="G7" i="33"/>
  <c r="J6" i="33"/>
  <c r="I6" i="33"/>
  <c r="H6" i="33"/>
  <c r="G6" i="33"/>
  <c r="Q12" i="30" l="1"/>
  <c r="Q20" i="30"/>
  <c r="Q9" i="30"/>
  <c r="Q17" i="30"/>
  <c r="Q21" i="30"/>
  <c r="Q8" i="30"/>
  <c r="Q16" i="30"/>
  <c r="N23" i="30"/>
  <c r="Q13" i="30"/>
  <c r="Q6" i="30"/>
  <c r="Q10" i="30"/>
  <c r="Q14" i="30"/>
  <c r="Q18" i="30"/>
  <c r="Q22" i="30"/>
  <c r="G38" i="33"/>
  <c r="Q5" i="30"/>
  <c r="Q23" i="30" l="1"/>
  <c r="R5" i="30"/>
  <c r="R6" i="30" l="1"/>
  <c r="R23" i="30" s="1"/>
  <c r="R14" i="30"/>
  <c r="R7" i="30"/>
  <c r="R15" i="30"/>
  <c r="R8" i="30"/>
  <c r="R16" i="30"/>
  <c r="R9" i="30"/>
  <c r="R17" i="30"/>
  <c r="R10" i="30"/>
  <c r="R18" i="30"/>
  <c r="R11" i="30"/>
  <c r="R19" i="30"/>
  <c r="R12" i="30"/>
  <c r="R20" i="30"/>
  <c r="R13" i="30"/>
  <c r="R21" i="30"/>
  <c r="AI143" i="45" l="1"/>
  <c r="AC141" i="45"/>
  <c r="AD141" i="45" s="1"/>
  <c r="AF141" i="45" s="1"/>
  <c r="AA140" i="45"/>
  <c r="AC140" i="45" s="1"/>
  <c r="R140" i="45"/>
  <c r="Z140" i="45" s="1"/>
  <c r="L140" i="45"/>
  <c r="N140" i="45" s="1"/>
  <c r="C140" i="45"/>
  <c r="K140" i="45" s="1"/>
  <c r="O140" i="45" s="1"/>
  <c r="AC139" i="45"/>
  <c r="Z139" i="45"/>
  <c r="AD139" i="45" s="1"/>
  <c r="AE139" i="45" s="1"/>
  <c r="N139" i="45"/>
  <c r="K139" i="45"/>
  <c r="AA138" i="45"/>
  <c r="AC138" i="45" s="1"/>
  <c r="AD138" i="45" s="1"/>
  <c r="AE138" i="45" s="1"/>
  <c r="R138" i="45"/>
  <c r="Z138" i="45" s="1"/>
  <c r="N138" i="45"/>
  <c r="C138" i="45"/>
  <c r="K138" i="45" s="1"/>
  <c r="O138" i="45" s="1"/>
  <c r="AA137" i="45"/>
  <c r="AC137" i="45" s="1"/>
  <c r="R137" i="45"/>
  <c r="L137" i="45"/>
  <c r="N137" i="45" s="1"/>
  <c r="C137" i="45"/>
  <c r="K137" i="45" s="1"/>
  <c r="AA136" i="45"/>
  <c r="R136" i="45"/>
  <c r="Z136" i="45" s="1"/>
  <c r="N136" i="45"/>
  <c r="C136" i="45"/>
  <c r="K136" i="45" s="1"/>
  <c r="O136" i="45" s="1"/>
  <c r="AC135" i="45"/>
  <c r="R135" i="45"/>
  <c r="Z135" i="45" s="1"/>
  <c r="N135" i="45"/>
  <c r="K135" i="45"/>
  <c r="AG134" i="45"/>
  <c r="AF134" i="45"/>
  <c r="AH133" i="45"/>
  <c r="AB133" i="45"/>
  <c r="Y133" i="45"/>
  <c r="X133" i="45"/>
  <c r="W133" i="45"/>
  <c r="V133" i="45"/>
  <c r="U133" i="45"/>
  <c r="T133" i="45"/>
  <c r="S133" i="45"/>
  <c r="Q133" i="45"/>
  <c r="M133" i="45"/>
  <c r="J133" i="45"/>
  <c r="I133" i="45"/>
  <c r="H133" i="45"/>
  <c r="G133" i="45"/>
  <c r="F133" i="45"/>
  <c r="E133" i="45"/>
  <c r="D133" i="45"/>
  <c r="B133" i="45"/>
  <c r="AG132" i="45"/>
  <c r="AF132" i="45"/>
  <c r="AA131" i="45"/>
  <c r="AA127" i="45" s="1"/>
  <c r="R131" i="45"/>
  <c r="Z131" i="45" s="1"/>
  <c r="N131" i="45"/>
  <c r="C131" i="45"/>
  <c r="K131" i="45" s="1"/>
  <c r="AC130" i="45"/>
  <c r="R130" i="45"/>
  <c r="Z130" i="45" s="1"/>
  <c r="AD130" i="45" s="1"/>
  <c r="AE130" i="45" s="1"/>
  <c r="N130" i="45"/>
  <c r="C130" i="45"/>
  <c r="K130" i="45" s="1"/>
  <c r="AC129" i="45"/>
  <c r="R129" i="45"/>
  <c r="N129" i="45"/>
  <c r="C129" i="45"/>
  <c r="AG128" i="45"/>
  <c r="AF128" i="45"/>
  <c r="AH127" i="45"/>
  <c r="AB127" i="45"/>
  <c r="Y127" i="45"/>
  <c r="X127" i="45"/>
  <c r="W127" i="45"/>
  <c r="V127" i="45"/>
  <c r="U127" i="45"/>
  <c r="T127" i="45"/>
  <c r="S127" i="45"/>
  <c r="Q127" i="45"/>
  <c r="M127" i="45"/>
  <c r="L127" i="45"/>
  <c r="J127" i="45"/>
  <c r="I127" i="45"/>
  <c r="H127" i="45"/>
  <c r="G127" i="45"/>
  <c r="F127" i="45"/>
  <c r="E127" i="45"/>
  <c r="D127" i="45"/>
  <c r="B127" i="45"/>
  <c r="AG126" i="45"/>
  <c r="AF126" i="45"/>
  <c r="AA125" i="45"/>
  <c r="AC125" i="45" s="1"/>
  <c r="AC123" i="45" s="1"/>
  <c r="R125" i="45"/>
  <c r="R123" i="45" s="1"/>
  <c r="N125" i="45"/>
  <c r="N123" i="45" s="1"/>
  <c r="C125" i="45"/>
  <c r="K125" i="45" s="1"/>
  <c r="K123" i="45" s="1"/>
  <c r="AG124" i="45"/>
  <c r="AF124" i="45"/>
  <c r="AH123" i="45"/>
  <c r="AB123" i="45"/>
  <c r="AA123" i="45"/>
  <c r="Y123" i="45"/>
  <c r="X123" i="45"/>
  <c r="W123" i="45"/>
  <c r="V123" i="45"/>
  <c r="U123" i="45"/>
  <c r="T123" i="45"/>
  <c r="S123" i="45"/>
  <c r="Q123" i="45"/>
  <c r="M123" i="45"/>
  <c r="L123" i="45"/>
  <c r="J123" i="45"/>
  <c r="I123" i="45"/>
  <c r="H123" i="45"/>
  <c r="G123" i="45"/>
  <c r="F123" i="45"/>
  <c r="E123" i="45"/>
  <c r="D123" i="45"/>
  <c r="B123" i="45"/>
  <c r="AG122" i="45"/>
  <c r="AF122" i="45"/>
  <c r="AA121" i="45"/>
  <c r="AC121" i="45" s="1"/>
  <c r="R121" i="45"/>
  <c r="N121" i="45"/>
  <c r="C121" i="45"/>
  <c r="AA120" i="45"/>
  <c r="R120" i="45"/>
  <c r="Z120" i="45" s="1"/>
  <c r="N120" i="45"/>
  <c r="C120" i="45"/>
  <c r="K120" i="45" s="1"/>
  <c r="AG119" i="45"/>
  <c r="AF119" i="45"/>
  <c r="AH118" i="45"/>
  <c r="AB118" i="45"/>
  <c r="Y118" i="45"/>
  <c r="X118" i="45"/>
  <c r="W118" i="45"/>
  <c r="V118" i="45"/>
  <c r="U118" i="45"/>
  <c r="T118" i="45"/>
  <c r="S118" i="45"/>
  <c r="Q118" i="45"/>
  <c r="N118" i="45"/>
  <c r="M118" i="45"/>
  <c r="L118" i="45"/>
  <c r="J118" i="45"/>
  <c r="I118" i="45"/>
  <c r="H118" i="45"/>
  <c r="G118" i="45"/>
  <c r="F118" i="45"/>
  <c r="E118" i="45"/>
  <c r="D118" i="45"/>
  <c r="B118" i="45"/>
  <c r="AG117" i="45"/>
  <c r="AF117" i="45"/>
  <c r="AC116" i="45"/>
  <c r="R116" i="45"/>
  <c r="Z116" i="45" s="1"/>
  <c r="N116" i="45"/>
  <c r="C116" i="45"/>
  <c r="K116" i="45" s="1"/>
  <c r="O116" i="45" s="1"/>
  <c r="P116" i="45" s="1"/>
  <c r="AC115" i="45"/>
  <c r="R115" i="45"/>
  <c r="Z115" i="45" s="1"/>
  <c r="AD115" i="45" s="1"/>
  <c r="AE115" i="45" s="1"/>
  <c r="N115" i="45"/>
  <c r="C115" i="45"/>
  <c r="K115" i="45" s="1"/>
  <c r="AC114" i="45"/>
  <c r="R114" i="45"/>
  <c r="Z114" i="45" s="1"/>
  <c r="N114" i="45"/>
  <c r="K114" i="45"/>
  <c r="O114" i="45" s="1"/>
  <c r="P114" i="45" s="1"/>
  <c r="C114" i="45"/>
  <c r="AC113" i="45"/>
  <c r="R113" i="45"/>
  <c r="Z113" i="45" s="1"/>
  <c r="AD113" i="45" s="1"/>
  <c r="AE113" i="45" s="1"/>
  <c r="N113" i="45"/>
  <c r="C113" i="45"/>
  <c r="K113" i="45" s="1"/>
  <c r="O113" i="45" s="1"/>
  <c r="P113" i="45" s="1"/>
  <c r="AC112" i="45"/>
  <c r="R112" i="45"/>
  <c r="Z112" i="45" s="1"/>
  <c r="N112" i="45"/>
  <c r="C112" i="45"/>
  <c r="K112" i="45" s="1"/>
  <c r="O112" i="45" s="1"/>
  <c r="P112" i="45" s="1"/>
  <c r="AC111" i="45"/>
  <c r="R111" i="45"/>
  <c r="Z111" i="45" s="1"/>
  <c r="AD111" i="45" s="1"/>
  <c r="AE111" i="45" s="1"/>
  <c r="N111" i="45"/>
  <c r="C111" i="45"/>
  <c r="K111" i="45" s="1"/>
  <c r="AC110" i="45"/>
  <c r="R110" i="45"/>
  <c r="Z110" i="45" s="1"/>
  <c r="N110" i="45"/>
  <c r="C110" i="45"/>
  <c r="K110" i="45" s="1"/>
  <c r="O110" i="45" s="1"/>
  <c r="P110" i="45" s="1"/>
  <c r="AC109" i="45"/>
  <c r="R109" i="45"/>
  <c r="Z109" i="45" s="1"/>
  <c r="AD109" i="45" s="1"/>
  <c r="AE109" i="45" s="1"/>
  <c r="N109" i="45"/>
  <c r="C109" i="45"/>
  <c r="K109" i="45" s="1"/>
  <c r="O109" i="45" s="1"/>
  <c r="P109" i="45" s="1"/>
  <c r="AC108" i="45"/>
  <c r="R108" i="45"/>
  <c r="Z108" i="45" s="1"/>
  <c r="N108" i="45"/>
  <c r="C108" i="45"/>
  <c r="K108" i="45" s="1"/>
  <c r="O108" i="45" s="1"/>
  <c r="P108" i="45" s="1"/>
  <c r="AC107" i="45"/>
  <c r="R107" i="45"/>
  <c r="Z107" i="45" s="1"/>
  <c r="AD107" i="45" s="1"/>
  <c r="AE107" i="45" s="1"/>
  <c r="N107" i="45"/>
  <c r="C107" i="45"/>
  <c r="K107" i="45" s="1"/>
  <c r="AC106" i="45"/>
  <c r="R106" i="45"/>
  <c r="Z106" i="45" s="1"/>
  <c r="N106" i="45"/>
  <c r="C106" i="45"/>
  <c r="K106" i="45" s="1"/>
  <c r="O106" i="45" s="1"/>
  <c r="P106" i="45" s="1"/>
  <c r="AC105" i="45"/>
  <c r="R105" i="45"/>
  <c r="Z105" i="45" s="1"/>
  <c r="AD105" i="45" s="1"/>
  <c r="AE105" i="45" s="1"/>
  <c r="N105" i="45"/>
  <c r="C105" i="45"/>
  <c r="K105" i="45" s="1"/>
  <c r="AC104" i="45"/>
  <c r="R104" i="45"/>
  <c r="Z104" i="45" s="1"/>
  <c r="N104" i="45"/>
  <c r="C104" i="45"/>
  <c r="K104" i="45" s="1"/>
  <c r="O104" i="45" s="1"/>
  <c r="P104" i="45" s="1"/>
  <c r="AC103" i="45"/>
  <c r="R103" i="45"/>
  <c r="Z103" i="45" s="1"/>
  <c r="AD103" i="45" s="1"/>
  <c r="AE103" i="45" s="1"/>
  <c r="N103" i="45"/>
  <c r="C103" i="45"/>
  <c r="K103" i="45" s="1"/>
  <c r="AE102" i="45"/>
  <c r="N102" i="45"/>
  <c r="K102" i="45"/>
  <c r="O102" i="45" s="1"/>
  <c r="P102" i="45" s="1"/>
  <c r="AC101" i="45"/>
  <c r="Z101" i="45"/>
  <c r="AD101" i="45" s="1"/>
  <c r="AE101" i="45" s="1"/>
  <c r="R101" i="45"/>
  <c r="N101" i="45"/>
  <c r="C101" i="45"/>
  <c r="K101" i="45" s="1"/>
  <c r="O101" i="45" s="1"/>
  <c r="AC100" i="45"/>
  <c r="R100" i="45"/>
  <c r="Z100" i="45" s="1"/>
  <c r="N100" i="45"/>
  <c r="C100" i="45"/>
  <c r="K100" i="45" s="1"/>
  <c r="O100" i="45" s="1"/>
  <c r="AC99" i="45"/>
  <c r="R99" i="45"/>
  <c r="Z99" i="45" s="1"/>
  <c r="N99" i="45"/>
  <c r="C99" i="45"/>
  <c r="K99" i="45" s="1"/>
  <c r="O99" i="45" s="1"/>
  <c r="P99" i="45" s="1"/>
  <c r="AC98" i="45"/>
  <c r="R98" i="45"/>
  <c r="Z98" i="45" s="1"/>
  <c r="AD98" i="45" s="1"/>
  <c r="AE98" i="45" s="1"/>
  <c r="N98" i="45"/>
  <c r="C98" i="45"/>
  <c r="K98" i="45" s="1"/>
  <c r="AC97" i="45"/>
  <c r="R97" i="45"/>
  <c r="Z97" i="45" s="1"/>
  <c r="AD97" i="45" s="1"/>
  <c r="AE97" i="45" s="1"/>
  <c r="N97" i="45"/>
  <c r="C97" i="45"/>
  <c r="K97" i="45" s="1"/>
  <c r="AC96" i="45"/>
  <c r="AC94" i="45" s="1"/>
  <c r="R96" i="45"/>
  <c r="Z96" i="45" s="1"/>
  <c r="AD96" i="45" s="1"/>
  <c r="N96" i="45"/>
  <c r="C96" i="45"/>
  <c r="AG95" i="45"/>
  <c r="AF95" i="45"/>
  <c r="AH94" i="45"/>
  <c r="AB94" i="45"/>
  <c r="AA94" i="45"/>
  <c r="Y94" i="45"/>
  <c r="X94" i="45"/>
  <c r="W94" i="45"/>
  <c r="V94" i="45"/>
  <c r="U94" i="45"/>
  <c r="T94" i="45"/>
  <c r="S94" i="45"/>
  <c r="Q94" i="45"/>
  <c r="M94" i="45"/>
  <c r="L94" i="45"/>
  <c r="J94" i="45"/>
  <c r="I94" i="45"/>
  <c r="H94" i="45"/>
  <c r="G94" i="45"/>
  <c r="F94" i="45"/>
  <c r="E94" i="45"/>
  <c r="D94" i="45"/>
  <c r="B94" i="45"/>
  <c r="AG93" i="45"/>
  <c r="AF93" i="45"/>
  <c r="AC92" i="45"/>
  <c r="R92" i="45"/>
  <c r="Z92" i="45" s="1"/>
  <c r="AD92" i="45" s="1"/>
  <c r="AE92" i="45" s="1"/>
  <c r="N92" i="45"/>
  <c r="C92" i="45"/>
  <c r="K92" i="45" s="1"/>
  <c r="O92" i="45" s="1"/>
  <c r="P92" i="45" s="1"/>
  <c r="AC91" i="45"/>
  <c r="R91" i="45"/>
  <c r="Z91" i="45" s="1"/>
  <c r="N91" i="45"/>
  <c r="C91" i="45"/>
  <c r="K91" i="45" s="1"/>
  <c r="O91" i="45" s="1"/>
  <c r="AC90" i="45"/>
  <c r="R90" i="45"/>
  <c r="Z90" i="45" s="1"/>
  <c r="AD90" i="45" s="1"/>
  <c r="AE90" i="45" s="1"/>
  <c r="N90" i="45"/>
  <c r="C90" i="45"/>
  <c r="K90" i="45" s="1"/>
  <c r="O90" i="45" s="1"/>
  <c r="AC89" i="45"/>
  <c r="Z89" i="45"/>
  <c r="N89" i="45"/>
  <c r="C89" i="45"/>
  <c r="K89" i="45" s="1"/>
  <c r="O89" i="45" s="1"/>
  <c r="AC88" i="45"/>
  <c r="R88" i="45"/>
  <c r="Z88" i="45" s="1"/>
  <c r="N88" i="45"/>
  <c r="C88" i="45"/>
  <c r="K88" i="45" s="1"/>
  <c r="AC87" i="45"/>
  <c r="R87" i="45"/>
  <c r="Z87" i="45" s="1"/>
  <c r="N87" i="45"/>
  <c r="C87" i="45"/>
  <c r="K87" i="45" s="1"/>
  <c r="AC86" i="45"/>
  <c r="R86" i="45"/>
  <c r="Z86" i="45" s="1"/>
  <c r="N86" i="45"/>
  <c r="C86" i="45"/>
  <c r="K86" i="45" s="1"/>
  <c r="AC85" i="45"/>
  <c r="Z85" i="45"/>
  <c r="AC84" i="45"/>
  <c r="R84" i="45"/>
  <c r="Z84" i="45" s="1"/>
  <c r="N84" i="45"/>
  <c r="C84" i="45"/>
  <c r="K84" i="45" s="1"/>
  <c r="O84" i="45" s="1"/>
  <c r="AC83" i="45"/>
  <c r="R83" i="45"/>
  <c r="Z83" i="45" s="1"/>
  <c r="AD83" i="45" s="1"/>
  <c r="AE83" i="45" s="1"/>
  <c r="N83" i="45"/>
  <c r="C83" i="45"/>
  <c r="K83" i="45" s="1"/>
  <c r="O83" i="45" s="1"/>
  <c r="P83" i="45" s="1"/>
  <c r="AC82" i="45"/>
  <c r="R82" i="45"/>
  <c r="Z82" i="45" s="1"/>
  <c r="AD82" i="45" s="1"/>
  <c r="AE82" i="45" s="1"/>
  <c r="N82" i="45"/>
  <c r="C82" i="45"/>
  <c r="K82" i="45" s="1"/>
  <c r="AE81" i="45"/>
  <c r="AC81" i="45"/>
  <c r="R81" i="45"/>
  <c r="Z81" i="45" s="1"/>
  <c r="AD81" i="45" s="1"/>
  <c r="N81" i="45"/>
  <c r="C81" i="45"/>
  <c r="K81" i="45" s="1"/>
  <c r="O81" i="45" s="1"/>
  <c r="P81" i="45" s="1"/>
  <c r="AC80" i="45"/>
  <c r="R80" i="45"/>
  <c r="Z80" i="45" s="1"/>
  <c r="N80" i="45"/>
  <c r="C80" i="45"/>
  <c r="K80" i="45" s="1"/>
  <c r="AC79" i="45"/>
  <c r="R79" i="45"/>
  <c r="Z79" i="45" s="1"/>
  <c r="N79" i="45"/>
  <c r="C79" i="45"/>
  <c r="K79" i="45" s="1"/>
  <c r="O79" i="45" s="1"/>
  <c r="P79" i="45" s="1"/>
  <c r="AC78" i="45"/>
  <c r="Z78" i="45"/>
  <c r="AD78" i="45" s="1"/>
  <c r="AE78" i="45" s="1"/>
  <c r="N78" i="45"/>
  <c r="K78" i="45"/>
  <c r="AC77" i="45"/>
  <c r="R77" i="45"/>
  <c r="Z77" i="45" s="1"/>
  <c r="N77" i="45"/>
  <c r="C77" i="45"/>
  <c r="K77" i="45" s="1"/>
  <c r="AC76" i="45"/>
  <c r="R76" i="45"/>
  <c r="Z76" i="45" s="1"/>
  <c r="N76" i="45"/>
  <c r="C76" i="45"/>
  <c r="K76" i="45" s="1"/>
  <c r="O76" i="45" s="1"/>
  <c r="AC75" i="45"/>
  <c r="R75" i="45"/>
  <c r="Z75" i="45" s="1"/>
  <c r="N75" i="45"/>
  <c r="C75" i="45"/>
  <c r="K75" i="45" s="1"/>
  <c r="O75" i="45" s="1"/>
  <c r="AC74" i="45"/>
  <c r="R74" i="45"/>
  <c r="Z74" i="45" s="1"/>
  <c r="N74" i="45"/>
  <c r="C74" i="45"/>
  <c r="K74" i="45" s="1"/>
  <c r="O74" i="45" s="1"/>
  <c r="AC73" i="45"/>
  <c r="R73" i="45"/>
  <c r="Z73" i="45" s="1"/>
  <c r="N73" i="45"/>
  <c r="C73" i="45"/>
  <c r="K73" i="45" s="1"/>
  <c r="O73" i="45" s="1"/>
  <c r="AC72" i="45"/>
  <c r="R72" i="45"/>
  <c r="Z72" i="45" s="1"/>
  <c r="N72" i="45"/>
  <c r="C72" i="45"/>
  <c r="K72" i="45" s="1"/>
  <c r="O72" i="45" s="1"/>
  <c r="AC71" i="45"/>
  <c r="R71" i="45"/>
  <c r="Z71" i="45" s="1"/>
  <c r="N71" i="45"/>
  <c r="K71" i="45"/>
  <c r="O71" i="45" s="1"/>
  <c r="AC70" i="45"/>
  <c r="R70" i="45"/>
  <c r="Z70" i="45" s="1"/>
  <c r="N70" i="45"/>
  <c r="K70" i="45"/>
  <c r="O70" i="45" s="1"/>
  <c r="AC69" i="45"/>
  <c r="R69" i="45"/>
  <c r="Z69" i="45" s="1"/>
  <c r="N69" i="45"/>
  <c r="K69" i="45"/>
  <c r="O69" i="45" s="1"/>
  <c r="P69" i="45" s="1"/>
  <c r="AC68" i="45"/>
  <c r="R68" i="45"/>
  <c r="Z68" i="45" s="1"/>
  <c r="AD68" i="45" s="1"/>
  <c r="AE68" i="45" s="1"/>
  <c r="N68" i="45"/>
  <c r="K68" i="45"/>
  <c r="AC67" i="45"/>
  <c r="R67" i="45"/>
  <c r="Z67" i="45" s="1"/>
  <c r="N67" i="45"/>
  <c r="C67" i="45"/>
  <c r="K67" i="45" s="1"/>
  <c r="AC66" i="45"/>
  <c r="R66" i="45"/>
  <c r="Z66" i="45" s="1"/>
  <c r="N66" i="45"/>
  <c r="C66" i="45"/>
  <c r="K66" i="45" s="1"/>
  <c r="AC65" i="45"/>
  <c r="R65" i="45"/>
  <c r="Z65" i="45" s="1"/>
  <c r="O65" i="45"/>
  <c r="N65" i="45"/>
  <c r="C65" i="45"/>
  <c r="K65" i="45" s="1"/>
  <c r="AC64" i="45"/>
  <c r="R64" i="45"/>
  <c r="Z64" i="45" s="1"/>
  <c r="AD64" i="45" s="1"/>
  <c r="AE64" i="45" s="1"/>
  <c r="N64" i="45"/>
  <c r="C64" i="45"/>
  <c r="K64" i="45" s="1"/>
  <c r="AC63" i="45"/>
  <c r="R63" i="45"/>
  <c r="Z63" i="45" s="1"/>
  <c r="N63" i="45"/>
  <c r="C63" i="45"/>
  <c r="AG62" i="45"/>
  <c r="AF62" i="45"/>
  <c r="AH61" i="45"/>
  <c r="AB61" i="45"/>
  <c r="AA61" i="45"/>
  <c r="Y61" i="45"/>
  <c r="X61" i="45"/>
  <c r="W61" i="45"/>
  <c r="V61" i="45"/>
  <c r="U61" i="45"/>
  <c r="T61" i="45"/>
  <c r="S61" i="45"/>
  <c r="Q61" i="45"/>
  <c r="M61" i="45"/>
  <c r="L61" i="45"/>
  <c r="J61" i="45"/>
  <c r="I61" i="45"/>
  <c r="H61" i="45"/>
  <c r="G61" i="45"/>
  <c r="F61" i="45"/>
  <c r="E61" i="45"/>
  <c r="D61" i="45"/>
  <c r="B61" i="45"/>
  <c r="AG60" i="45"/>
  <c r="AF60" i="45"/>
  <c r="AC59" i="45"/>
  <c r="R59" i="45"/>
  <c r="Z59" i="45" s="1"/>
  <c r="AD59" i="45" s="1"/>
  <c r="AE59" i="45" s="1"/>
  <c r="N59" i="45"/>
  <c r="C59" i="45"/>
  <c r="K59" i="45" s="1"/>
  <c r="O59" i="45" s="1"/>
  <c r="P59" i="45" s="1"/>
  <c r="AG59" i="45" s="1"/>
  <c r="AC58" i="45"/>
  <c r="R58" i="45"/>
  <c r="Z58" i="45" s="1"/>
  <c r="AD58" i="45" s="1"/>
  <c r="AE58" i="45" s="1"/>
  <c r="N58" i="45"/>
  <c r="C58" i="45"/>
  <c r="K58" i="45" s="1"/>
  <c r="O58" i="45" s="1"/>
  <c r="AC57" i="45"/>
  <c r="R57" i="45"/>
  <c r="Z57" i="45" s="1"/>
  <c r="AD57" i="45" s="1"/>
  <c r="AE57" i="45" s="1"/>
  <c r="N57" i="45"/>
  <c r="C57" i="45"/>
  <c r="K57" i="45" s="1"/>
  <c r="AC56" i="45"/>
  <c r="R56" i="45"/>
  <c r="Z56" i="45" s="1"/>
  <c r="AD56" i="45" s="1"/>
  <c r="AE56" i="45" s="1"/>
  <c r="N56" i="45"/>
  <c r="C56" i="45"/>
  <c r="K56" i="45" s="1"/>
  <c r="AC55" i="45"/>
  <c r="R55" i="45"/>
  <c r="Z55" i="45" s="1"/>
  <c r="AD55" i="45" s="1"/>
  <c r="AE55" i="45" s="1"/>
  <c r="N55" i="45"/>
  <c r="C55" i="45"/>
  <c r="K55" i="45" s="1"/>
  <c r="AC54" i="45"/>
  <c r="R54" i="45"/>
  <c r="Z54" i="45" s="1"/>
  <c r="AD54" i="45" s="1"/>
  <c r="AE54" i="45" s="1"/>
  <c r="N54" i="45"/>
  <c r="C54" i="45"/>
  <c r="K54" i="45" s="1"/>
  <c r="O54" i="45" s="1"/>
  <c r="AC53" i="45"/>
  <c r="R53" i="45"/>
  <c r="Z53" i="45" s="1"/>
  <c r="AD53" i="45" s="1"/>
  <c r="AE53" i="45" s="1"/>
  <c r="N53" i="45"/>
  <c r="C53" i="45"/>
  <c r="K53" i="45" s="1"/>
  <c r="AC52" i="45"/>
  <c r="R52" i="45"/>
  <c r="Z52" i="45" s="1"/>
  <c r="AD52" i="45" s="1"/>
  <c r="AE52" i="45" s="1"/>
  <c r="N52" i="45"/>
  <c r="C52" i="45"/>
  <c r="K52" i="45" s="1"/>
  <c r="AC51" i="45"/>
  <c r="R51" i="45"/>
  <c r="Z51" i="45" s="1"/>
  <c r="AD51" i="45" s="1"/>
  <c r="AE51" i="45" s="1"/>
  <c r="N51" i="45"/>
  <c r="C51" i="45"/>
  <c r="K51" i="45" s="1"/>
  <c r="AC50" i="45"/>
  <c r="R50" i="45"/>
  <c r="Z50" i="45" s="1"/>
  <c r="AD50" i="45" s="1"/>
  <c r="AE50" i="45" s="1"/>
  <c r="N50" i="45"/>
  <c r="C50" i="45"/>
  <c r="K50" i="45" s="1"/>
  <c r="O50" i="45" s="1"/>
  <c r="AC49" i="45"/>
  <c r="R49" i="45"/>
  <c r="Z49" i="45" s="1"/>
  <c r="N49" i="45"/>
  <c r="C49" i="45"/>
  <c r="K49" i="45" s="1"/>
  <c r="O49" i="45" s="1"/>
  <c r="AC48" i="45"/>
  <c r="R48" i="45"/>
  <c r="Z48" i="45" s="1"/>
  <c r="N48" i="45"/>
  <c r="C48" i="45"/>
  <c r="K48" i="45" s="1"/>
  <c r="O48" i="45" s="1"/>
  <c r="AC47" i="45"/>
  <c r="Z47" i="45"/>
  <c r="AD47" i="45" s="1"/>
  <c r="AE47" i="45" s="1"/>
  <c r="N47" i="45"/>
  <c r="K47" i="45"/>
  <c r="AG46" i="45"/>
  <c r="AF46" i="45"/>
  <c r="AH45" i="45"/>
  <c r="AB45" i="45"/>
  <c r="AA45" i="45"/>
  <c r="Y45" i="45"/>
  <c r="X45" i="45"/>
  <c r="W45" i="45"/>
  <c r="V45" i="45"/>
  <c r="U45" i="45"/>
  <c r="T45" i="45"/>
  <c r="S45" i="45"/>
  <c r="Q45" i="45"/>
  <c r="M45" i="45"/>
  <c r="L45" i="45"/>
  <c r="J45" i="45"/>
  <c r="I45" i="45"/>
  <c r="H45" i="45"/>
  <c r="G45" i="45"/>
  <c r="F45" i="45"/>
  <c r="E45" i="45"/>
  <c r="D45" i="45"/>
  <c r="B45" i="45"/>
  <c r="AG44" i="45"/>
  <c r="AF44" i="45"/>
  <c r="AC43" i="45"/>
  <c r="Z43" i="45"/>
  <c r="AD43" i="45" s="1"/>
  <c r="AE43" i="45" s="1"/>
  <c r="R43" i="45"/>
  <c r="N43" i="45"/>
  <c r="K43" i="45"/>
  <c r="B43" i="45"/>
  <c r="AC42" i="45"/>
  <c r="R42" i="45"/>
  <c r="Z42" i="45" s="1"/>
  <c r="AD42" i="45" s="1"/>
  <c r="AE42" i="45" s="1"/>
  <c r="N42" i="45"/>
  <c r="C42" i="45"/>
  <c r="K42" i="45" s="1"/>
  <c r="O42" i="45" s="1"/>
  <c r="B42" i="45"/>
  <c r="AC41" i="45"/>
  <c r="R41" i="45"/>
  <c r="Z41" i="45" s="1"/>
  <c r="N41" i="45"/>
  <c r="C41" i="45"/>
  <c r="K41" i="45" s="1"/>
  <c r="O41" i="45" s="1"/>
  <c r="B41" i="45"/>
  <c r="AC40" i="45"/>
  <c r="Z40" i="45"/>
  <c r="AD40" i="45" s="1"/>
  <c r="AE40" i="45" s="1"/>
  <c r="N40" i="45"/>
  <c r="K40" i="45"/>
  <c r="O40" i="45" s="1"/>
  <c r="AF40" i="45" s="1"/>
  <c r="B40" i="45"/>
  <c r="AC39" i="45"/>
  <c r="R39" i="45"/>
  <c r="Z39" i="45" s="1"/>
  <c r="AD39" i="45" s="1"/>
  <c r="AE39" i="45" s="1"/>
  <c r="N39" i="45"/>
  <c r="O39" i="45" s="1"/>
  <c r="C39" i="45"/>
  <c r="K39" i="45" s="1"/>
  <c r="B39" i="45"/>
  <c r="AC38" i="45"/>
  <c r="R38" i="45"/>
  <c r="N38" i="45"/>
  <c r="C38" i="45"/>
  <c r="K38" i="45" s="1"/>
  <c r="B38" i="45"/>
  <c r="AG37" i="45"/>
  <c r="AF37" i="45"/>
  <c r="AH36" i="45"/>
  <c r="AB36" i="45"/>
  <c r="AA36" i="45"/>
  <c r="Y36" i="45"/>
  <c r="X36" i="45"/>
  <c r="W36" i="45"/>
  <c r="V36" i="45"/>
  <c r="U36" i="45"/>
  <c r="T36" i="45"/>
  <c r="S36" i="45"/>
  <c r="Q36" i="45"/>
  <c r="M36" i="45"/>
  <c r="L36" i="45"/>
  <c r="J36" i="45"/>
  <c r="I36" i="45"/>
  <c r="H36" i="45"/>
  <c r="G36" i="45"/>
  <c r="F36" i="45"/>
  <c r="E36" i="45"/>
  <c r="D36" i="45"/>
  <c r="AG35" i="45"/>
  <c r="AF35" i="45"/>
  <c r="AC34" i="45"/>
  <c r="Z34" i="45"/>
  <c r="AC33" i="45"/>
  <c r="R33" i="45"/>
  <c r="Z33" i="45" s="1"/>
  <c r="AD33" i="45" s="1"/>
  <c r="AE33" i="45" s="1"/>
  <c r="N33" i="45"/>
  <c r="C33" i="45"/>
  <c r="K33" i="45" s="1"/>
  <c r="B33" i="45"/>
  <c r="AC32" i="45"/>
  <c r="R32" i="45"/>
  <c r="Z32" i="45" s="1"/>
  <c r="N32" i="45"/>
  <c r="C32" i="45"/>
  <c r="K32" i="45" s="1"/>
  <c r="B32" i="45"/>
  <c r="AC31" i="45"/>
  <c r="R31" i="45"/>
  <c r="Z31" i="45" s="1"/>
  <c r="AD31" i="45" s="1"/>
  <c r="AE31" i="45" s="1"/>
  <c r="N31" i="45"/>
  <c r="C31" i="45"/>
  <c r="K31" i="45" s="1"/>
  <c r="O31" i="45" s="1"/>
  <c r="B31" i="45"/>
  <c r="AC30" i="45"/>
  <c r="R30" i="45"/>
  <c r="Z30" i="45" s="1"/>
  <c r="N30" i="45"/>
  <c r="C30" i="45"/>
  <c r="K30" i="45" s="1"/>
  <c r="O30" i="45" s="1"/>
  <c r="B30" i="45"/>
  <c r="AC29" i="45"/>
  <c r="R29" i="45"/>
  <c r="Z29" i="45" s="1"/>
  <c r="N29" i="45"/>
  <c r="C29" i="45"/>
  <c r="K29" i="45" s="1"/>
  <c r="O29" i="45" s="1"/>
  <c r="B29" i="45"/>
  <c r="AG28" i="45"/>
  <c r="AF28" i="45"/>
  <c r="AH27" i="45"/>
  <c r="AB27" i="45"/>
  <c r="AA27" i="45"/>
  <c r="Y27" i="45"/>
  <c r="X27" i="45"/>
  <c r="W27" i="45"/>
  <c r="V27" i="45"/>
  <c r="U27" i="45"/>
  <c r="T27" i="45"/>
  <c r="S27" i="45"/>
  <c r="Q27" i="45"/>
  <c r="M27" i="45"/>
  <c r="L27" i="45"/>
  <c r="J27" i="45"/>
  <c r="I27" i="45"/>
  <c r="H27" i="45"/>
  <c r="G27" i="45"/>
  <c r="F27" i="45"/>
  <c r="E27" i="45"/>
  <c r="D27" i="45"/>
  <c r="AG26" i="45"/>
  <c r="AF26" i="45"/>
  <c r="AC25" i="45"/>
  <c r="R25" i="45"/>
  <c r="Z25" i="45" s="1"/>
  <c r="AD25" i="45" s="1"/>
  <c r="AE25" i="45" s="1"/>
  <c r="N25" i="45"/>
  <c r="C25" i="45"/>
  <c r="K25" i="45" s="1"/>
  <c r="AC24" i="45"/>
  <c r="R24" i="45"/>
  <c r="Z24" i="45" s="1"/>
  <c r="N24" i="45"/>
  <c r="C24" i="45"/>
  <c r="K24" i="45" s="1"/>
  <c r="O24" i="45" s="1"/>
  <c r="B24" i="45"/>
  <c r="AC23" i="45"/>
  <c r="R23" i="45"/>
  <c r="Z23" i="45" s="1"/>
  <c r="N23" i="45"/>
  <c r="C23" i="45"/>
  <c r="K23" i="45" s="1"/>
  <c r="B23" i="45"/>
  <c r="AC22" i="45"/>
  <c r="R22" i="45"/>
  <c r="Z22" i="45" s="1"/>
  <c r="N22" i="45"/>
  <c r="C22" i="45"/>
  <c r="K22" i="45" s="1"/>
  <c r="AC21" i="45"/>
  <c r="R21" i="45"/>
  <c r="Z21" i="45" s="1"/>
  <c r="AD21" i="45" s="1"/>
  <c r="AE21" i="45" s="1"/>
  <c r="N21" i="45"/>
  <c r="C21" i="45"/>
  <c r="C18" i="45" s="1"/>
  <c r="B21" i="45"/>
  <c r="AC20" i="45"/>
  <c r="R20" i="45"/>
  <c r="Z20" i="45" s="1"/>
  <c r="N20" i="45"/>
  <c r="K20" i="45"/>
  <c r="B20" i="45"/>
  <c r="AG19" i="45"/>
  <c r="AF19" i="45"/>
  <c r="AH18" i="45"/>
  <c r="AB18" i="45"/>
  <c r="AA18" i="45"/>
  <c r="Y18" i="45"/>
  <c r="X18" i="45"/>
  <c r="W18" i="45"/>
  <c r="V18" i="45"/>
  <c r="U18" i="45"/>
  <c r="T18" i="45"/>
  <c r="S18" i="45"/>
  <c r="Q18" i="45"/>
  <c r="M18" i="45"/>
  <c r="L18" i="45"/>
  <c r="J18" i="45"/>
  <c r="I18" i="45"/>
  <c r="H18" i="45"/>
  <c r="G18" i="45"/>
  <c r="F18" i="45"/>
  <c r="E18" i="45"/>
  <c r="D18" i="45"/>
  <c r="AG17" i="45"/>
  <c r="AF17" i="45"/>
  <c r="AA16" i="45"/>
  <c r="AC16" i="45" s="1"/>
  <c r="R16" i="45"/>
  <c r="Z16" i="45" s="1"/>
  <c r="N16" i="45"/>
  <c r="K16" i="45"/>
  <c r="O16" i="45" s="1"/>
  <c r="AA15" i="45"/>
  <c r="AC15" i="45" s="1"/>
  <c r="R15" i="45"/>
  <c r="Z15" i="45" s="1"/>
  <c r="N15" i="45"/>
  <c r="K15" i="45"/>
  <c r="O15" i="45" s="1"/>
  <c r="AA14" i="45"/>
  <c r="AC14" i="45" s="1"/>
  <c r="R14" i="45"/>
  <c r="Z14" i="45" s="1"/>
  <c r="N14" i="45"/>
  <c r="O14" i="45" s="1"/>
  <c r="K14" i="45"/>
  <c r="AA13" i="45"/>
  <c r="AC13" i="45" s="1"/>
  <c r="R13" i="45"/>
  <c r="Z13" i="45" s="1"/>
  <c r="N13" i="45"/>
  <c r="K13" i="45"/>
  <c r="O13" i="45" s="1"/>
  <c r="P13" i="45" s="1"/>
  <c r="AA12" i="45"/>
  <c r="AC12" i="45" s="1"/>
  <c r="R12" i="45"/>
  <c r="Z12" i="45" s="1"/>
  <c r="N12" i="45"/>
  <c r="K12" i="45"/>
  <c r="O12" i="45" s="1"/>
  <c r="AA11" i="45"/>
  <c r="AC11" i="45" s="1"/>
  <c r="R11" i="45"/>
  <c r="Z11" i="45" s="1"/>
  <c r="N11" i="45"/>
  <c r="K11" i="45"/>
  <c r="AA10" i="45"/>
  <c r="AC10" i="45" s="1"/>
  <c r="Z10" i="45"/>
  <c r="N10" i="45"/>
  <c r="K10" i="45"/>
  <c r="AG9" i="45"/>
  <c r="AF9" i="45"/>
  <c r="AH8" i="45"/>
  <c r="AB8" i="45"/>
  <c r="Y8" i="45"/>
  <c r="X8" i="45"/>
  <c r="W8" i="45"/>
  <c r="V8" i="45"/>
  <c r="U8" i="45"/>
  <c r="T8" i="45"/>
  <c r="S8" i="45"/>
  <c r="Q8" i="45"/>
  <c r="M8" i="45"/>
  <c r="L8" i="45"/>
  <c r="J8" i="45"/>
  <c r="I8" i="45"/>
  <c r="H8" i="45"/>
  <c r="G8" i="45"/>
  <c r="F8" i="45"/>
  <c r="E8" i="45"/>
  <c r="D8" i="45"/>
  <c r="C8" i="45"/>
  <c r="B8" i="45"/>
  <c r="G22" i="32"/>
  <c r="C22" i="32"/>
  <c r="I21" i="32"/>
  <c r="H21" i="32"/>
  <c r="I20" i="32"/>
  <c r="H20" i="32"/>
  <c r="I19" i="32"/>
  <c r="H19" i="32"/>
  <c r="I18" i="32"/>
  <c r="H18" i="32"/>
  <c r="I17" i="32"/>
  <c r="H17" i="32"/>
  <c r="I16" i="32"/>
  <c r="H16" i="32"/>
  <c r="H15" i="32"/>
  <c r="E15" i="32"/>
  <c r="I15" i="32" s="1"/>
  <c r="I14" i="32"/>
  <c r="H14" i="32"/>
  <c r="H13" i="32"/>
  <c r="E13" i="32"/>
  <c r="I13" i="32" s="1"/>
  <c r="I12" i="32"/>
  <c r="H12" i="32"/>
  <c r="I11" i="32"/>
  <c r="H11" i="32"/>
  <c r="I10" i="32"/>
  <c r="H10" i="32"/>
  <c r="I9" i="32"/>
  <c r="H9" i="32"/>
  <c r="I8" i="32"/>
  <c r="H8" i="32"/>
  <c r="I7" i="32"/>
  <c r="H7" i="32"/>
  <c r="H6" i="32"/>
  <c r="E6" i="32"/>
  <c r="I6" i="32" s="1"/>
  <c r="AA145" i="60"/>
  <c r="N145" i="60"/>
  <c r="AA144" i="60"/>
  <c r="N144" i="60"/>
  <c r="AA143" i="60"/>
  <c r="N143" i="60"/>
  <c r="AA142" i="60"/>
  <c r="N142" i="60"/>
  <c r="AA141" i="60"/>
  <c r="N141" i="60"/>
  <c r="AA140" i="60"/>
  <c r="N140" i="60"/>
  <c r="AA139" i="60"/>
  <c r="N139" i="60"/>
  <c r="AA138" i="60"/>
  <c r="N138" i="60"/>
  <c r="AA137" i="60"/>
  <c r="N137" i="60"/>
  <c r="AA136" i="60"/>
  <c r="N136" i="60"/>
  <c r="AA135" i="60"/>
  <c r="N135" i="60"/>
  <c r="AA134" i="60"/>
  <c r="N134" i="60"/>
  <c r="AB132" i="60"/>
  <c r="Z132" i="60"/>
  <c r="Z147" i="60" s="1"/>
  <c r="Y132" i="60"/>
  <c r="X132" i="60"/>
  <c r="R132" i="60"/>
  <c r="R147" i="60" s="1"/>
  <c r="P132" i="60"/>
  <c r="O132" i="60"/>
  <c r="M132" i="60"/>
  <c r="M147" i="60" s="1"/>
  <c r="L132" i="60"/>
  <c r="K132" i="60"/>
  <c r="K147" i="60" s="1"/>
  <c r="E132" i="60"/>
  <c r="E147" i="60" s="1"/>
  <c r="C132" i="60"/>
  <c r="AA130" i="60"/>
  <c r="N130" i="60"/>
  <c r="AA129" i="60"/>
  <c r="N129" i="60"/>
  <c r="AA128" i="60"/>
  <c r="N128" i="60"/>
  <c r="AB126" i="60"/>
  <c r="AA126" i="60"/>
  <c r="Y126" i="60"/>
  <c r="O126" i="60"/>
  <c r="L126" i="60"/>
  <c r="AA124" i="60"/>
  <c r="N124" i="60"/>
  <c r="AB122" i="60"/>
  <c r="Y122" i="60"/>
  <c r="AA122" i="60" s="1"/>
  <c r="O122" i="60"/>
  <c r="L122" i="60"/>
  <c r="N122" i="60" s="1"/>
  <c r="AA120" i="60"/>
  <c r="N120" i="60"/>
  <c r="AA119" i="60"/>
  <c r="N119" i="60"/>
  <c r="AB117" i="60"/>
  <c r="Y117" i="60"/>
  <c r="AA117" i="60" s="1"/>
  <c r="O117" i="60"/>
  <c r="L117" i="60"/>
  <c r="N117" i="60" s="1"/>
  <c r="AA115" i="60"/>
  <c r="N115" i="60"/>
  <c r="AA114" i="60"/>
  <c r="N114" i="60"/>
  <c r="AA113" i="60"/>
  <c r="N113" i="60"/>
  <c r="AA112" i="60"/>
  <c r="N112" i="60"/>
  <c r="AA111" i="60"/>
  <c r="N111" i="60"/>
  <c r="AA110" i="60"/>
  <c r="N110" i="60"/>
  <c r="AA109" i="60"/>
  <c r="N109" i="60"/>
  <c r="AA108" i="60"/>
  <c r="N108" i="60"/>
  <c r="AA107" i="60"/>
  <c r="N107" i="60"/>
  <c r="AA106" i="60"/>
  <c r="N106" i="60"/>
  <c r="AA105" i="60"/>
  <c r="N105" i="60"/>
  <c r="AA104" i="60"/>
  <c r="N104" i="60"/>
  <c r="AA103" i="60"/>
  <c r="N103" i="60"/>
  <c r="AA102" i="60"/>
  <c r="N102" i="60"/>
  <c r="AA101" i="60"/>
  <c r="N101" i="60"/>
  <c r="AA100" i="60"/>
  <c r="N100" i="60"/>
  <c r="AA99" i="60"/>
  <c r="N99" i="60"/>
  <c r="AA98" i="60"/>
  <c r="N98" i="60"/>
  <c r="AA97" i="60"/>
  <c r="N97" i="60"/>
  <c r="AA96" i="60"/>
  <c r="N96" i="60"/>
  <c r="AB94" i="60"/>
  <c r="Y94" i="60"/>
  <c r="Y147" i="60" s="1"/>
  <c r="O94" i="60"/>
  <c r="L94" i="60"/>
  <c r="N94" i="60" s="1"/>
  <c r="AA92" i="60"/>
  <c r="N92" i="60"/>
  <c r="AA91" i="60"/>
  <c r="N91" i="60"/>
  <c r="AA90" i="60"/>
  <c r="N90" i="60"/>
  <c r="AA89" i="60"/>
  <c r="N89" i="60"/>
  <c r="AA88" i="60"/>
  <c r="N88" i="60"/>
  <c r="AA87" i="60"/>
  <c r="N87" i="60"/>
  <c r="AA86" i="60"/>
  <c r="N86" i="60"/>
  <c r="AA85" i="60"/>
  <c r="N85" i="60"/>
  <c r="AA84" i="60"/>
  <c r="N84" i="60"/>
  <c r="AA83" i="60"/>
  <c r="N83" i="60"/>
  <c r="AA82" i="60"/>
  <c r="N82" i="60"/>
  <c r="AA81" i="60"/>
  <c r="N81" i="60"/>
  <c r="AA80" i="60"/>
  <c r="N80" i="60"/>
  <c r="AA79" i="60"/>
  <c r="N79" i="60"/>
  <c r="AA78" i="60"/>
  <c r="N78" i="60"/>
  <c r="AA77" i="60"/>
  <c r="N77" i="60"/>
  <c r="AA76" i="60"/>
  <c r="N76" i="60"/>
  <c r="AA75" i="60"/>
  <c r="N75" i="60"/>
  <c r="AA74" i="60"/>
  <c r="N74" i="60"/>
  <c r="AA73" i="60"/>
  <c r="N73" i="60"/>
  <c r="AA72" i="60"/>
  <c r="N72" i="60"/>
  <c r="AA71" i="60"/>
  <c r="N71" i="60"/>
  <c r="AA70" i="60"/>
  <c r="N70" i="60"/>
  <c r="AA69" i="60"/>
  <c r="N69" i="60"/>
  <c r="AA68" i="60"/>
  <c r="N68" i="60"/>
  <c r="AA67" i="60"/>
  <c r="N67" i="60"/>
  <c r="AA66" i="60"/>
  <c r="N66" i="60"/>
  <c r="AA65" i="60"/>
  <c r="N65" i="60"/>
  <c r="AA64" i="60"/>
  <c r="N64" i="60"/>
  <c r="AA63" i="60"/>
  <c r="N63" i="60"/>
  <c r="AB61" i="60"/>
  <c r="X61" i="60"/>
  <c r="AA61" i="60" s="1"/>
  <c r="O61" i="60"/>
  <c r="K61" i="60"/>
  <c r="N61" i="60" s="1"/>
  <c r="AA59" i="60"/>
  <c r="N59" i="60"/>
  <c r="AA58" i="60"/>
  <c r="N58" i="60"/>
  <c r="AA57" i="60"/>
  <c r="N57" i="60"/>
  <c r="AA56" i="60"/>
  <c r="N56" i="60"/>
  <c r="AA55" i="60"/>
  <c r="N55" i="60"/>
  <c r="AA54" i="60"/>
  <c r="N54" i="60"/>
  <c r="AA53" i="60"/>
  <c r="N53" i="60"/>
  <c r="AA52" i="60"/>
  <c r="N52" i="60"/>
  <c r="AA51" i="60"/>
  <c r="N51" i="60"/>
  <c r="AA50" i="60"/>
  <c r="N50" i="60"/>
  <c r="AA49" i="60"/>
  <c r="N49" i="60"/>
  <c r="AA48" i="60"/>
  <c r="N48" i="60"/>
  <c r="AA47" i="60"/>
  <c r="N47" i="60"/>
  <c r="AB45" i="60"/>
  <c r="P45" i="60"/>
  <c r="AA45" i="60" s="1"/>
  <c r="O45" i="60"/>
  <c r="C45" i="60"/>
  <c r="N45" i="60" s="1"/>
  <c r="AA43" i="60"/>
  <c r="N43" i="60"/>
  <c r="AA42" i="60"/>
  <c r="N42" i="60"/>
  <c r="AA41" i="60"/>
  <c r="N41" i="60"/>
  <c r="AA40" i="60"/>
  <c r="N40" i="60"/>
  <c r="AA39" i="60"/>
  <c r="N39" i="60"/>
  <c r="AA38" i="60"/>
  <c r="N38" i="60"/>
  <c r="AB36" i="60"/>
  <c r="P36" i="60"/>
  <c r="AA36" i="60" s="1"/>
  <c r="O36" i="60"/>
  <c r="C36" i="60"/>
  <c r="N36" i="60" s="1"/>
  <c r="AA34" i="60"/>
  <c r="N34" i="60"/>
  <c r="AA33" i="60"/>
  <c r="N33" i="60"/>
  <c r="AA32" i="60"/>
  <c r="N32" i="60"/>
  <c r="AA31" i="60"/>
  <c r="N31" i="60"/>
  <c r="AA30" i="60"/>
  <c r="N30" i="60"/>
  <c r="AA29" i="60"/>
  <c r="N29" i="60"/>
  <c r="AB27" i="60"/>
  <c r="P27" i="60"/>
  <c r="AA27" i="60" s="1"/>
  <c r="O27" i="60"/>
  <c r="C27" i="60"/>
  <c r="N27" i="60" s="1"/>
  <c r="AA25" i="60"/>
  <c r="N25" i="60"/>
  <c r="AA24" i="60"/>
  <c r="N24" i="60"/>
  <c r="AA23" i="60"/>
  <c r="N23" i="60"/>
  <c r="AA22" i="60"/>
  <c r="N22" i="60"/>
  <c r="AA21" i="60"/>
  <c r="N21" i="60"/>
  <c r="AA20" i="60"/>
  <c r="N20" i="60"/>
  <c r="AB18" i="60"/>
  <c r="P18" i="60"/>
  <c r="AA18" i="60" s="1"/>
  <c r="O18" i="60"/>
  <c r="C18" i="60"/>
  <c r="N18" i="60" s="1"/>
  <c r="AA16" i="60"/>
  <c r="N16" i="60"/>
  <c r="AA15" i="60"/>
  <c r="N15" i="60"/>
  <c r="AA14" i="60"/>
  <c r="N14" i="60"/>
  <c r="AA13" i="60"/>
  <c r="N13" i="60"/>
  <c r="AA12" i="60"/>
  <c r="N12" i="60"/>
  <c r="AA11" i="60"/>
  <c r="N11" i="60"/>
  <c r="AA10" i="60"/>
  <c r="N10" i="60"/>
  <c r="AB8" i="60"/>
  <c r="P8" i="60"/>
  <c r="AA8" i="60" s="1"/>
  <c r="O8" i="60"/>
  <c r="C8" i="60"/>
  <c r="N8" i="60" s="1"/>
  <c r="N47" i="57"/>
  <c r="M47" i="57"/>
  <c r="L47" i="57"/>
  <c r="K47" i="57"/>
  <c r="J47" i="57"/>
  <c r="I47" i="57"/>
  <c r="H47" i="57"/>
  <c r="G47" i="57"/>
  <c r="F47" i="57"/>
  <c r="E47" i="57"/>
  <c r="D47" i="57"/>
  <c r="C47" i="57"/>
  <c r="K21" i="45" l="1"/>
  <c r="L133" i="45"/>
  <c r="O147" i="60"/>
  <c r="I22" i="32"/>
  <c r="K27" i="45"/>
  <c r="O43" i="45"/>
  <c r="P43" i="45" s="1"/>
  <c r="AG43" i="45" s="1"/>
  <c r="AF102" i="45"/>
  <c r="AG113" i="45"/>
  <c r="O139" i="45"/>
  <c r="AE141" i="45"/>
  <c r="AG141" i="45" s="1"/>
  <c r="AF50" i="45"/>
  <c r="AD76" i="45"/>
  <c r="AE76" i="45" s="1"/>
  <c r="AF90" i="45"/>
  <c r="AG105" i="45"/>
  <c r="AA94" i="60"/>
  <c r="AD88" i="45"/>
  <c r="AE88" i="45" s="1"/>
  <c r="X147" i="60"/>
  <c r="AF39" i="45"/>
  <c r="AB147" i="60"/>
  <c r="AF54" i="45"/>
  <c r="AD65" i="45"/>
  <c r="AE65" i="45" s="1"/>
  <c r="AD67" i="45"/>
  <c r="AE67" i="45" s="1"/>
  <c r="O88" i="45"/>
  <c r="P88" i="45" s="1"/>
  <c r="AG88" i="45" s="1"/>
  <c r="C123" i="45"/>
  <c r="L147" i="60"/>
  <c r="AD22" i="45"/>
  <c r="AE22" i="45" s="1"/>
  <c r="N36" i="45"/>
  <c r="AD48" i="45"/>
  <c r="AE48" i="45" s="1"/>
  <c r="AE45" i="45" s="1"/>
  <c r="AD71" i="45"/>
  <c r="AE71" i="45" s="1"/>
  <c r="AG109" i="45"/>
  <c r="AD140" i="45"/>
  <c r="AE140" i="45" s="1"/>
  <c r="T143" i="45"/>
  <c r="C147" i="60"/>
  <c r="C27" i="45"/>
  <c r="AD23" i="45"/>
  <c r="AE23" i="45" s="1"/>
  <c r="O25" i="45"/>
  <c r="AD49" i="45"/>
  <c r="AE49" i="45" s="1"/>
  <c r="O51" i="45"/>
  <c r="AF51" i="45" s="1"/>
  <c r="O55" i="45"/>
  <c r="P55" i="45" s="1"/>
  <c r="AG55" i="45" s="1"/>
  <c r="O57" i="45"/>
  <c r="P57" i="45" s="1"/>
  <c r="AG57" i="45" s="1"/>
  <c r="AD72" i="45"/>
  <c r="AE72" i="45" s="1"/>
  <c r="O80" i="45"/>
  <c r="AD87" i="45"/>
  <c r="AE87" i="45" s="1"/>
  <c r="O105" i="45"/>
  <c r="P105" i="45" s="1"/>
  <c r="N127" i="45"/>
  <c r="O22" i="45"/>
  <c r="AF22" i="45" s="1"/>
  <c r="K18" i="45"/>
  <c r="P139" i="45"/>
  <c r="AG139" i="45" s="1"/>
  <c r="AF139" i="45"/>
  <c r="E143" i="45"/>
  <c r="N133" i="45"/>
  <c r="N8" i="45"/>
  <c r="AC27" i="45"/>
  <c r="Z38" i="45"/>
  <c r="R36" i="45"/>
  <c r="B36" i="45"/>
  <c r="O47" i="45"/>
  <c r="P47" i="45" s="1"/>
  <c r="AF48" i="45"/>
  <c r="R61" i="45"/>
  <c r="AC61" i="45"/>
  <c r="N94" i="45"/>
  <c r="Z121" i="45"/>
  <c r="Z118" i="45" s="1"/>
  <c r="R118" i="45"/>
  <c r="Z129" i="45"/>
  <c r="Z127" i="45" s="1"/>
  <c r="R127" i="45"/>
  <c r="K8" i="45"/>
  <c r="R8" i="45"/>
  <c r="AA8" i="45"/>
  <c r="O11" i="45"/>
  <c r="B27" i="45"/>
  <c r="N45" i="45"/>
  <c r="AF58" i="45"/>
  <c r="AD85" i="45"/>
  <c r="AF85" i="45" s="1"/>
  <c r="AD86" i="45"/>
  <c r="AE86" i="45" s="1"/>
  <c r="AF110" i="45"/>
  <c r="AA118" i="45"/>
  <c r="AC120" i="45"/>
  <c r="AC118" i="45" s="1"/>
  <c r="Y143" i="45"/>
  <c r="M143" i="45"/>
  <c r="U143" i="45"/>
  <c r="AF138" i="45"/>
  <c r="O21" i="45"/>
  <c r="AF21" i="45" s="1"/>
  <c r="O23" i="45"/>
  <c r="AF23" i="45" s="1"/>
  <c r="B18" i="45"/>
  <c r="AD24" i="45"/>
  <c r="AE24" i="45" s="1"/>
  <c r="AD29" i="45"/>
  <c r="AE29" i="45" s="1"/>
  <c r="O33" i="45"/>
  <c r="AF33" i="45" s="1"/>
  <c r="Z45" i="45"/>
  <c r="O52" i="45"/>
  <c r="P52" i="45" s="1"/>
  <c r="AG52" i="45" s="1"/>
  <c r="O53" i="45"/>
  <c r="P53" i="45" s="1"/>
  <c r="O66" i="45"/>
  <c r="O67" i="45"/>
  <c r="O68" i="45"/>
  <c r="P68" i="45" s="1"/>
  <c r="AG68" i="45" s="1"/>
  <c r="AD74" i="45"/>
  <c r="AE74" i="45" s="1"/>
  <c r="O77" i="45"/>
  <c r="P77" i="45" s="1"/>
  <c r="N61" i="45"/>
  <c r="AD84" i="45"/>
  <c r="AE84" i="45" s="1"/>
  <c r="AD91" i="45"/>
  <c r="AE91" i="45" s="1"/>
  <c r="O103" i="45"/>
  <c r="P103" i="45" s="1"/>
  <c r="AG103" i="45" s="1"/>
  <c r="O107" i="45"/>
  <c r="P107" i="45" s="1"/>
  <c r="AG107" i="45" s="1"/>
  <c r="O111" i="45"/>
  <c r="P111" i="45" s="1"/>
  <c r="AG111" i="45" s="1"/>
  <c r="O115" i="45"/>
  <c r="P115" i="45" s="1"/>
  <c r="AG115" i="45" s="1"/>
  <c r="AC136" i="45"/>
  <c r="AD136" i="45" s="1"/>
  <c r="AE136" i="45" s="1"/>
  <c r="AA133" i="45"/>
  <c r="AG102" i="45"/>
  <c r="O10" i="45"/>
  <c r="N18" i="45"/>
  <c r="AD30" i="45"/>
  <c r="AE30" i="45" s="1"/>
  <c r="N27" i="45"/>
  <c r="AD32" i="45"/>
  <c r="AE32" i="45" s="1"/>
  <c r="AD41" i="45"/>
  <c r="AE41" i="45" s="1"/>
  <c r="AC45" i="45"/>
  <c r="O56" i="45"/>
  <c r="P56" i="45" s="1"/>
  <c r="O64" i="45"/>
  <c r="AF64" i="45" s="1"/>
  <c r="AD66" i="45"/>
  <c r="AE66" i="45" s="1"/>
  <c r="AD70" i="45"/>
  <c r="AE70" i="45" s="1"/>
  <c r="AD75" i="45"/>
  <c r="AE75" i="45" s="1"/>
  <c r="O78" i="45"/>
  <c r="AD79" i="45"/>
  <c r="AE79" i="45" s="1"/>
  <c r="O86" i="45"/>
  <c r="AF86" i="45" s="1"/>
  <c r="O87" i="45"/>
  <c r="P87" i="45" s="1"/>
  <c r="AD89" i="45"/>
  <c r="AE89" i="45" s="1"/>
  <c r="O97" i="45"/>
  <c r="P97" i="45" s="1"/>
  <c r="AG97" i="45" s="1"/>
  <c r="O98" i="45"/>
  <c r="P98" i="45" s="1"/>
  <c r="AG98" i="45" s="1"/>
  <c r="AD99" i="45"/>
  <c r="AE99" i="45" s="1"/>
  <c r="AG99" i="45" s="1"/>
  <c r="AD100" i="45"/>
  <c r="AE100" i="45" s="1"/>
  <c r="AD104" i="45"/>
  <c r="AE104" i="45" s="1"/>
  <c r="AG104" i="45" s="1"/>
  <c r="AD106" i="45"/>
  <c r="AE106" i="45" s="1"/>
  <c r="AG106" i="45" s="1"/>
  <c r="AD108" i="45"/>
  <c r="AE108" i="45" s="1"/>
  <c r="AG108" i="45" s="1"/>
  <c r="AD110" i="45"/>
  <c r="AE110" i="45" s="1"/>
  <c r="AG110" i="45" s="1"/>
  <c r="AD112" i="45"/>
  <c r="AE112" i="45" s="1"/>
  <c r="AG112" i="45" s="1"/>
  <c r="AD114" i="45"/>
  <c r="AE114" i="45" s="1"/>
  <c r="AG114" i="45" s="1"/>
  <c r="AD116" i="45"/>
  <c r="AE116" i="45" s="1"/>
  <c r="AG116" i="45" s="1"/>
  <c r="O130" i="45"/>
  <c r="O131" i="45"/>
  <c r="P131" i="45" s="1"/>
  <c r="AG131" i="45" s="1"/>
  <c r="AD20" i="45"/>
  <c r="Z18" i="45"/>
  <c r="AD69" i="45"/>
  <c r="AE69" i="45" s="1"/>
  <c r="AG69" i="45" s="1"/>
  <c r="Z61" i="45"/>
  <c r="AF72" i="45"/>
  <c r="P72" i="45"/>
  <c r="AG72" i="45" s="1"/>
  <c r="P24" i="45"/>
  <c r="AF30" i="45"/>
  <c r="P30" i="45"/>
  <c r="P41" i="45"/>
  <c r="AF66" i="45"/>
  <c r="P66" i="45"/>
  <c r="AG66" i="45" s="1"/>
  <c r="AF76" i="45"/>
  <c r="P76" i="45"/>
  <c r="AG76" i="45" s="1"/>
  <c r="P89" i="45"/>
  <c r="AG89" i="45" s="1"/>
  <c r="P101" i="45"/>
  <c r="AG101" i="45" s="1"/>
  <c r="AF101" i="45"/>
  <c r="P25" i="45"/>
  <c r="AG25" i="45" s="1"/>
  <c r="AF25" i="45"/>
  <c r="P31" i="45"/>
  <c r="AG31" i="45" s="1"/>
  <c r="AF31" i="45"/>
  <c r="O38" i="45"/>
  <c r="K36" i="45"/>
  <c r="P42" i="45"/>
  <c r="AG42" i="45" s="1"/>
  <c r="AF42" i="45"/>
  <c r="P91" i="45"/>
  <c r="AG91" i="45" s="1"/>
  <c r="AF91" i="45"/>
  <c r="P10" i="45"/>
  <c r="AD27" i="45"/>
  <c r="P64" i="45"/>
  <c r="AG64" i="45" s="1"/>
  <c r="AF87" i="45"/>
  <c r="AC8" i="45"/>
  <c r="AD10" i="45"/>
  <c r="AD12" i="45"/>
  <c r="AE12" i="45" s="1"/>
  <c r="AD16" i="45"/>
  <c r="AE16" i="45" s="1"/>
  <c r="AG56" i="45"/>
  <c r="P65" i="45"/>
  <c r="P80" i="45"/>
  <c r="AG83" i="45"/>
  <c r="AF83" i="45"/>
  <c r="AF88" i="45"/>
  <c r="AG92" i="45"/>
  <c r="P100" i="45"/>
  <c r="AD120" i="45"/>
  <c r="X143" i="45"/>
  <c r="P136" i="45"/>
  <c r="AF140" i="45"/>
  <c r="P140" i="45"/>
  <c r="AD13" i="45"/>
  <c r="P14" i="45"/>
  <c r="P39" i="45"/>
  <c r="AG39" i="45" s="1"/>
  <c r="C45" i="45"/>
  <c r="K45" i="45"/>
  <c r="P48" i="45"/>
  <c r="AG48" i="45" s="1"/>
  <c r="P49" i="45"/>
  <c r="AG49" i="45" s="1"/>
  <c r="P50" i="45"/>
  <c r="AG50" i="45" s="1"/>
  <c r="AF59" i="45"/>
  <c r="AD63" i="45"/>
  <c r="P73" i="45"/>
  <c r="P74" i="45"/>
  <c r="AG74" i="45" s="1"/>
  <c r="AG81" i="45"/>
  <c r="AF81" i="45"/>
  <c r="AE96" i="45"/>
  <c r="O120" i="45"/>
  <c r="I143" i="45"/>
  <c r="C127" i="45"/>
  <c r="K129" i="45"/>
  <c r="AF130" i="45"/>
  <c r="P130" i="45"/>
  <c r="AG130" i="45" s="1"/>
  <c r="C133" i="45"/>
  <c r="G143" i="45"/>
  <c r="K133" i="45"/>
  <c r="P11" i="45"/>
  <c r="AD14" i="45"/>
  <c r="AE14" i="45" s="1"/>
  <c r="P15" i="45"/>
  <c r="R18" i="45"/>
  <c r="R27" i="45"/>
  <c r="Z27" i="45"/>
  <c r="P29" i="45"/>
  <c r="C36" i="45"/>
  <c r="P40" i="45"/>
  <c r="AG40" i="45" s="1"/>
  <c r="AD45" i="45"/>
  <c r="AG53" i="45"/>
  <c r="P54" i="45"/>
  <c r="AG54" i="45" s="1"/>
  <c r="AF56" i="45"/>
  <c r="P58" i="45"/>
  <c r="AG58" i="45" s="1"/>
  <c r="P70" i="45"/>
  <c r="AG70" i="45" s="1"/>
  <c r="AF78" i="45"/>
  <c r="P78" i="45"/>
  <c r="AG78" i="45" s="1"/>
  <c r="AG79" i="45"/>
  <c r="P84" i="45"/>
  <c r="P90" i="45"/>
  <c r="AG90" i="45" s="1"/>
  <c r="AF92" i="45"/>
  <c r="C94" i="45"/>
  <c r="K96" i="45"/>
  <c r="Z94" i="45"/>
  <c r="D143" i="45"/>
  <c r="H143" i="45"/>
  <c r="S143" i="45"/>
  <c r="AD135" i="45"/>
  <c r="Z8" i="45"/>
  <c r="AD11" i="45"/>
  <c r="AE11" i="45" s="1"/>
  <c r="P12" i="45"/>
  <c r="AD15" i="45"/>
  <c r="AE15" i="45" s="1"/>
  <c r="P16" i="45"/>
  <c r="O20" i="45"/>
  <c r="AC18" i="45"/>
  <c r="O32" i="45"/>
  <c r="AD34" i="45"/>
  <c r="AC36" i="45"/>
  <c r="R45" i="45"/>
  <c r="P71" i="45"/>
  <c r="AD73" i="45"/>
  <c r="AE73" i="45" s="1"/>
  <c r="P75" i="45"/>
  <c r="AD77" i="45"/>
  <c r="AE77" i="45" s="1"/>
  <c r="AD80" i="45"/>
  <c r="AE80" i="45" s="1"/>
  <c r="O82" i="45"/>
  <c r="AF112" i="45"/>
  <c r="AF116" i="45"/>
  <c r="P138" i="45"/>
  <c r="AG138" i="45" s="1"/>
  <c r="L143" i="45"/>
  <c r="AH143" i="45"/>
  <c r="C61" i="45"/>
  <c r="K121" i="45"/>
  <c r="O121" i="45" s="1"/>
  <c r="C118" i="45"/>
  <c r="Z125" i="45"/>
  <c r="AD129" i="45"/>
  <c r="AC131" i="45"/>
  <c r="AD131" i="45" s="1"/>
  <c r="AE131" i="45" s="1"/>
  <c r="W143" i="45"/>
  <c r="AB143" i="45"/>
  <c r="O135" i="45"/>
  <c r="K63" i="45"/>
  <c r="R94" i="45"/>
  <c r="AF105" i="45"/>
  <c r="AF107" i="45"/>
  <c r="AF109" i="45"/>
  <c r="AF113" i="45"/>
  <c r="O125" i="45"/>
  <c r="Q143" i="45"/>
  <c r="O137" i="45"/>
  <c r="Z137" i="45"/>
  <c r="AD137" i="45" s="1"/>
  <c r="AE137" i="45" s="1"/>
  <c r="R133" i="45"/>
  <c r="F143" i="45"/>
  <c r="J143" i="45"/>
  <c r="V143" i="45"/>
  <c r="E22" i="32"/>
  <c r="AA132" i="60"/>
  <c r="N126" i="60"/>
  <c r="N132" i="60"/>
  <c r="N147" i="60" s="1"/>
  <c r="P147" i="60"/>
  <c r="AC127" i="45" l="1"/>
  <c r="R143" i="45"/>
  <c r="AG11" i="45"/>
  <c r="N143" i="45"/>
  <c r="B143" i="45"/>
  <c r="AA147" i="60"/>
  <c r="AG65" i="45"/>
  <c r="AE27" i="45"/>
  <c r="AF67" i="45"/>
  <c r="AF65" i="45"/>
  <c r="AG41" i="45"/>
  <c r="AF115" i="45"/>
  <c r="AC133" i="45"/>
  <c r="AG16" i="45"/>
  <c r="P51" i="45"/>
  <c r="AG51" i="45" s="1"/>
  <c r="AF41" i="45"/>
  <c r="AF74" i="45"/>
  <c r="Z133" i="45"/>
  <c r="AG71" i="45"/>
  <c r="AG100" i="45"/>
  <c r="AF47" i="45"/>
  <c r="AF11" i="45"/>
  <c r="AF49" i="45"/>
  <c r="AF99" i="45"/>
  <c r="AF71" i="45"/>
  <c r="AE85" i="45"/>
  <c r="AG85" i="45" s="1"/>
  <c r="AF55" i="45"/>
  <c r="AF100" i="45"/>
  <c r="P86" i="45"/>
  <c r="AF97" i="45"/>
  <c r="AF57" i="45"/>
  <c r="AE94" i="45"/>
  <c r="P23" i="45"/>
  <c r="AG23" i="45" s="1"/>
  <c r="AF53" i="45"/>
  <c r="AF79" i="45"/>
  <c r="P21" i="45"/>
  <c r="AG21" i="45" s="1"/>
  <c r="AG140" i="45"/>
  <c r="AF43" i="45"/>
  <c r="AF89" i="45"/>
  <c r="AG87" i="45"/>
  <c r="AF29" i="45"/>
  <c r="AD38" i="45"/>
  <c r="Z36" i="45"/>
  <c r="AG75" i="45"/>
  <c r="AG12" i="45"/>
  <c r="AG86" i="45"/>
  <c r="AF24" i="45"/>
  <c r="AA143" i="45"/>
  <c r="AF98" i="45"/>
  <c r="AD121" i="45"/>
  <c r="AE121" i="45" s="1"/>
  <c r="AF108" i="45"/>
  <c r="AF75" i="45"/>
  <c r="AF68" i="45"/>
  <c r="AF84" i="45"/>
  <c r="K118" i="45"/>
  <c r="AF70" i="45"/>
  <c r="P67" i="45"/>
  <c r="AG67" i="45" s="1"/>
  <c r="O45" i="45"/>
  <c r="AF45" i="45" s="1"/>
  <c r="AG24" i="45"/>
  <c r="AF114" i="45"/>
  <c r="AF106" i="45"/>
  <c r="AF111" i="45"/>
  <c r="AF103" i="45"/>
  <c r="AF104" i="45"/>
  <c r="AG84" i="45"/>
  <c r="AF52" i="45"/>
  <c r="P33" i="45"/>
  <c r="AG33" i="45" s="1"/>
  <c r="P22" i="45"/>
  <c r="AG22" i="45" s="1"/>
  <c r="AD94" i="45"/>
  <c r="O8" i="45"/>
  <c r="AF8" i="45" s="1"/>
  <c r="AF12" i="45"/>
  <c r="AD125" i="45"/>
  <c r="Z123" i="45"/>
  <c r="AE34" i="45"/>
  <c r="AG34" i="45" s="1"/>
  <c r="AF34" i="45"/>
  <c r="C143" i="45"/>
  <c r="AG73" i="45"/>
  <c r="AE63" i="45"/>
  <c r="AE61" i="45" s="1"/>
  <c r="AD61" i="45"/>
  <c r="AG80" i="45"/>
  <c r="AE10" i="45"/>
  <c r="AG10" i="45" s="1"/>
  <c r="AD8" i="45"/>
  <c r="P125" i="45"/>
  <c r="O123" i="45"/>
  <c r="AC143" i="45"/>
  <c r="P32" i="45"/>
  <c r="AG32" i="45" s="1"/>
  <c r="AF32" i="45"/>
  <c r="Z143" i="45"/>
  <c r="AG29" i="45"/>
  <c r="K127" i="45"/>
  <c r="O129" i="45"/>
  <c r="AF120" i="45"/>
  <c r="O118" i="45"/>
  <c r="P120" i="45"/>
  <c r="AG77" i="45"/>
  <c r="AF73" i="45"/>
  <c r="AF10" i="45"/>
  <c r="O36" i="45"/>
  <c r="P38" i="45"/>
  <c r="K61" i="45"/>
  <c r="O63" i="45"/>
  <c r="AF121" i="45"/>
  <c r="P121" i="45"/>
  <c r="AE135" i="45"/>
  <c r="AE133" i="45" s="1"/>
  <c r="AD133" i="45"/>
  <c r="K94" i="45"/>
  <c r="O96" i="45"/>
  <c r="AF131" i="45"/>
  <c r="AF77" i="45"/>
  <c r="AG14" i="45"/>
  <c r="AG136" i="45"/>
  <c r="AE120" i="45"/>
  <c r="P8" i="45"/>
  <c r="AG47" i="45"/>
  <c r="O27" i="45"/>
  <c r="AF27" i="45" s="1"/>
  <c r="AD18" i="45"/>
  <c r="AE20" i="45"/>
  <c r="AE18" i="45" s="1"/>
  <c r="AF137" i="45"/>
  <c r="P137" i="45"/>
  <c r="AG137" i="45" s="1"/>
  <c r="P135" i="45"/>
  <c r="O133" i="45"/>
  <c r="AF135" i="45"/>
  <c r="AE129" i="45"/>
  <c r="AE127" i="45" s="1"/>
  <c r="AD127" i="45"/>
  <c r="P82" i="45"/>
  <c r="AG82" i="45" s="1"/>
  <c r="AF82" i="45"/>
  <c r="P20" i="45"/>
  <c r="AF20" i="45"/>
  <c r="O18" i="45"/>
  <c r="AG15" i="45"/>
  <c r="AF69" i="45"/>
  <c r="AE13" i="45"/>
  <c r="AG13" i="45" s="1"/>
  <c r="AF13" i="45"/>
  <c r="AF136" i="45"/>
  <c r="AF80" i="45"/>
  <c r="AF15" i="45"/>
  <c r="AG30" i="45"/>
  <c r="AF14" i="45"/>
  <c r="AF16" i="45"/>
  <c r="AF18" i="45" l="1"/>
  <c r="P45" i="45"/>
  <c r="AG45" i="45" s="1"/>
  <c r="K143" i="45"/>
  <c r="P27" i="45"/>
  <c r="AG27" i="45" s="1"/>
  <c r="AD36" i="45"/>
  <c r="AF36" i="45" s="1"/>
  <c r="AE38" i="45"/>
  <c r="AE36" i="45" s="1"/>
  <c r="AE118" i="45"/>
  <c r="AD118" i="45"/>
  <c r="AF118" i="45" s="1"/>
  <c r="AF38" i="45"/>
  <c r="AG121" i="45"/>
  <c r="AG20" i="45"/>
  <c r="P18" i="45"/>
  <c r="AG18" i="45" s="1"/>
  <c r="AF96" i="45"/>
  <c r="O94" i="45"/>
  <c r="AF94" i="45" s="1"/>
  <c r="P96" i="45"/>
  <c r="P123" i="45"/>
  <c r="AD123" i="45"/>
  <c r="AF123" i="45" s="1"/>
  <c r="AE125" i="45"/>
  <c r="AE123" i="45" s="1"/>
  <c r="P36" i="45"/>
  <c r="AF133" i="45"/>
  <c r="AF63" i="45"/>
  <c r="O61" i="45"/>
  <c r="AF61" i="45" s="1"/>
  <c r="P63" i="45"/>
  <c r="AF129" i="45"/>
  <c r="O127" i="45"/>
  <c r="AF127" i="45" s="1"/>
  <c r="P129" i="45"/>
  <c r="AG135" i="45"/>
  <c r="P133" i="45"/>
  <c r="P118" i="45"/>
  <c r="AG120" i="45"/>
  <c r="AF125" i="45"/>
  <c r="AE8" i="45"/>
  <c r="AG8" i="45" s="1"/>
  <c r="AG118" i="45" l="1"/>
  <c r="AG36" i="45"/>
  <c r="AG38" i="45"/>
  <c r="AG123" i="45"/>
  <c r="AG125" i="45"/>
  <c r="AE143" i="45"/>
  <c r="AG129" i="45"/>
  <c r="P127" i="45"/>
  <c r="AG127" i="45" s="1"/>
  <c r="O143" i="45"/>
  <c r="AG133" i="45"/>
  <c r="AD143" i="45"/>
  <c r="AG63" i="45"/>
  <c r="P61" i="45"/>
  <c r="AG61" i="45" s="1"/>
  <c r="AF143" i="45"/>
  <c r="AG96" i="45"/>
  <c r="P94" i="45"/>
  <c r="AG94" i="45" s="1"/>
  <c r="AG143" i="45" l="1"/>
  <c r="P143" i="45"/>
  <c r="B52" i="70" l="1"/>
  <c r="D19" i="73"/>
  <c r="C19" i="73"/>
  <c r="D52" i="70"/>
  <c r="C52" i="70"/>
  <c r="D35" i="70" l="1"/>
  <c r="C35" i="70"/>
  <c r="B35" i="70"/>
  <c r="D18" i="70"/>
  <c r="C18" i="70"/>
  <c r="B18" i="70"/>
  <c r="C13" i="73"/>
  <c r="B13" i="73"/>
  <c r="D7" i="73" l="1"/>
  <c r="C7" i="73" l="1"/>
  <c r="B47"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pcuba</author>
  </authors>
  <commentList>
    <comment ref="D3" authorId="0" shapeId="0" xr:uid="{E6C26A05-A625-46AA-8E29-D599487EF3CF}">
      <text>
        <r>
          <rPr>
            <sz val="8"/>
            <color indexed="81"/>
            <rFont val="Tahoma"/>
            <family val="2"/>
          </rPr>
          <t xml:space="preserve">
Nombre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PLH</author>
  </authors>
  <commentList>
    <comment ref="G5041" authorId="0" shapeId="0" xr:uid="{A486B053-DB40-49FA-BAF7-EAB5C12A10C0}">
      <text>
        <r>
          <rPr>
            <b/>
            <sz val="9"/>
            <color indexed="81"/>
            <rFont val="Tahoma"/>
            <family val="2"/>
          </rPr>
          <t xml:space="preserve">LABORA EN CENTRO DE SALD NIEVA
</t>
        </r>
      </text>
    </comment>
    <comment ref="G5055" authorId="0" shapeId="0" xr:uid="{45CD578D-6F01-4BD1-8E33-575ED8A1D1E6}">
      <text>
        <r>
          <rPr>
            <b/>
            <sz val="9"/>
            <color indexed="81"/>
            <rFont val="Tahoma"/>
            <family val="2"/>
          </rPr>
          <t>CON PROBLEMAS SOBRE UN PARTO</t>
        </r>
      </text>
    </comment>
    <comment ref="G5114" authorId="0" shapeId="0" xr:uid="{F502BC7E-3207-45D3-8B3B-43767C7471F9}">
      <text>
        <r>
          <rPr>
            <b/>
            <sz val="9"/>
            <color indexed="81"/>
            <rFont val="Tahoma"/>
            <family val="2"/>
          </rPr>
          <t>CONTRATADO EN LICIENCIA HERNANDEZ MAYAN</t>
        </r>
      </text>
    </comment>
    <comment ref="G5119" authorId="0" shapeId="0" xr:uid="{ABF970D5-B64D-43A2-AB25-6C358E233611}">
      <text>
        <r>
          <rPr>
            <b/>
            <sz val="9"/>
            <color indexed="81"/>
            <rFont val="Tahoma"/>
            <family val="2"/>
          </rPr>
          <t>CONTRATADO EN LICIENCIA HERNANDEZ MAYAN</t>
        </r>
      </text>
    </comment>
    <comment ref="D5353" authorId="1" shapeId="0" xr:uid="{10F076A3-6C85-4014-8795-EA6D6C4B477F}">
      <text>
        <r>
          <rPr>
            <b/>
            <sz val="9"/>
            <color indexed="81"/>
            <rFont val="Tahoma"/>
            <family val="2"/>
          </rPr>
          <t>PLH:</t>
        </r>
        <r>
          <rPr>
            <sz val="9"/>
            <color indexed="81"/>
            <rFont val="Tahoma"/>
            <family val="2"/>
          </rPr>
          <t xml:space="preserve">
ODONTOLOGO</t>
        </r>
      </text>
    </comment>
    <comment ref="H5353" authorId="1" shapeId="0" xr:uid="{440F6D36-7610-441D-A209-80154A4120AD}">
      <text>
        <r>
          <rPr>
            <b/>
            <sz val="9"/>
            <color indexed="81"/>
            <rFont val="Tahoma"/>
            <family val="2"/>
          </rPr>
          <t>PLH:</t>
        </r>
        <r>
          <rPr>
            <sz val="9"/>
            <color indexed="81"/>
            <rFont val="Tahoma"/>
            <family val="2"/>
          </rPr>
          <t xml:space="preserve">
ODONTOLOGO</t>
        </r>
      </text>
    </comment>
    <comment ref="I5353" authorId="1" shapeId="0" xr:uid="{E2083A26-EE33-46C7-A97D-6CAA5598094F}">
      <text>
        <r>
          <rPr>
            <b/>
            <sz val="9"/>
            <color indexed="81"/>
            <rFont val="Tahoma"/>
            <family val="2"/>
          </rPr>
          <t>PLH:</t>
        </r>
        <r>
          <rPr>
            <sz val="9"/>
            <color indexed="81"/>
            <rFont val="Tahoma"/>
            <family val="2"/>
          </rPr>
          <t xml:space="preserve">
ODONTOLOGO</t>
        </r>
      </text>
    </comment>
  </commentList>
</comments>
</file>

<file path=xl/sharedStrings.xml><?xml version="1.0" encoding="utf-8"?>
<sst xmlns="http://schemas.openxmlformats.org/spreadsheetml/2006/main" count="49539" uniqueCount="11143">
  <si>
    <t>03</t>
  </si>
  <si>
    <t>05</t>
  </si>
  <si>
    <t>TOTAL</t>
  </si>
  <si>
    <t>RECURSOS PUBLICOS</t>
  </si>
  <si>
    <t>MONTO</t>
  </si>
  <si>
    <t>PROFESIONALES</t>
  </si>
  <si>
    <t>TECNICOS</t>
  </si>
  <si>
    <t>AUXILIARES</t>
  </si>
  <si>
    <t>DIRECTIVOS/FUNCIONARIOS</t>
  </si>
  <si>
    <t>FUENTE DE FINANCIAMIENTO</t>
  </si>
  <si>
    <t xml:space="preserve"> REMUNERATIVA</t>
  </si>
  <si>
    <t>CATEGORIA</t>
  </si>
  <si>
    <t>PEA</t>
  </si>
  <si>
    <t>F-1</t>
  </si>
  <si>
    <t>SPA</t>
  </si>
  <si>
    <t>SPE</t>
  </si>
  <si>
    <t>STA</t>
  </si>
  <si>
    <t>STE</t>
  </si>
  <si>
    <t>SAA</t>
  </si>
  <si>
    <t>SAE</t>
  </si>
  <si>
    <t>S/.</t>
  </si>
  <si>
    <t>Est. %</t>
  </si>
  <si>
    <t>EST. %</t>
  </si>
  <si>
    <t>GASTOS CORRIENTES */</t>
  </si>
  <si>
    <t>TOTAL (A)</t>
  </si>
  <si>
    <t>01</t>
  </si>
  <si>
    <t>02</t>
  </si>
  <si>
    <t>04</t>
  </si>
  <si>
    <t>06</t>
  </si>
  <si>
    <t>07</t>
  </si>
  <si>
    <t>..</t>
  </si>
  <si>
    <t>OTROS</t>
  </si>
  <si>
    <t>COSTO ANUAL</t>
  </si>
  <si>
    <t>OBLIGACIONES DEL EMPLEADOR (CARGAS SOCIALES)</t>
  </si>
  <si>
    <t>GASTOS VARIABLES Y OCASIONALES</t>
  </si>
  <si>
    <t>COMBUSTIBLE Y LUBRICANTES</t>
  </si>
  <si>
    <t>PROPINAS</t>
  </si>
  <si>
    <t>BIENES DISTRIBUCION GRATUITA</t>
  </si>
  <si>
    <t>PASAJES Y GASTOS DE TRANSPORTE</t>
  </si>
  <si>
    <t>CONTRATACION CON EMPRESAS DE SERVICIOS</t>
  </si>
  <si>
    <t>TRANSFERENCIAS CAFAE</t>
  </si>
  <si>
    <t>RUBROS</t>
  </si>
  <si>
    <t>OTROS SERVICIOS DE TERCEROS</t>
  </si>
  <si>
    <t>BIENES DE CONSUMO</t>
  </si>
  <si>
    <t>ALIMENTOS DE PERSONAS</t>
  </si>
  <si>
    <t>TARIFAS DE SERVICIOS GENERALES</t>
  </si>
  <si>
    <t>SEGUROS</t>
  </si>
  <si>
    <t>VIATICOS Y ASIGNACIONES</t>
  </si>
  <si>
    <t>NUEVOS SOLES</t>
  </si>
  <si>
    <t xml:space="preserve">SERVICIO DE CONSULTORIA </t>
  </si>
  <si>
    <t>CONSULTORIAS</t>
  </si>
  <si>
    <t xml:space="preserve">TOTAL </t>
  </si>
  <si>
    <t>1. RECURSOS ORDINARIOS</t>
  </si>
  <si>
    <t>2. RECURSOS DIRECTAM. RECAUD.</t>
  </si>
  <si>
    <t>3.- RECURSOS OPERACIONES</t>
  </si>
  <si>
    <t>4. DONACIONES Y TRANSFERENCIAS</t>
  </si>
  <si>
    <t>5. RECURSOS DETERMINADOS</t>
  </si>
  <si>
    <t xml:space="preserve">    - CONTRIBUCIONES A FONDOS</t>
  </si>
  <si>
    <t xml:space="preserve">    - FONDO DE COMPENCIÓN MUNICIPAL</t>
  </si>
  <si>
    <t xml:space="preserve">    - IMPUESTOS MUNICIPALES</t>
  </si>
  <si>
    <t xml:space="preserve">    - CANON  Y  SOBRECANON, REGALIAS</t>
  </si>
  <si>
    <t xml:space="preserve">       Y PARTICIPACIONES</t>
  </si>
  <si>
    <t>TOTAL    (*)</t>
  </si>
  <si>
    <t>OTROS (ESPECIFICAR) (**)</t>
  </si>
  <si>
    <t>(PIA) = Presupuesto Institucional de Apertura</t>
  </si>
  <si>
    <t>TIPO DE ESTUDIO Y/O INFORME (*)</t>
  </si>
  <si>
    <t>(*) EL PRODUCTO QUE SE ADQUIERE</t>
  </si>
  <si>
    <t>NIVELES REMUNERATIVOS</t>
  </si>
  <si>
    <t>(1)</t>
  </si>
  <si>
    <t>(2)</t>
  </si>
  <si>
    <t>(3)</t>
  </si>
  <si>
    <t>(4)</t>
  </si>
  <si>
    <t>(5)</t>
  </si>
  <si>
    <t>(6)</t>
  </si>
  <si>
    <t>NOTAS</t>
  </si>
  <si>
    <t xml:space="preserve">(1) PEA: </t>
  </si>
  <si>
    <t xml:space="preserve">(2) REMUNERACION: </t>
  </si>
  <si>
    <t xml:space="preserve">SE CONSIGNARA LA REMUNERACION MENSUAL PROMEDIO DE UN SERVIDOR EN CADA NIVEL DE LA CARRERA PUBLICA SEGUN CORRESPONDA </t>
  </si>
  <si>
    <t xml:space="preserve">(3) CAFAE: </t>
  </si>
  <si>
    <t xml:space="preserve">SE CONSIGNARA EL  INCENTIVO LABORAL  MENSUAL PROMEDIO QUE POR DISPOSICION EXPRESA SE LE OTORGUE A UN SERVIDOR EN CADA NIVEL SEGUN CORRESPONDA </t>
  </si>
  <si>
    <t xml:space="preserve">(4) AETA: </t>
  </si>
  <si>
    <t xml:space="preserve">SOLO APLICABLE AL SECTOR SALUD. SE CONSIGNARA LA ASIGNACION EXTRAORDINARIA POR TRABAJO ASISTENCIAL  MENSUAL PROMEDIO DE UN SERVIDOR EN CADA NIVEL </t>
  </si>
  <si>
    <t xml:space="preserve">SEGUN CORRESPONDA </t>
  </si>
  <si>
    <t xml:space="preserve">(5) OTROS BENEFICIOS - ASIGNACION MENSUAL </t>
  </si>
  <si>
    <t xml:space="preserve">RUBROS ANTERIORES . EN HOJA INDEPENDIENTES SE DETALLARA CADA CONCEPTO Y MONTO, ASI COMO LA DISPOSICION EXPRESA QUE LOS AUTORICE Y LA PERIODICIDAD CON QUE </t>
  </si>
  <si>
    <t xml:space="preserve">SE OTORGA . DEBERA DETALLAR POR CADA CONCEPTO ASI COMO LA DISPOSICION EXPRESA QUE LOS AUTORICE Y LA PERIODICIDAD CON QUE SE OTORGA (MENSUAL, BIMENSUAL, </t>
  </si>
  <si>
    <t>TRIMESTRAL , CUATRIMENSUAL)</t>
  </si>
  <si>
    <t>(7)</t>
  </si>
  <si>
    <t>ADQUISICIONES/CONTRATACIONES/OBRAS</t>
  </si>
  <si>
    <t>FECHA PROG. CONV.</t>
  </si>
  <si>
    <t xml:space="preserve">    - OTROS (ESPECIFICAR)</t>
  </si>
  <si>
    <t>TOTAL SECTOR</t>
  </si>
  <si>
    <t>PROYECTO</t>
  </si>
  <si>
    <t>CODIGO SNIP</t>
  </si>
  <si>
    <t>TIPO DE PROCESO DE SELECCIÓN</t>
  </si>
  <si>
    <t>ADQUISICIÓN</t>
  </si>
  <si>
    <t>OBSERVACIONES</t>
  </si>
  <si>
    <t>ESTADO DEL PROCESO</t>
  </si>
  <si>
    <t>PART. %</t>
  </si>
  <si>
    <t xml:space="preserve">       OFICIALES DE CREDITO</t>
  </si>
  <si>
    <t>SERVICIO DE DEUDA</t>
  </si>
  <si>
    <t>(**) PNUD, BONOS, etc.</t>
  </si>
  <si>
    <t xml:space="preserve"> </t>
  </si>
  <si>
    <t>TIPO DE CONTRATO</t>
  </si>
  <si>
    <t>CAS</t>
  </si>
  <si>
    <t>…</t>
  </si>
  <si>
    <t>PLIEGO</t>
  </si>
  <si>
    <t>UNIDAD EJECUTORA</t>
  </si>
  <si>
    <t xml:space="preserve">OTROS </t>
  </si>
  <si>
    <t>FUNCIÓN DESEMPEÑADA</t>
  </si>
  <si>
    <t>SUB TOTAL GASTOS CORRIENTES</t>
  </si>
  <si>
    <t>SUB TOTAL GASTOS DE CAPITAL</t>
  </si>
  <si>
    <t>SUB TOTAL SERVICIO DE DEUDA</t>
  </si>
  <si>
    <t>GASTOS DE CAPITAL</t>
  </si>
  <si>
    <t>1: Reserva de Contingencia</t>
  </si>
  <si>
    <t>2: Personal y Obligaciones Sociales</t>
  </si>
  <si>
    <t>3: Pensiones y Prestaciones Sociales</t>
  </si>
  <si>
    <t>4: Bienes y Servicios</t>
  </si>
  <si>
    <t>5: Donaciones y Transferencias</t>
  </si>
  <si>
    <t>6: Otros Gastos</t>
  </si>
  <si>
    <t>7: Donaciones y Transferencias</t>
  </si>
  <si>
    <t>8: Otros Gastos</t>
  </si>
  <si>
    <t>9: Adquisiciones de Activos No Financieros</t>
  </si>
  <si>
    <t>10: Adquisiciones de Activos Financieros</t>
  </si>
  <si>
    <t>11: Servicio de la Deuda</t>
  </si>
  <si>
    <t>GASTOS CORRIENTES</t>
  </si>
  <si>
    <t>TRIMESTRAL , CUATRIMENSUAL  O SIN PERIODICIDAD)</t>
  </si>
  <si>
    <t>(8)</t>
  </si>
  <si>
    <t>SUB TOTAL OTROS BENEFICIOS ... (no, mensuales, monto anual)</t>
  </si>
  <si>
    <t>ESPECIALIDAD (**)</t>
  </si>
  <si>
    <t>(**) LA ESPECIALIDAD TOMANDO ENCUENTA HACIENDO REFERENCIA UNA O MAS DE LAS 25 FUNCIONES DEL CLASIFICADOR FUNCIONAL PROGRAMATICO</t>
  </si>
  <si>
    <t xml:space="preserve">CONTRAPRESTACIÓN MENSUAL </t>
  </si>
  <si>
    <t>FUNCIONES</t>
  </si>
  <si>
    <t>PPTO (PIA)</t>
  </si>
  <si>
    <t>1 Legislativa</t>
  </si>
  <si>
    <t>2 Relaciones Exteriores</t>
  </si>
  <si>
    <t>3 Planeam. Gestión y Reserva</t>
  </si>
  <si>
    <t>Decreto Legislativo 728 (Regimen Privado)</t>
  </si>
  <si>
    <t>DNI</t>
  </si>
  <si>
    <t>Apellidos y Nombres</t>
  </si>
  <si>
    <t>Numero de contratos o renovaciones</t>
  </si>
  <si>
    <t>Meses Ejecutados</t>
  </si>
  <si>
    <t>Monto Ejecutado</t>
  </si>
  <si>
    <t>Titulo Profesióonal, Técncio o Capacitación Ocupacional</t>
  </si>
  <si>
    <t>Fuente de Información</t>
  </si>
  <si>
    <t>7: Donaciones y Transferencias (de capital)</t>
  </si>
  <si>
    <t>5: Donaciones y Transferencias (corrientes)</t>
  </si>
  <si>
    <t>6: Otros Gastos (corrientes)</t>
  </si>
  <si>
    <t>8: Otros Gastos (de capital)</t>
  </si>
  <si>
    <t>TOTAL GASTOS UNIDAD EJECUTORA / ENTIDAD PÚBLICA</t>
  </si>
  <si>
    <t>CONTRATANTE</t>
  </si>
  <si>
    <t>CONTRATADO</t>
  </si>
  <si>
    <t>COSTO TOTAL EN PLANILLAS (*)</t>
  </si>
  <si>
    <t>Profesión</t>
  </si>
  <si>
    <t>Grado Academico</t>
  </si>
  <si>
    <t>PEA / Beneficiarios</t>
  </si>
  <si>
    <t>REMUNERACION MENSUAL (cada persona)</t>
  </si>
  <si>
    <t>CAFAE MENSUL (cada persona)</t>
  </si>
  <si>
    <t>AETA MENSUAL (cada persona)</t>
  </si>
  <si>
    <t>OTROS INGRESOS MENSUAL (cada persona)</t>
  </si>
  <si>
    <t>SUB TOTAL INGRESOS MENSUALES (cada persona)</t>
  </si>
  <si>
    <t>AGUINALDOS, GRAFICACIONES Y ESCOLARIDAD (anual cada persona)</t>
  </si>
  <si>
    <r>
      <rPr>
        <b/>
        <sz val="9"/>
        <rFont val="Arial"/>
        <family val="2"/>
      </rPr>
      <t xml:space="preserve">LAS COLUMNAS COMO SEAN NECESARIAS, </t>
    </r>
    <r>
      <rPr>
        <sz val="9"/>
        <rFont val="Arial"/>
        <family val="2"/>
      </rPr>
      <t xml:space="preserve">SE CONSIGNARA LOS OTROS BENEFICIOS - ASIGNACIONES MENSUALES PERIODICOS  DE UN SERVIDOR EN CADA NIVEL SEGÚN CORRESPONDA NO CONSIGNADO EN LOS </t>
    </r>
  </si>
  <si>
    <r>
      <rPr>
        <b/>
        <sz val="9"/>
        <rFont val="Arial"/>
        <family val="2"/>
      </rPr>
      <t xml:space="preserve">LAS COLUMNAS COMO SEAN NECESARIAS, </t>
    </r>
    <r>
      <rPr>
        <sz val="9"/>
        <rFont val="Arial"/>
        <family val="2"/>
      </rPr>
      <t xml:space="preserve">SE CONSIGNARA LOS OTROS BENEFICIOS - ASIGNACIONES PERIODICOS O NO PERIODICAS DE UN SERVIDOR EN CADA NIVEL SEGÚN CORRESPONDA NO CONSIGNADO EN LOS </t>
    </r>
  </si>
  <si>
    <t>(9)</t>
  </si>
  <si>
    <t>TOTAL INGRESO ANUAL PEA</t>
  </si>
  <si>
    <t>TOTAL INGRESOS ANUAL POR PERSONA</t>
  </si>
  <si>
    <t>MONTO ANUAL</t>
  </si>
  <si>
    <t>(10)</t>
  </si>
  <si>
    <t>DIFERENCIA INGRESO ANUAL PEA</t>
  </si>
  <si>
    <t xml:space="preserve">DIFERENCIA INGRESO ANUAL POR PERSONAL </t>
  </si>
  <si>
    <t>SE CONSIGNARA EL NUMERO TOTAL DE PERSONAL ACTIVO ( NOMBRADO Y CONTRATADO) SEGÚN EL PRESUPUESTO ANILITOCO DE PERSONAL (PAP) APROBADO</t>
  </si>
  <si>
    <t>(**) Recursos Públicos / Recursos Ordinarios / Recursos Directamente Recaudados / Donaciones  y  Transferencias / Operaciones Oficiales de Crédito/ Recursos Determinados</t>
  </si>
  <si>
    <t>SECTOR O GOB. REGIONAL:</t>
  </si>
  <si>
    <t>FECHA DE SUSCRIPCION DEL CONTRATO</t>
  </si>
  <si>
    <t>FECHA DE VENCIMIENTO DEL PLAZO</t>
  </si>
  <si>
    <t>PLAZO DE EJEUCION DE OBRAS</t>
  </si>
  <si>
    <t>AMPLIACION DE PLAZO</t>
  </si>
  <si>
    <t>FECHA DE VENCIMIENTO DE PLAZO</t>
  </si>
  <si>
    <t>FECHA DE ENTREGA</t>
  </si>
  <si>
    <t>FECHA DE CONFORMIDAD DE OBRA</t>
  </si>
  <si>
    <t>VESTUARIO</t>
  </si>
  <si>
    <t>BONOS POR FUNCION JURIDICCIONAL Y FISCAL</t>
  </si>
  <si>
    <t>ESCOLARIDAD, AGUINALDO Y GRATIFICACIONES</t>
  </si>
  <si>
    <t>BONIFICACIÓN EXTRAORDINARIA (INACEPTACIÓN DE GRATIFICACIONES)</t>
  </si>
  <si>
    <t>DIETAS</t>
  </si>
  <si>
    <t>RETRIBUCIONES EN BIENES</t>
  </si>
  <si>
    <t>MOVILIDAD PARA TRASLADO DE TRABAJADORES</t>
  </si>
  <si>
    <t>PRODUCTIVIDAD</t>
  </si>
  <si>
    <t>SEGUROS (ESPECIFICAR)</t>
  </si>
  <si>
    <t>GASTOS POR ESTACIONAMIENTO DE VEHICULOS</t>
  </si>
  <si>
    <t>DIETA DE DIRECTORIO</t>
  </si>
  <si>
    <t>OTROS INGRESOS NO MENSUALES 
(anual cada personal)</t>
  </si>
  <si>
    <t>INCENTIVOS O PRODUCTIVIDAD (cada persona)</t>
  </si>
  <si>
    <t>MOVILIDAD</t>
  </si>
  <si>
    <t>RACIONAMIENTO</t>
  </si>
  <si>
    <t>BONOS</t>
  </si>
  <si>
    <t>(10) SUB TOTAL</t>
  </si>
  <si>
    <t>SUMATORIA DE LAS COLUMNAS (2), (3), (4), (5), (6), (7), (8), (9)</t>
  </si>
  <si>
    <t>(11) AGUINALDOS, GRAFICACIONES Y ESCOLARIDAD</t>
  </si>
  <si>
    <t>(12) OTROS BENEFICIOS - ASIGNACION ANUAL</t>
  </si>
  <si>
    <t>(11)</t>
  </si>
  <si>
    <t>(12)</t>
  </si>
  <si>
    <t xml:space="preserve">MULTIMPLACIÓN DE LA COLUMNA (10) POR 12 (MESES) Y AL RESULTADO SE SUMA LA COLUMNA (13) </t>
  </si>
  <si>
    <t>(13)</t>
  </si>
  <si>
    <t>(14)</t>
  </si>
  <si>
    <t>(15)</t>
  </si>
  <si>
    <t>(14) TOTAL INGRESOS ANUAL POR PERSONA</t>
  </si>
  <si>
    <t>(15) TOTAL ANUAL PEA</t>
  </si>
  <si>
    <t>(13) SUB TOTAL OTROS BENEFICIOS</t>
  </si>
  <si>
    <t>SUMATORIA DE LAS COLUMNAS (11) Y (12)</t>
  </si>
  <si>
    <t>MULTIPLICACIÓN DEL A COMUNTA (1) POR LA COLUMNA (14)</t>
  </si>
  <si>
    <t>CONTRATISTA (RUC y Denominacion)</t>
  </si>
  <si>
    <t>MODALIDAD</t>
  </si>
  <si>
    <t>NUMERO DEL PROCESO</t>
  </si>
  <si>
    <t>PROGRAMAS SOCIALES</t>
  </si>
  <si>
    <t>JUNTOS</t>
  </si>
  <si>
    <t>SAMU</t>
  </si>
  <si>
    <t>SMN</t>
  </si>
  <si>
    <t>Mortalidad Materna</t>
  </si>
  <si>
    <t>Mortalidad Neonatal</t>
  </si>
  <si>
    <t>II.  GESTACIÓN</t>
  </si>
  <si>
    <t>PAN</t>
  </si>
  <si>
    <t>CUNA MAS</t>
  </si>
  <si>
    <t>Desnutrición Cronica</t>
  </si>
  <si>
    <t>Mortalidad Infantil</t>
  </si>
  <si>
    <t>Desarrollo cognitivo, lenguaje, socioemocional y motor</t>
  </si>
  <si>
    <t>PELA</t>
  </si>
  <si>
    <t>Logros de aprendizaje</t>
  </si>
  <si>
    <t>Cobertura escolar</t>
  </si>
  <si>
    <t>PELA Primaria</t>
  </si>
  <si>
    <t>PELA Secundaria</t>
  </si>
  <si>
    <t>Logros de aprindizaje</t>
  </si>
  <si>
    <t>Deserción escolar</t>
  </si>
  <si>
    <t>Jovenes a la obra</t>
  </si>
  <si>
    <t>Beca 18</t>
  </si>
  <si>
    <t>Acceso a la educación superior de calidad</t>
  </si>
  <si>
    <t>Educacion pertienente para el mercado laboral</t>
  </si>
  <si>
    <t>Pensión 65</t>
  </si>
  <si>
    <t>Asegurar las condiciones básicas para la subsistencia</t>
  </si>
  <si>
    <t>III.  De 0 a 2 AÑOS</t>
  </si>
  <si>
    <t>IV. DE 3 A 5 AÑOS</t>
  </si>
  <si>
    <t>V. DE 6 A 12 AÑOS</t>
  </si>
  <si>
    <t>VI. DE 13 A 17 AÑOS</t>
  </si>
  <si>
    <t>VII. DE 17 A 24 AÑOS</t>
  </si>
  <si>
    <t>VIII. DE 65 A MAS</t>
  </si>
  <si>
    <t>I.  DE GESTANTES A NIÑOS DE HASTA 14 AÑOS</t>
  </si>
  <si>
    <t>BENEFICIARIOS</t>
  </si>
  <si>
    <t>PRESUPUESTO PIA</t>
  </si>
  <si>
    <t>PRESUPUESTO PIM</t>
  </si>
  <si>
    <t>MONTO PRESUPUESTADO (*)</t>
  </si>
  <si>
    <t>0: Reserva de Contingencia</t>
  </si>
  <si>
    <t>1: Personal y Obligaciones Sociales</t>
  </si>
  <si>
    <t>2: Pensiones y Prestaciones Sociales</t>
  </si>
  <si>
    <t>3: Bienes y Servicios</t>
  </si>
  <si>
    <t>4: Donaciones y Transferencias</t>
  </si>
  <si>
    <t>5: Otros Gastos</t>
  </si>
  <si>
    <t>6: Adquisiciones de Activos No Financieros</t>
  </si>
  <si>
    <t>7: Adquisiciones de Activos Financieros</t>
  </si>
  <si>
    <t>8: Servicio de la Deuda</t>
  </si>
  <si>
    <t>4 Defensa y Seg. Nacional</t>
  </si>
  <si>
    <t>5 Orden Púb. y Seguridad</t>
  </si>
  <si>
    <t>6 Justicia</t>
  </si>
  <si>
    <t>7 Trabajo</t>
  </si>
  <si>
    <t>8 Comercio</t>
  </si>
  <si>
    <t>9 Turismo</t>
  </si>
  <si>
    <t>10 Agropecuaria</t>
  </si>
  <si>
    <t>11 Pesca</t>
  </si>
  <si>
    <t>12 Energía</t>
  </si>
  <si>
    <t>13 Mineria</t>
  </si>
  <si>
    <t>14 Industria</t>
  </si>
  <si>
    <t>15 Transporte</t>
  </si>
  <si>
    <t>16 Comunicaciones</t>
  </si>
  <si>
    <t>17 Ambiente</t>
  </si>
  <si>
    <t>18 aneamiento</t>
  </si>
  <si>
    <t>19 Vivienda y Des. Urbano</t>
  </si>
  <si>
    <t>20 Salud</t>
  </si>
  <si>
    <t>21 Cultura y Deporte</t>
  </si>
  <si>
    <t>22 Educación</t>
  </si>
  <si>
    <t>23 Protección Social</t>
  </si>
  <si>
    <t>24 Previsión Social</t>
  </si>
  <si>
    <t>25 Deuda Pública</t>
  </si>
  <si>
    <t>VIAJES</t>
  </si>
  <si>
    <t>SUMINISTROS PARA MANTENIMIENTO Y REPARACION</t>
  </si>
  <si>
    <t>SERVICIOS BASICOS, COMUNICACIONES, PUBLICIDAD Y DIFUSION</t>
  </si>
  <si>
    <t>COMBUSTIBLE, CARBURANTES, LUBRICANTES Y AFINES</t>
  </si>
  <si>
    <t>SERVICIOS DE LIMPIEZA, SEGURIDAD Y VIGILANCIA</t>
  </si>
  <si>
    <t>SERVICIO DE MANTENIMIENTO, ACONDICIONAMIENTO Y REPARA</t>
  </si>
  <si>
    <t>ALQUILERES DE MUEBLES E INMUEBLES</t>
  </si>
  <si>
    <t>MATERIALES Y UTILES</t>
  </si>
  <si>
    <t>REPUESTOS Y ACCESORIOS</t>
  </si>
  <si>
    <t>SERVICIOS ADMINISTRATIVOS, FINANCIEROS Y DE SEGUROS</t>
  </si>
  <si>
    <t>ENSERES</t>
  </si>
  <si>
    <t>SERVICIOS PROFESIONALES Y TECNICOS</t>
  </si>
  <si>
    <t>CONTRATO ADMINISTRATIVO DE SERVICIOS</t>
  </si>
  <si>
    <t>SUMINISTROS MEDICOS</t>
  </si>
  <si>
    <t>MATERIALES Y UTILES DE ENSEÑANZA</t>
  </si>
  <si>
    <t>SUMINISTROS PARA USO AGROPECUARIO, FORESTAL Y VETERIN</t>
  </si>
  <si>
    <t>COMPRA DE OTROS BIENES</t>
  </si>
  <si>
    <t>CAFAE MENSUAL (cada persona)</t>
  </si>
  <si>
    <t>Linea Base</t>
  </si>
  <si>
    <t>Meta 2021</t>
  </si>
  <si>
    <t>Responsable</t>
  </si>
  <si>
    <t>Resultado</t>
  </si>
  <si>
    <t>Proyectado</t>
  </si>
  <si>
    <t>Meta</t>
  </si>
  <si>
    <t>UNIDADES EJECUTORAS O ENTIDADES PÚBLICAS ADSCRITAS AL SECTOR</t>
  </si>
  <si>
    <t>RESERVA DE CONTINGENCIA</t>
  </si>
  <si>
    <t>PERSONAL Y OBLIGAC. SOC.</t>
  </si>
  <si>
    <t>PENSIONES Y PREST. SOC.</t>
  </si>
  <si>
    <t>BIENES Y SERVICIOS</t>
  </si>
  <si>
    <t>DONACIONES TRANSFER.</t>
  </si>
  <si>
    <t>OTROS GASTOS</t>
  </si>
  <si>
    <t>SUB TOTAL GASTO CTE</t>
  </si>
  <si>
    <t>DONACIONES Y TRANSFER,</t>
  </si>
  <si>
    <t>ADQUIS. ACT. NO FINANC.</t>
  </si>
  <si>
    <t>ADQUIS. ACT. FINANC.</t>
  </si>
  <si>
    <t>SUB TOTAL GASTOS CAP.</t>
  </si>
  <si>
    <t xml:space="preserve">SERVICIO DE DEUDA </t>
  </si>
  <si>
    <t>SUB TOTAL SER. DEUDA</t>
  </si>
  <si>
    <t>Ley 30057 
(Ley del Servicio Civil)</t>
  </si>
  <si>
    <t>PLIEGOS DEL SECTOR O GOBIERNO REGIONAL</t>
  </si>
  <si>
    <t>PLIEGO O ENTIDAD DEL SECTOR</t>
  </si>
  <si>
    <t>Nombre del Indicador</t>
  </si>
  <si>
    <t>Objetivo Estrategico Institucional
(Código y Enunciado)</t>
  </si>
  <si>
    <t>Objetivo Estrategico Sectorial
(Código)</t>
  </si>
  <si>
    <t>Decreto Legislativo 1057 (Contrato Administrativo de Servicios</t>
  </si>
  <si>
    <t>(**) Incluye el monto pagado por otras entidades al personal que presta servidos en el Sector o Gobierno Regional</t>
  </si>
  <si>
    <t>Decreto Legislativo 1024 (Gerentes Públicos) (**)</t>
  </si>
  <si>
    <t>Ley 25650 (Fondo de Apoyo Generencial) (**)</t>
  </si>
  <si>
    <t>Ley 29806 (Personal Altamente Calificado) (**)</t>
  </si>
  <si>
    <t xml:space="preserve">(***) Detallar el marco legal </t>
  </si>
  <si>
    <t>(*) Incluye GRATIFICACIONES, CAFAE, PNUD, BONOS, PRODUCTIVIDAD, HORAS EXTRAS, GUARDIAS, AETAS, etc.</t>
  </si>
  <si>
    <t xml:space="preserve">Total </t>
  </si>
  <si>
    <t>S/ Anual (****)</t>
  </si>
  <si>
    <t>Practicantes (***)</t>
  </si>
  <si>
    <t>(****) Proyectado</t>
  </si>
  <si>
    <t>ARRENDATARIO</t>
  </si>
  <si>
    <t>ARRENDADOR</t>
  </si>
  <si>
    <t>DNI O PARTIDA REGISTRAL</t>
  </si>
  <si>
    <t>Apellidos y Nombres o Denominación</t>
  </si>
  <si>
    <t>INMUEBLE</t>
  </si>
  <si>
    <t>CONTRATO</t>
  </si>
  <si>
    <t>VIGENCIA DEL CONTRATO</t>
  </si>
  <si>
    <t>MONTO MENSUAL</t>
  </si>
  <si>
    <t>BIEN PROPIO DE TERCEROS O AJENO</t>
  </si>
  <si>
    <t>PARTIDA REGISTRAL DE INCRIPCION DE PROPIEDAD</t>
  </si>
  <si>
    <t>METROS CUADRADOS</t>
  </si>
  <si>
    <t>COCHERAS</t>
  </si>
  <si>
    <t xml:space="preserve">FORMA DE PAGO (MENSUAL O ANUAL) Y FECHA DE PAGO </t>
  </si>
  <si>
    <t>PIA TOTAL S/</t>
  </si>
  <si>
    <t>PIM TOTAL S/</t>
  </si>
  <si>
    <t>EJECUCIÓN TOTAL S/</t>
  </si>
  <si>
    <t>EJECUCIÓN 
POR FUENTE DE FINANCIAMIENTO</t>
  </si>
  <si>
    <t>PIM 
POR FUENTE DE FINANCIAMIENTO</t>
  </si>
  <si>
    <t>PIA 
POR FUENTE DE FINANCIAMIENTO</t>
  </si>
  <si>
    <t>1: Acciones Centrales (AC)</t>
  </si>
  <si>
    <t>2: Asignaciones Presupuestarias que No Resultan en Productos (APNP)</t>
  </si>
  <si>
    <t>3: Programas Presupuestales</t>
  </si>
  <si>
    <t>PIA
POR CATEGORIA PRESUPUESTAL</t>
  </si>
  <si>
    <t>PIM
POR CATEGORIA PRESUPUESTAL</t>
  </si>
  <si>
    <t>EJECUCIÓN
POR CATEGORIA PRESUPUESTAL</t>
  </si>
  <si>
    <t>PIA
POR PROGRAMA PRESUPUESTAL</t>
  </si>
  <si>
    <t>PIM
POR PROGRAMA PRESUPUESTAL</t>
  </si>
  <si>
    <t>EJECUCIÓN
POR PROGRAMA PRESUPUESTAL</t>
  </si>
  <si>
    <t>SECTOR o GOB. REGIONAL:</t>
  </si>
  <si>
    <t>SECTOR  o GOB. REGIONAL: (EJEMPLO SECTOR SALUD)</t>
  </si>
  <si>
    <r>
      <t xml:space="preserve">PLIEGO: </t>
    </r>
    <r>
      <rPr>
        <sz val="10"/>
        <rFont val="Arial"/>
        <family val="2"/>
      </rPr>
      <t>Todos los pliegos del sector y cada pliego del sector</t>
    </r>
  </si>
  <si>
    <t>Decreto Legislativo 276 (Regimen Público)</t>
  </si>
  <si>
    <t>(*) DEBE COINCIDIR CON LOS MONTOS ASIGNADOS EN LA GENERICA 1. PERSONAL Y OBLIGACIONES SOCIALES CONSIDERADAS EN EL PRESUPUESTO</t>
  </si>
  <si>
    <r>
      <t xml:space="preserve">PLIEGO: </t>
    </r>
    <r>
      <rPr>
        <sz val="9"/>
        <rFont val="Arial"/>
        <family val="2"/>
      </rPr>
      <t>Todos los pliego del sector y cada pliego del sector</t>
    </r>
  </si>
  <si>
    <t>(*) DEBE COINCIDIR CON LOS MONTOS ASIGNADOS EN LA GENERICA 3. BIENES Y SERVICIOS CONSIDERADAS EN EL PRESUPUESTO 2018 - 2019 - 2020</t>
  </si>
  <si>
    <t>EJECUCIÓN S/</t>
  </si>
  <si>
    <t>(*) Una línea por cada año fiscal, consignado en monto presupuestado por cada año presupuestal</t>
  </si>
  <si>
    <t>PERSONA JURIDICA (RUC)</t>
  </si>
  <si>
    <t>PERSONA NATURAL (DNI)</t>
  </si>
  <si>
    <t xml:space="preserve">    - OTROS (ESPECIFIQUE)</t>
  </si>
  <si>
    <t xml:space="preserve">       OFICIALES DE CRED. EXTERNO</t>
  </si>
  <si>
    <t>MONEDA</t>
  </si>
  <si>
    <t>FECHA DE APERTURA</t>
  </si>
  <si>
    <t>CUENTA</t>
  </si>
  <si>
    <t>BANCO / INSTITUCIÓN FINANCIERA</t>
  </si>
  <si>
    <t>CUENTAS BANCARIAS</t>
  </si>
  <si>
    <t>ESPECIFICACIONES RECURSOS PUBLICOS</t>
  </si>
  <si>
    <t>ÍNDICE DE FORMATOS</t>
  </si>
  <si>
    <t>FORMATO Nº 1:</t>
  </si>
  <si>
    <t>FORMATO Nº 2:</t>
  </si>
  <si>
    <t>FORMATO Nº 3:</t>
  </si>
  <si>
    <t>FORMATO Nº 4:</t>
  </si>
  <si>
    <t>FORMATO Nº 5:</t>
  </si>
  <si>
    <t>FORMATO Nº 6:</t>
  </si>
  <si>
    <t>FORMATO Nº 7:</t>
  </si>
  <si>
    <t>FORMATO Nº 8:</t>
  </si>
  <si>
    <t>FORMATO Nº 9:</t>
  </si>
  <si>
    <t>FORMATO Nº 10:</t>
  </si>
  <si>
    <t>FORMATO Nº 11:</t>
  </si>
  <si>
    <t>FORMATO Nº 12:</t>
  </si>
  <si>
    <t>FORMATO Nº 13:</t>
  </si>
  <si>
    <t>FORMATO Nº 14:</t>
  </si>
  <si>
    <t>FORMATO Nº 15:</t>
  </si>
  <si>
    <t>FORMATO Nº 16:</t>
  </si>
  <si>
    <t>FORMATO Nº 17:</t>
  </si>
  <si>
    <t>FORMATO Nº 18:</t>
  </si>
  <si>
    <t>INDICADORES INSTITUCIONALES</t>
  </si>
  <si>
    <t>DISTRIBUCIÓN DEL GASTO</t>
  </si>
  <si>
    <t>GASTOS DE PERSONAL</t>
  </si>
  <si>
    <t>GASTOS EN BIENES Y SERVICIOS</t>
  </si>
  <si>
    <t>DIferencia 
(2020-2021)</t>
  </si>
  <si>
    <t>2020 (PIA)</t>
  </si>
  <si>
    <t>Variación % (2020-2021)</t>
  </si>
  <si>
    <t>Diferencia PIA (2020-2021)</t>
  </si>
  <si>
    <t>INGRESOS PERSONAL PRESUPUESTO 2020</t>
  </si>
  <si>
    <t>FORMATO 01: INDICADORES DE GESTIÓN SEGÚN OBJETIVOS ESTRATÉGICOS INSTITUCIONALES AL 2022</t>
  </si>
  <si>
    <t>FORMATO 02: DISTRIBUCIÓN DEL PRESUPUESTO POR CATEGORÍA PRESUPUESTAL 2020, 2021 Y PROYECTO 2022</t>
  </si>
  <si>
    <t>2021 (*)</t>
  </si>
  <si>
    <t>2022 (**)</t>
  </si>
  <si>
    <t>(*) Proyección al 31/12/2021</t>
  </si>
  <si>
    <t>(**) Proyecto 2022</t>
  </si>
  <si>
    <t>FORMATO 03: DISTRIBUCIÓN DEL PRESUPUESTO POR FUENTE DE FINANCIAMIENTO 2020, 2021 Y PROYECTO 2022</t>
  </si>
  <si>
    <t>FORMATO 04: DISTRIBUCIÓN DEL GASTO POR UNIDADES EJECUTORAS / ENTIDAD PÚBLICA Y FUENTES DE FINANCIAMIENTO - PROYECTO 2022</t>
  </si>
  <si>
    <t>FORMATO 05: DISTRIBUCIÓN DEL PRESUPUESTO POR PROGRAMA PRESUPUESTAL 2020, 2021 Y 2022</t>
  </si>
  <si>
    <t>FORMATO 06: PROGRAMAS SOCIALES PRIORIZADOS SEGÚN EL CICLO DE VIDA POR FUENTE DE FINANCIAMIENTO 2020, 2021 Y PROYECTO 2022</t>
  </si>
  <si>
    <t>Proyecto 2022</t>
  </si>
  <si>
    <t>Estimado 2021 (**)</t>
  </si>
  <si>
    <t>DIferencia 
(2021-2022)</t>
  </si>
  <si>
    <t>FORMATO 07: RESUMEN POR GRUPO GENÉRICO Y FUENTES DE FINANCIAMIENTO PROYECTO 2022</t>
  </si>
  <si>
    <t>GASTO CORRIENTE 2022</t>
  </si>
  <si>
    <t>GASTO CAPITAL 2022</t>
  </si>
  <si>
    <t>SERVICIO DE DEUDA 2022</t>
  </si>
  <si>
    <t>FORMATO 08: RESUMEN DE PRESUPUESTO POR FUNCIONES PIA 2020, 2021 Y PROYECTO 2022</t>
  </si>
  <si>
    <t>Var. % (2021-2022)</t>
  </si>
  <si>
    <t>FORMATO 09: COMPARATIVO DEL NÚMERO DE PLAZAS EN EL PRESUPUESTO  2021 Y PROYECTO 2022</t>
  </si>
  <si>
    <t>2021 (PIA)</t>
  </si>
  <si>
    <t>2022  (PROYECTO)</t>
  </si>
  <si>
    <t>FORMATO 11: INGRESOS MENSUALES POR PERIODO DEL PERSONAL ACTIVO -  COMPARATIVO PRESUPUESTO 2020, 2021 Y PROYECTO 2022</t>
  </si>
  <si>
    <t>INGRESOS PERSONAL PRESUPUESTO 2021</t>
  </si>
  <si>
    <t>DIFERENCIA 
(2020 -2021)</t>
  </si>
  <si>
    <t>PROYECTO 2022</t>
  </si>
  <si>
    <t>PPTO 2020
(PIA)</t>
  </si>
  <si>
    <t>FORMATO 12: ASIGNACIÓN DE BIENES Y SERVICIOS - COMPARATIVO PRESUPUESTO 2020, 2021 Y PROYECTO 2022</t>
  </si>
  <si>
    <t>PPTO 2021 (PIM)</t>
  </si>
  <si>
    <t>PPTO 2021 
(PIA)</t>
  </si>
  <si>
    <t>PPTO 2021
(PIM 30 JUNIO)</t>
  </si>
  <si>
    <t>PPTO 2022 (PROYECTO)</t>
  </si>
  <si>
    <t>Diferencia PIA (2021-2022)</t>
  </si>
  <si>
    <t>FORMATO 13: CONTRATOS DE OBRAS SUSCRITOS EN LOS AÑOS 2020 Y 2021</t>
  </si>
  <si>
    <t>FORMATO 14: PRINCIPALES ADQUISICIONES DE BIENES Y SERVICIOS - PRESUPUESTO 2020, 2021 Y PROYECTO 2022</t>
  </si>
  <si>
    <t>FORMATO 15: DETALLE DE CONSULTORIAS PERSONAS JURÍDICAS Y NATURALES - PRESUPUESTO 2020 Y 2021</t>
  </si>
  <si>
    <t>FORMATO 16: TESORERIA - RESUMEN POR GRUPO GENERICO Y FUENTES DE FINANCIAMIENTO 2020 Y 2021</t>
  </si>
  <si>
    <t>FORMATO 17: NOMBRES E INGRESOS MENSUALES DEL PERSONAL CONTRATADO FUERA DEL PAP EN LOS AÑOS FISCALES 2020 Y 2021</t>
  </si>
  <si>
    <t>(*) Al 30 de junio de 2021</t>
  </si>
  <si>
    <t>FORMATO 18: ALQUILER DE INMUEBLES EN LOS AÑOS FISCALES 2020 Y 2021</t>
  </si>
  <si>
    <t>(*) = Al 30 de junio de 2021</t>
  </si>
  <si>
    <t>(**) Saldo al 30 de Junio de 2021</t>
  </si>
  <si>
    <t>INDICADORES DE GESTIÓN SEGÚN OBJETIVOS ESTRATÉGICOS INSTITUCIONALES AL 2022</t>
  </si>
  <si>
    <t>DISTRIBUCIÓN DEL PRESUPUESTO POR CATEGORÍA PRESUPUESTAL 2020, 2021 Y PROYECTO 2022</t>
  </si>
  <si>
    <t>DISTRIBUCIÓN DEL PRESUPUESTO POR FUENTE DE FINANCIAMIENTO 2020, 2021 Y PROYECTO 2022</t>
  </si>
  <si>
    <t>DISTRIBUCIÓN DEL GASTO POR UNIDADES EJECUTORAS / ENTIDAD PÚBLICA Y FUENTES DE FINANCIAMIENTO - PROYECTO 2022</t>
  </si>
  <si>
    <t>DISTRIBUCIÓN DEL PRESUPUESTO POR PROGRAMA PRESUPUESTAL 2020, 2021 Y 2022</t>
  </si>
  <si>
    <t>PROGRAMAS SOCIALES PRIORIZADOS SEGÚN EL CICLO DE VIDA POR FUENTE DE FINANCIAMIENTO 2020, 2021 Y PROYECTO 2022</t>
  </si>
  <si>
    <t>RESUMEN POR GRUPO GENÉRICO Y FUENTES DE FINANCIAMIENTO PROYECTO 2022</t>
  </si>
  <si>
    <t>RESUMEN DE PRESUPUESTO POR FUNCIONES PIA 2020, 2021 Y PROYECTO 2022</t>
  </si>
  <si>
    <t>COMPARATIVO DEL NÚMERO DE PLAZAS EN EL PRESUPUESTO 2020, 2021 Y PROYECTO 2022</t>
  </si>
  <si>
    <t>INFORMACIÓN DE REMUNERACIONES Y NÚMERO DE PLAZAS - PRESUPUESTO 2020, 2021 Y PROYECTO 2022</t>
  </si>
  <si>
    <t>INGRESOS MENSUALES POR PERIODO DEL PERSONAL ACTIVO -  COMPARATIVO PRESUPUESTO 2020, 2021 Y PROYECTO 2022</t>
  </si>
  <si>
    <t>ASIGNACIÓN DE BIENES Y SERVICIOS - COMPARATIVO PRESUPUESTO 2020, 2021 Y PROYECTO 2022</t>
  </si>
  <si>
    <t>CONTRATOS DE OBRAS SUSCRITOS EN LOS AÑOS 2020 Y 2021</t>
  </si>
  <si>
    <t>PRINCIPALES ADQUISICIONES DE BIENES Y SERVICIOS - PRESUPUESTO 2020, 2021 Y PROYECTO 2022</t>
  </si>
  <si>
    <t>DETALLE DE CONSULTORIAS PERSONAS JURÍDICAS Y NATURALES - PRESUPUESTO 2020, 2021 Y PROYECTO 2022</t>
  </si>
  <si>
    <t>TESORERIA - RESUMEN POR GRUPO GENERICO Y FUENTES DE FINANCIAMIENTO 2020 Y 2021</t>
  </si>
  <si>
    <t>NOMBRES E INGRESOS MENSUALES DEL PERSONAL CONTRATADO FUERA DEL PAP EN LOS AÑOS FISCALES 2020 Y 2021</t>
  </si>
  <si>
    <t>ALQUILER DE INMUEBLES EN LOS AÑOS FISCALES 2020 Y 2021</t>
  </si>
  <si>
    <t>SALDO 2021 (*)</t>
  </si>
  <si>
    <t>PPTO 2020 (AL 31/12)</t>
  </si>
  <si>
    <t>PPTO 2021 (AL 30/06)</t>
  </si>
  <si>
    <t>2021 (JUNIO)</t>
  </si>
  <si>
    <t>PROYECCIÓN 2022 (JUNIO)</t>
  </si>
  <si>
    <t>SALDO 2021 (**)</t>
  </si>
  <si>
    <t>EJECUCIÓN 2021 (*)</t>
  </si>
  <si>
    <t>(**) Estimado al 31 de diciembre de 2021</t>
  </si>
  <si>
    <t>FORMATO Nº 10: INFORMACIÓN DE REMUNERACIONES Y NÚMERO DE PLAZAS - PRESUPUESTO 2020, 2021 Y PROYECTO 2022</t>
  </si>
  <si>
    <t>TOTAL INGRESO ANUAL PEA (Proyección al 31 de diciembre de  2021)</t>
  </si>
  <si>
    <t>TOTAL INGRESO ANUAL PEA (Proyección al 31 de diciembre de 2022)</t>
  </si>
  <si>
    <t>AÑO FISCAL 2020</t>
  </si>
  <si>
    <t>AÑO FISCAL 2021 (*)</t>
  </si>
  <si>
    <t>EJECUCIÓN 2020</t>
  </si>
  <si>
    <t>SECTOR o GOB. REGIONAL</t>
  </si>
  <si>
    <t>PLIEGO 440 - GOBIERNO REGIONAL AMAZONAS</t>
  </si>
  <si>
    <t>OEI.01 Garantizar la calidad de los servicios de Salud en el departamento</t>
  </si>
  <si>
    <t>Puesto de ubicación del pilar salud en el ranking regional</t>
  </si>
  <si>
    <t>Puesto 20 (2017)</t>
  </si>
  <si>
    <t>INCORE</t>
  </si>
  <si>
    <t>SGPAT</t>
  </si>
  <si>
    <t>OEI.02 Mejorar la calidad de los servicios de Saneamiento en el departamento</t>
  </si>
  <si>
    <t>Porcentaje de hogares con acceso al servicio de agua con concentración de Cloro &gt;0.5 ppm</t>
  </si>
  <si>
    <t>16%       (2017)</t>
  </si>
  <si>
    <t>DATASS</t>
  </si>
  <si>
    <t>DRVCS</t>
  </si>
  <si>
    <t>OEI.03 Mejorar la calidad de los servicios educativos con equidad en el departamento</t>
  </si>
  <si>
    <t>Porcentaje de estudiantes en el nivel satisfactorio en comprensión lectora del 2do grado de secundaria</t>
  </si>
  <si>
    <t>7%             (2015)</t>
  </si>
  <si>
    <t>ECE</t>
  </si>
  <si>
    <t>DREA</t>
  </si>
  <si>
    <t>Porcentaje de estudiantes en el nivel satisfactorio en lógico matemático del 2do grado de secundaria</t>
  </si>
  <si>
    <t>6%          (2015)</t>
  </si>
  <si>
    <t>OEI.04 Promover la competitividad económica con enfoque de investigación, desarrollo e innovación en el departamento</t>
  </si>
  <si>
    <t>Número de Mypes formalizados</t>
  </si>
  <si>
    <t>_</t>
  </si>
  <si>
    <t>DIREPRO</t>
  </si>
  <si>
    <t>GRDE</t>
  </si>
  <si>
    <t>Número de cadenas productivas fortalecidas y operativas en el departamento Amazonas</t>
  </si>
  <si>
    <t>DIREPRO/ DRA</t>
  </si>
  <si>
    <t>OEI.05 Promover la gestión de riesgo de desastres en el departamento</t>
  </si>
  <si>
    <t>Número de personas afectadas por factores climáticos adversos y atendidos oportunamente</t>
  </si>
  <si>
    <t>4823           (2016)</t>
  </si>
  <si>
    <t>SINPAD</t>
  </si>
  <si>
    <t>DNGRD</t>
  </si>
  <si>
    <t>Número de localidades que cuenten con plan de gestión de riesgos implementado</t>
  </si>
  <si>
    <t>OEI.06 Promover la conservación y el aprovechamiento sostenible de los recursos naturales en el departamento</t>
  </si>
  <si>
    <t>Número de hectáreas de bosques aprovechadas con título habilitantes</t>
  </si>
  <si>
    <t>8 099          (2017)</t>
  </si>
  <si>
    <t>3 649.32</t>
  </si>
  <si>
    <t>ARA</t>
  </si>
  <si>
    <t>5 473.98</t>
  </si>
  <si>
    <t>Número de hectáreas conservadas aprobadas por el SERNANP</t>
  </si>
  <si>
    <t>719370.3      (2017)</t>
  </si>
  <si>
    <t>25 000</t>
  </si>
  <si>
    <t>SERNANP</t>
  </si>
  <si>
    <t>50 000</t>
  </si>
  <si>
    <t>Número de cuencas con gestión integrada de recursos hídricos</t>
  </si>
  <si>
    <t>ALA</t>
  </si>
  <si>
    <t>OEI.07 Fortalecer un destino turístico seguro, competitivo e integrado en el departamento</t>
  </si>
  <si>
    <t>Arribo de turistas a Amazonas</t>
  </si>
  <si>
    <t>382 351      (2016)</t>
  </si>
  <si>
    <t>246 105</t>
  </si>
  <si>
    <t>MINCETUR</t>
  </si>
  <si>
    <t>DIRCETUR</t>
  </si>
  <si>
    <t>356 176</t>
  </si>
  <si>
    <t>Porcentaje del nivel de satisfacción del turista</t>
  </si>
  <si>
    <t>83.60%      (2017)</t>
  </si>
  <si>
    <t>OEI.08 Incrementar la inversión en infraestructura productiva en el departamento</t>
  </si>
  <si>
    <t>Número de proyectos de infraestructura productiva ejecutados</t>
  </si>
  <si>
    <t>DRTC/ GRDE</t>
  </si>
  <si>
    <t>OEI.09 Fortalecer la interculturalidad de las poblaciones vulnerables</t>
  </si>
  <si>
    <t>Porcentaje de la población que se siente identificada con su patrimonio cultural, histórico y natural</t>
  </si>
  <si>
    <t>OEI.10 Fortalecer la gestión institucional</t>
  </si>
  <si>
    <t>Porcentaje de la población satisfecha con la gestión pública institucional</t>
  </si>
  <si>
    <t>SGDI</t>
  </si>
  <si>
    <t>SECTOR o GOB. REGIONAL: 440 GOBIERNO REGIONAL DEL DEPARTAMENTO DE AMAZONAS</t>
  </si>
  <si>
    <t>Otros Servidores (especificar) Decreto Legislativo N° 1153</t>
  </si>
  <si>
    <t>Otros Servidores (especificar) Ley N° 29944</t>
  </si>
  <si>
    <t>Otros Servidores (especificar)  Ley Orgánica de Gobiernos Regionales LEY Nº 27867, Artículo 15</t>
  </si>
  <si>
    <t>F-7</t>
  </si>
  <si>
    <t>F-6</t>
  </si>
  <si>
    <t>F-5</t>
  </si>
  <si>
    <t>F-4</t>
  </si>
  <si>
    <t>F-3</t>
  </si>
  <si>
    <t>F-2</t>
  </si>
  <si>
    <t>SPB</t>
  </si>
  <si>
    <t>SPC</t>
  </si>
  <si>
    <t>SPD</t>
  </si>
  <si>
    <t>SPF</t>
  </si>
  <si>
    <t>STB</t>
  </si>
  <si>
    <t>STC</t>
  </si>
  <si>
    <t>STD</t>
  </si>
  <si>
    <t>STF</t>
  </si>
  <si>
    <t>SAB</t>
  </si>
  <si>
    <t>SAC</t>
  </si>
  <si>
    <t>SAD</t>
  </si>
  <si>
    <t>SAF</t>
  </si>
  <si>
    <t>ASISTENCIALES</t>
  </si>
  <si>
    <t xml:space="preserve">CARRERAS ESPECIALES </t>
  </si>
  <si>
    <t>MC-5</t>
  </si>
  <si>
    <t>MC-4</t>
  </si>
  <si>
    <t>MC-3</t>
  </si>
  <si>
    <t>MC-2</t>
  </si>
  <si>
    <t>MC-1</t>
  </si>
  <si>
    <t>CD-V</t>
  </si>
  <si>
    <t>CD-III</t>
  </si>
  <si>
    <t>CD-II</t>
  </si>
  <si>
    <t>CD-I</t>
  </si>
  <si>
    <t>ENF-14</t>
  </si>
  <si>
    <t>ENF-13</t>
  </si>
  <si>
    <t>ENF-12</t>
  </si>
  <si>
    <t>ENF-11</t>
  </si>
  <si>
    <t>ENF-10</t>
  </si>
  <si>
    <t>OBS-V</t>
  </si>
  <si>
    <t>OBS-IV</t>
  </si>
  <si>
    <t>OBS-III</t>
  </si>
  <si>
    <t>OBS-II</t>
  </si>
  <si>
    <t>OBS-I</t>
  </si>
  <si>
    <t>TM-5</t>
  </si>
  <si>
    <t>TM-3</t>
  </si>
  <si>
    <t>TM-1</t>
  </si>
  <si>
    <t>PS-VIII</t>
  </si>
  <si>
    <t>PS-V</t>
  </si>
  <si>
    <t>PS-IV</t>
  </si>
  <si>
    <t>OPS-VIII</t>
  </si>
  <si>
    <t>OPS-VI</t>
  </si>
  <si>
    <t>OPS-V</t>
  </si>
  <si>
    <t>OPS-IV</t>
  </si>
  <si>
    <t>G5-V</t>
  </si>
  <si>
    <t xml:space="preserve">REFORMA MAGISTERIAL </t>
  </si>
  <si>
    <t>VI-40</t>
  </si>
  <si>
    <t>V-40</t>
  </si>
  <si>
    <t>IV-40</t>
  </si>
  <si>
    <t>III-40</t>
  </si>
  <si>
    <t>II-40</t>
  </si>
  <si>
    <t>I-40</t>
  </si>
  <si>
    <t>VI-32</t>
  </si>
  <si>
    <t>V-32</t>
  </si>
  <si>
    <t>IV-32</t>
  </si>
  <si>
    <t>III-32</t>
  </si>
  <si>
    <t>II-32</t>
  </si>
  <si>
    <t>I-32</t>
  </si>
  <si>
    <t>VI-30</t>
  </si>
  <si>
    <t>V-30</t>
  </si>
  <si>
    <t>IV-30</t>
  </si>
  <si>
    <t>III-30</t>
  </si>
  <si>
    <t>II-30</t>
  </si>
  <si>
    <t>I-30</t>
  </si>
  <si>
    <t>VII-30</t>
  </si>
  <si>
    <t>VII-40</t>
  </si>
  <si>
    <t xml:space="preserve">PROFESOR CONTRATADO </t>
  </si>
  <si>
    <t>G-40</t>
  </si>
  <si>
    <t>G-30</t>
  </si>
  <si>
    <t>AUXILIAR DE EDUCACIÓN</t>
  </si>
  <si>
    <t>E-30</t>
  </si>
  <si>
    <t xml:space="preserve">DOCENTE DE INSTITUTO DE EDUCACIÓN SUPERIOR </t>
  </si>
  <si>
    <t>DESTACADO DE…</t>
  </si>
  <si>
    <t>SERUM</t>
  </si>
  <si>
    <t>PROF.POR HORA</t>
  </si>
  <si>
    <t>RESIDENTE SALUD</t>
  </si>
  <si>
    <t xml:space="preserve">CONSEJERO REGIONAL </t>
  </si>
  <si>
    <t xml:space="preserve">EVENTUAL </t>
  </si>
  <si>
    <t xml:space="preserve">PALMA MAGISTERIAL </t>
  </si>
  <si>
    <t>PPR</t>
  </si>
  <si>
    <t>UGEL</t>
  </si>
  <si>
    <t>COVID-19</t>
  </si>
  <si>
    <t xml:space="preserve">PROMOTORAS </t>
  </si>
  <si>
    <t>VARIACION 2022-2021</t>
  </si>
  <si>
    <t>VII-32</t>
  </si>
  <si>
    <t>SECTOR O GOB. REGIONAL:  440 GOBIERNO REGIONAL DEL DEPARTAMENTO DE AMAZONAS</t>
  </si>
  <si>
    <t>Variación % (2021-2022)</t>
  </si>
  <si>
    <t xml:space="preserve">OTROS (DETALLAR: vestuario y textiles) </t>
  </si>
  <si>
    <t>SERVICIOS NO PERSONALES (LOCACIÓN DE SERVICIOS RELACIONADAS AL ROL DE LA ENTIDAD - DE LA CONSULTA AMIGABLE)</t>
  </si>
  <si>
    <t>001-721 REGIÓN AMAZONAS – Sede Central</t>
  </si>
  <si>
    <t>SERVICIO DE CONSTRUCION Y ACONDICIONAMIENTO DE AREAS CRITICAS  PARA  LA  ATENCION DE PACIENTES COVID EN EL HOSPITAL REGIONAL VIRGEN DE FATIMA - CHACHAPOYAS</t>
  </si>
  <si>
    <t>CONTRATACION DIRECTA</t>
  </si>
  <si>
    <t>001-2020</t>
  </si>
  <si>
    <t>20503729521
C.V. CONSTRUCCIONES GENERALES S.A.C.</t>
  </si>
  <si>
    <t>CONCLUIDO</t>
  </si>
  <si>
    <t>PARA LA ADQUISICIÓN DE EQUIPO MEDICO CORRESPONDIENTE AL EQUIPAMIENTO ESTRATEGICO DE LA IOARR C.</t>
  </si>
  <si>
    <t>003-2020</t>
  </si>
  <si>
    <t>20601895103
FERTA MEDICA S.A.C.</t>
  </si>
  <si>
    <t>ADQUISICIÓN DE PLANTA GENERADORA DE OXIGENO MEDICINAL, PARA  ATENCIÓN DE PACIENTES COVID19, DEL HOSPITAL REGIONAL VIRGEN DE FATIMA - CHACHAPOYAS</t>
  </si>
  <si>
    <t>004-2020</t>
  </si>
  <si>
    <t>20122143750
PENTA GAS S.A.C.</t>
  </si>
  <si>
    <t>ADQUISICIÓN DE PLANTA GENERADORA DE OXIGENO MEDICINAL, PARA  ATENCIÓN DE PACIENTES COVID19, DEL HOSPITAL DE APOYO GUSTAVO LANATTA LUJAN - BAGUA</t>
  </si>
  <si>
    <t>005-2020</t>
  </si>
  <si>
    <t>SERVICIO DE ARRENDAMIENTO DE INMUEBLE PARA LAS OFICINAS ADMINISTRATIVAS DE LA DIRESA AMAZONAS</t>
  </si>
  <si>
    <t>006-2020</t>
  </si>
  <si>
    <t>10104941015
MOROCHO KHAN FERNANDO JAVIER</t>
  </si>
  <si>
    <t>ADQUISICIÓN DE GENERADOR DE OXIGENO MEDICINAL, DEL C.U N° 2487103 EN EL EESS SANTA MARIA DE NIEVA</t>
  </si>
  <si>
    <t>007-2020</t>
  </si>
  <si>
    <t>20505876653
FIRST COLD SYSTEM S.A.C.</t>
  </si>
  <si>
    <t>CONSTRUCCION DE AMBIENTE DE SERVICIOS GENERALES; ADQUISICION DE EQUIPAMIENTO MEDICO PARA EL HOSPITAL DE APOYO GUSTAVO LANATTA LUJAN - BAGUA</t>
  </si>
  <si>
    <t>008-2020</t>
  </si>
  <si>
    <t>20606133937
CONSORCIO AMAZONAS II</t>
  </si>
  <si>
    <t>ADQUISICION DE GENERADOR DE OXIGENO MEDICINAL EN EL(LA) EE.SS HOSPITAL DE APOYO I SANTIAGO APOSTOL - UTCUBAMBA</t>
  </si>
  <si>
    <t>009-2020</t>
  </si>
  <si>
    <t>ADQUISICION DE EQUIPO MEDICO PARA EL HOSPITAL REGIONAL VIRGEN DE FATIMA - CHACHAPOYAS</t>
  </si>
  <si>
    <t>012-2020</t>
  </si>
  <si>
    <t>20565212754
MEDICAL IMPORTADORA S.A.C.</t>
  </si>
  <si>
    <t>ADQUISICIÓN DE CONCENTRADORES DE OXIGENO, PARA TOPICO DE EMERGENCIA DE LOS ESTABLECIMIENTOS DE SALUD</t>
  </si>
  <si>
    <t>013-2020</t>
  </si>
  <si>
    <t>AQUISICION DE EQUIPOS DE PROTECCION PERSONAL EPP</t>
  </si>
  <si>
    <t>014-2020</t>
  </si>
  <si>
    <t>20547504047
NEGOCIOS E INVERSIONES AIRIN S.A.C.</t>
  </si>
  <si>
    <t>REGULARIZACION DE LA  ADQUISICION DE EPP PARA LOS EE.SS. DE LA DIRESA AMAZONAS</t>
  </si>
  <si>
    <t>015-2020</t>
  </si>
  <si>
    <t>20601444683
TAILORING COMPANY S.A.C.</t>
  </si>
  <si>
    <t>016-2020</t>
  </si>
  <si>
    <t>018-2020</t>
  </si>
  <si>
    <t>ADQUISICION DE BALONES DE OXIGENO EQUIPADOS PARA LA ATENCION DE PACIENTES COVID DE LOS EE.SS. DE LA RED DE SALUD CHACHAPOYAS</t>
  </si>
  <si>
    <t>019-2020</t>
  </si>
  <si>
    <t>20392205471
FABRICACIONES METALICAS TUESTA E.I.R.L.</t>
  </si>
  <si>
    <t>ADQUISICION DE EPP PARA LOS EE.SS DE LA RED DE SALUD CHACHAPOYAS</t>
  </si>
  <si>
    <t>020-2020</t>
  </si>
  <si>
    <t>20537456362
INVERSIONES GENERALES MACEDA E.I.R.L.</t>
  </si>
  <si>
    <t>ADQUISICION DE BALON DE OXIGENO MEDICINAL 10 M3, EQUIPADOS PARA ATENCION DE PACIENTES COVID-19 DE LA RED DE SALUD CHACHAPOYAS</t>
  </si>
  <si>
    <t>021-2020</t>
  </si>
  <si>
    <t>20508879441
REPRESENTACIONES Y SERVICIOS ORTEGA S.A.C.</t>
  </si>
  <si>
    <t>ADQUISION DE MOBILIARIO MEDICO DE LA IOARR "CONSTRUCCION DE AMBIENTES DE SERVICIOS GENERALES DEL HOSPITAL DE APOYO GUSTAVO LANATTA LUJAN - BAGUA"</t>
  </si>
  <si>
    <t>022-2020</t>
  </si>
  <si>
    <t>20601586470
J &amp; G INVERSIONES PERU S.A.C.</t>
  </si>
  <si>
    <t>ADQUISION DE MOBILIARIO MEDICO PARA EL HOSPITAL I SANTIAGO APOSTOL - UTCUBAMBA</t>
  </si>
  <si>
    <t>023-2020</t>
  </si>
  <si>
    <t>20601595436
CORPORACION CHEMICALS S.A.C.</t>
  </si>
  <si>
    <t>ADQUISICION DE  UN AUTOCLAVE PARA EL HOSPITAL REGIONAL VIRGEN DE FATIMA - CHACHAPOYAS</t>
  </si>
  <si>
    <t>024-2020</t>
  </si>
  <si>
    <t>ADQUISICION DE 01 EQUIPO DE CIRUGIA LAPAROSCOPICA PARA EL HOSPITAL REGIONAL VIRGEN DE FATIMA - CHACHAPOYAS</t>
  </si>
  <si>
    <t>025-2020</t>
  </si>
  <si>
    <t>20462004380
C &amp; S HAMBERT E.I.R.L.</t>
  </si>
  <si>
    <t>ADQUISICION DE TRIGLICERIDOS ENZIMATICO PARA LOS EE.SS. DE LA RED DE SALUD CHACHAPOYAS</t>
  </si>
  <si>
    <t>COMPARACION DE PRECIOS</t>
  </si>
  <si>
    <t>001-2021</t>
  </si>
  <si>
    <t>20604523282
CORP. SANCHEZ Y CIA S.A.C.</t>
  </si>
  <si>
    <t>ADQUISICION DE COMBUSTIBLE DIESEL B5 Y GASOLINA DE 90 OCTANOS, AÑO 2021</t>
  </si>
  <si>
    <t>SUBASTA INVERSA ELECTRONICA</t>
  </si>
  <si>
    <t>20350218689
ESTACION DE SERVICIOS SAN LUIS E.I.R.L.</t>
  </si>
  <si>
    <t>EN PROCESO</t>
  </si>
  <si>
    <t>PAGO POR EL SERVICIO DE INTERNET DE LAS OFICINAS ADMINISTRATIVAS DE LA DIRECCION REGIONAL DE SALUD AMAZONAS</t>
  </si>
  <si>
    <t>ADJUDICACION SIMPLIFICADA</t>
  </si>
  <si>
    <t>20561197360
SERVICIOS GENERALES FAST NET SYSTEM E.I.R.L.</t>
  </si>
  <si>
    <t>002-2021</t>
  </si>
  <si>
    <t>20604321272
NEWTECH HOSPI S.A.C.</t>
  </si>
  <si>
    <t>ADQUISICION DE EQUIPO MEDICO DE LA IOARR C.U. Nº 2512340  ADQUISICION DE EQUIPOS PARA EL HOSPITAL I SANTIAGO APOSTOL - UTCUBAMBA</t>
  </si>
  <si>
    <t>003-2021</t>
  </si>
  <si>
    <t>004-2021</t>
  </si>
  <si>
    <t>SERVICIO DE CONSTRUCCION DE LA IOARR   C.U. Nº 2489221 CONSTRUCCION DE LABORATORIO ESPECIFICO - CHACHAPOYAS</t>
  </si>
  <si>
    <t>005-2021</t>
  </si>
  <si>
    <t>20600064666
CONSTRUCCIONES D&amp;S SERVICIOS GENERALES E.I.R.L.</t>
  </si>
  <si>
    <t>REMODELACION DE UNIDAD DE VIGILANCIA INTENSIVA (COMPONENTE INFRAESTRUCTURA) EN EL EE.SS HOSPITAL DE APOYO I SANTIAGO APOSTOL DE UTCUBAMBA</t>
  </si>
  <si>
    <t>006-2021</t>
  </si>
  <si>
    <t>20479790303
COSACH S.R.L.</t>
  </si>
  <si>
    <t>SERVICIO DE SUPERVICION DE LA IOARR   C.U. Nº 2489221 CONSTRUCCION DE LABORATORIO ESPECIFICO - CHACHAPOYAS</t>
  </si>
  <si>
    <t>007-2021</t>
  </si>
  <si>
    <t>10441579450
GONZALES SANCHEZ GILMER</t>
  </si>
  <si>
    <t>SERVICIO DE ALQUILER DE LOCAL PARA EL FUNCIONAMIENTO DE LA SEDE CENTRAL DE LA DIRESA AMAZONAS</t>
  </si>
  <si>
    <t>009-2021</t>
  </si>
  <si>
    <t>VIGENTE</t>
  </si>
  <si>
    <t>IOARR 2517952: ADQUISICION DE EQUIPOS MEDICOS EN EL EESS SANTA MARIA DE NIEVA - CONDORCANQUI</t>
  </si>
  <si>
    <t>010-2021</t>
  </si>
  <si>
    <t>20524232104
OPEN MEDIC S.A.C.</t>
  </si>
  <si>
    <t>IOARR 2517332: ADQUISICION DE EQUIPOS MEDICOS-ACTIVOS- PARA EL HOSPITAL REGIONAL VIRGEN DE FATIMA - CHACHAPOYAS</t>
  </si>
  <si>
    <t>011-2021</t>
  </si>
  <si>
    <t>ADQUISICION DE EQUIPO MEDICO DE LA IOARR C.U. Nº 2517353 REMODELACION DE UNIDAD DE VIGILANCIA INTENS MARIA AUXILIADORA</t>
  </si>
  <si>
    <t>012-2021</t>
  </si>
  <si>
    <t>002 - 953 REGIÓN AMAZONAS – Gerencia Sub Regional Bagua</t>
  </si>
  <si>
    <t>INFORMAN:  LAS ADQUISICIONES DE BIENES Y SERVICIOS SON MENORES A 8  UIT</t>
  </si>
  <si>
    <t>003 - 1023  REGIÓN AMAZONAS – Gerencia Sub Regional Condorcanqui</t>
  </si>
  <si>
    <t xml:space="preserve">contratación de Consultoría  para la Supervisión de la Obra:  "MEJORAMIENTO DEL SERVICIO DE EDUCACIÓN PRIMARIA EN LA INSTITUCIÓN EDUCATIVA N° 16375 YUTUPIS, DISTRITO DE RÍO SANTIAGO, PROVINCIA DE CONDORCANQUI - REGIÓN AMAZONAS", Con Código Único de Inversión N° 2334910. </t>
  </si>
  <si>
    <t xml:space="preserve">AS </t>
  </si>
  <si>
    <t>CLÁSICO</t>
  </si>
  <si>
    <t>EMP. HARPER INGENIEROS SAC, con Ruc N° 20487625656</t>
  </si>
  <si>
    <t>Ejecución</t>
  </si>
  <si>
    <t xml:space="preserve"> CONTRATACIÓN PARA LA EJECUCIÓN DE LA IOARR DE LA  OBRA: “CONSTRUCCIÓN DE LA LOSA DEPORTIVA; EN EL (LA) LOCALIDAD NAJAIM PARAISO, DISTRITO DE NIEVA, PROVINCIA DE CONDORCANQUI – DEPARTAMENTO DE AMAZONAS”, con Código Único de Inversión N° 2501550.</t>
  </si>
  <si>
    <t>AS</t>
  </si>
  <si>
    <t>EMPRESA DACAVE CONTRATISTAS GENERALES EIRL, con RUC N° 20487519384, cuyo Representante Legal es el Sr. ISAIAS RICARDO CASTILLO BALCAZAR, con DNI N° 16410854</t>
  </si>
  <si>
    <t>Culminada y    liquidada</t>
  </si>
  <si>
    <t>CONTRATACIÓN PARA LA EJECUCIÓN DE LA IOARR DE LA  OBRA:  “RENOVACIÓN DE  LOSA DEPORTIVA; EN EL (LA) AMBIENTE DEPORTIVO Y/O RECREATIVO EN LA LOCALIDAD DE NAPURUKA,  DISTRITO DE NIEVA, PROVINCIA DE CONDORCANQUI – DEPARTAMENTO DE AMAZONAS”, con Código Único de Inversión N° 2480362.</t>
  </si>
  <si>
    <t>EMPRESA DACAVE CONTRATISTAS GENERALES EIRL, con RUC N° 20487519384, cuyo Representante Legal es el Sr. ISAIAS RICARDO CASTILLO BALCAZAR, con DNI N° 16410853</t>
  </si>
  <si>
    <t>08/012021</t>
  </si>
  <si>
    <t>CONTRATACIÓN DEL SERVICIO DE SUPERVISION PARA LA EJECUCIÓN DEL SERVICIO DE MANO DE OBRAS CIVILES A TODO COSTO, EQUIPO Y HERRAMIENTAS PARA LA CREACIÓN DE DOS  PUENTES: PUENTE 01 – PROG (5+280.00) Y PUENTE 02 – PROG (5+760.68), 
PARA LA OBRA:  “MEJORAMIENTO DEL SERVICIO DE TRANSITABILIDAD ENTRE LAS COMUNIDADES DE NUEVA UNIDA Y KIGKIS, CENTRO POBLADO DE KIGKIS – DISTRITO DE NIEVA, PROVINCIA DE CONDORCANQUI – REGIÓN AMAZONAS”- Con Código Único de Inversión N° 2134935.</t>
  </si>
  <si>
    <t>ING° CASTILLO VEGA DANNY ALEX, identificado con DNI N° 41079117 y con Ruc N° 10410791175</t>
  </si>
  <si>
    <t>Culminada</t>
  </si>
  <si>
    <t xml:space="preserve">CONTRATACIÓN PARA LA EJECUCIÓN DE OBRA: "MEJORAMIENTO DEL SERVICIO DE EDUCACIÓN PRIMARIA EN LA INSTITUCIÓN EDUCATIVA N° 16375 YUTUPIS, DISTRITO DE RÍO SANTIAGO, PROVINCIA DE CONDORCANQUI - REGIÓN AMAZONAS", Con Código Único de Inversión N° 2334910. </t>
  </si>
  <si>
    <t>LP</t>
  </si>
  <si>
    <t>CONSORCIO EJECUTOR A&amp;F, CONSORCIO EJECUTOR A&amp;F
integrada por la empresa FLOGAING CONTRATISTAS GENERALES SAC, con RUC N° 20480686692 y la empresa CORPORACIÓN ALEMI’S EIRL, con RUC N° 20600039335
Representado legalmente por el Sra. Luvy Deysi Ojeda Canelo, con DNI N° 43821410</t>
  </si>
  <si>
    <t>Contratación de Servicios de Mano de Obras Civiles a todo Costo , Equipo y Herramientas para la Creación de Dos Puentes: Puente 01 – Prog. (5+280.00) y Puente 02 – Prog. (5+760.68), para la Obra denominada: “MEJORAMIENTO DEL SERVICIO DE TRANSITABILIDAD ENTRE LAS COMUNIDADES DE NUEVA UNIDA Y KIGKIS, CENTRO POBLADO DE KIGKIS, DISTRITO DE NIEVA, PROVINCIA DE CONDORCANQUI – REGIÓN AMAZONAS”, CON CÓDIGO DE INVERSIONES N° 2134935</t>
  </si>
  <si>
    <t>CP</t>
  </si>
  <si>
    <t>CONSORCIO CONDORCANQUI DK, representado por la Sra. Dionila Alarcón Diaz, con DNI N° 27733581</t>
  </si>
  <si>
    <t>Consultoría para la Reformulación del Expediente Técnico denominado: “FORTALECIMIENTO DE CAPACIDADES PARA EL APROVECHAMIENTO DE LOS RECURSOS TURÍSTICOS DE LOS DISTRITOS DE NIEVA Y RÍO SANTIAGO EN LA PROVINCIA DE CONDORCANQUI”, CON UN CÓDIGO ÚNICO DE INVERSIÓN N° 2108514</t>
  </si>
  <si>
    <t>CONSORCIO “SIMPLEMENTE DANIEL”, (integrado por los Señores FERNANDO ARTURO ELIAS ZULOETA, con RUC N° 10164283599 y GABRIEL ERNESTO ASENCIO VASQUEZ, con RUC N° 10426481915), cuyo Representante Legal Común del Consorcio es el Sr DANIEL ISAI VASQUEZ RAFAEL, Identificado con DNI N° 41414063</t>
  </si>
  <si>
    <t>………………</t>
  </si>
  <si>
    <t>004-1429 REGIÓN AMAZONAS – Gerencia Sub Regional De Utcubamba</t>
  </si>
  <si>
    <t>1. SERVICIO DE FORMULACIÓN DE PROYECTO DE PREINVERSIÓN A NIVEL DE FICHA TÉCNICA ESTANDAR: "CREACIÓN DEL SERVICIO DE AGUA PARA CONSUMO HUMANO E INSTALACIÓN DE UNIDADES BÁSICAS DE SANEAMIENTO DE LAS LOCALIDADES DE CERRO AZUL, SANTA MARÍA, CASA BLANCA, SAN MARTIN DE PORRAS, NUEVO MEXICO Y LA UNION DEL C.P SAN MARTIN DE PORRAS, DISTRITO DE BAGUA GRANDE, PROVINCIA DE UTCUBAMBA, DEPARTAMENTO DE AMAZONAS</t>
  </si>
  <si>
    <t>ADJUDICACIÓN SIMPLIFICADA</t>
  </si>
  <si>
    <t>PROCEDIMIENTO</t>
  </si>
  <si>
    <t>RUC N° 20605109480 - VASQUEZ &amp; DIAZ INGENIEROS S.A.C.</t>
  </si>
  <si>
    <t>NINGUNA</t>
  </si>
  <si>
    <t>2. CONTRATACIÓN DE BIENES PARA LA ADQUISICION DE MOBILIARIO PARA EL PROYECTO: MEJORAMIENTO DEL SERVICIO EDUCATIVO SECUNDARIO EN LA INSTITUCION EDUCATIVA SAN MARTÍN DE PORRAS, C.P. SAN MARTÍN DE PORRAS, DISTRITO DE BAGUA GRANDE, PROVINCIA DE UTCUBAMBA, AMAZONAS</t>
  </si>
  <si>
    <t>RUC N°10281196494-CHUQUILIN FERNANDEZ YONE</t>
  </si>
  <si>
    <t>3. CONTRATACIÓN DE BIENES PARA LA ADQUISICIÓN DE EQUIPAMIENTO PARA EL PROYECTO: MEJORAMIENTO DEL SERVICIO EDUCATIVO SECUNDARIO EN LA INSTITUCION EDUCATIVA SAN MARTÍN DE PORRAS, C.P. SAN MARTÍN DE PORRAS, DISTRITO DE BAGUA GRANDE, PROVINCIA DE UTCUBAMBA, AMAZONAS</t>
  </si>
  <si>
    <t>RUC N° 20570771231-CONSORCIO BUSINESS GROUP</t>
  </si>
  <si>
    <t>4. CONTRATACIÓN DEL SERVICIO DE CONSULTORÍA PARA LA FORMULACIÓN DEL PROYECTO DE INVERSIÓN A NIVEL DE FICHA TÉCNICA ESTÁNDAR: MEJORAMIENTO Y AMPLIACIÓN DE LOS SERVICIOS DE EDUCACIÓN PRIMARIA Y SECUNDARIA DE LA I.E. N° 16228, TÉNICO INDUSTRIAL DEL DISTRITO DE BAGIA GRANDE, PROVINCIA DE UTCUBAMBA, DEPARTAMENTO DE AMAZONAS.</t>
  </si>
  <si>
    <t>RUC N° 20600661672-CONSORCIO SAN LUIS</t>
  </si>
  <si>
    <t>5. CONTRATACIÓN DEL SERVICIO DE CONSULTORÍA EN LA FORMULACIÓN DEL PROYECTO DE INVERSIÓN A NIVEL DE FICHA TÉCNICA ESTANDAR: CREACIÓN DEL SERVICIO DE AGUA POTABLE Y SANEAMIENTO BÁSCO EN LOS CASERÍOS LIBANO, SANTA MARIA, EUCALIPTO, BUENOS AIRES, SECTOR PROGRESO, SANTA CLARA, MONTE DE LOS OLIVOS, DISTRITO DE CAJARURO, PROVINCIA DE UTCUBAMBA, DEPARTAMENTO DE AMAZONAS</t>
  </si>
  <si>
    <t>RUC N°  20600143132-CONSORCIO DG</t>
  </si>
  <si>
    <t>6. CONTRATACIÓN DEL SERVICIO DE CONSULTORÍA PARA LA FORMULACIÓN DEL PROYECTO DE INVERSIÓN A NIVEL DE FICHA TÉCNICA ESTÁNDAR: CREACIÓN DE LA TROCHA CARROZABLE EN EL TRAMO LA UNIÓN Y LOS CASERIOS GUAYABAMBA Y NUEVO CHICLAYO DEL DISTRITO DE CAJARURO, PROVINCIA DE UTCUBAMBA, REGIÓN AMAZONAS</t>
  </si>
  <si>
    <t>RUC N° 20604451648-CONSORCIO GRUPO JRV</t>
  </si>
  <si>
    <t>7. CONTRATACIÓN DEL SERVICIO DE CONSULTORÍA PARA LA FORMULACIÓN DEL PROYECTO DE SANEAMIENTO EN EL AMBITO RURAL A NIVEL DE FICHA TÉCNICA ESTÁNDAR: CREACIÓN DEL SERVICIO DE AGUA POTABLE Y SANEAMIENTO BÁSICO EN LOS CASERÍOS COCA ENRIQUE, SEÑOR DE LOS MILAGROS, LIMONCITO Y PLAYA HERMOSA, DEL DISTRITO DE CAJARURO, PROVINCIA DE UTCUBAMBA, DEPARTAMENTO DE AMAZONAS</t>
  </si>
  <si>
    <t>RUC N°  20604451648-CONSORCIO GRUPO JRV</t>
  </si>
  <si>
    <t>005-1518 REGIÓN AMAZONAS – Proamazonas</t>
  </si>
  <si>
    <t>1. CONTRATACIÓN DEL SERVICIO ALQUILER DE LOCAL PARA LAS OFICINAS DE LA UNIDAD EJECUTORA PROAMAZONAS.</t>
  </si>
  <si>
    <t>DIRECTA</t>
  </si>
  <si>
    <t>DIRECTA-PROC-1-2020-PROAMAZONAS/OEC-1</t>
  </si>
  <si>
    <t>10401782431
MARLIT ZAVALETA ALVA</t>
  </si>
  <si>
    <t>Contratado</t>
  </si>
  <si>
    <t>2. ALQUILER DE LOCAL PARA EL FUNCIONAMIENTO DE LAS OFICINAS DE LA UNIDAD EJECUTORA PROAMAZONAS</t>
  </si>
  <si>
    <t xml:space="preserve"> 
DIRECTA-PROC-1-2021-PROAMAZONAS/OEC-1</t>
  </si>
  <si>
    <t>100 - 722  REGIÓN AMAZONAS – Agricultura</t>
  </si>
  <si>
    <t>1 ADQUISICION DE 2224 SACOS DE CAL AGRICOLA DE 50KG. C/U</t>
  </si>
  <si>
    <t>PRECIO UNITARIO</t>
  </si>
  <si>
    <t>COMPRE-SM-1-2020-GRA/GRDE/DRA-A-1</t>
  </si>
  <si>
    <t>S/. 55,377.6</t>
  </si>
  <si>
    <t>RUC: 20561211966 - E Y N ENTERPRISE S.A.C.</t>
  </si>
  <si>
    <t>CULMINADO</t>
  </si>
  <si>
    <t>2 ADQUISICIÓN DE QUINCE (15) MOTOCICLETAS LINEALES TODO TERRENO PARA EL PROYECTO MEJORAMIENTO DE LA COMPETITIVIDAD DE LA CADENA PRODUCTIVA DEL CULTIVO DEL CAFÉ EN LA CUENCA DEL ALTO MARAÑÓN, PROVINCIAS DE LUYA Y UTCUBAMBA, REGIÓN AMAZONAS.</t>
  </si>
  <si>
    <t>ADJUDICACIÓN  SIMPLICADA</t>
  </si>
  <si>
    <t>SUMA ALZADA</t>
  </si>
  <si>
    <t>AS-SM-5-2020-
GRA/GRDE/DRA-A-2</t>
  </si>
  <si>
    <t>S/ 146,475.00</t>
  </si>
  <si>
    <t>20369117433-AGROSOLTEC S.R.LTDA.</t>
  </si>
  <si>
    <t>SEGUNDA CONVOCATORIA</t>
  </si>
  <si>
    <t>3 ADQUISICIÓN DE 52,500 PLANTINES IN VITRO FASE IV DE BANANO ORGÁNICO, QUE SON NECESARIOS PARA LA INSTALACIÓN DE LAS PARCELAS DEMOSTRATIVAS Y DE LAS PARCELAS DEMOSTRATIVAS Y DE LAS PARCELAS DE ASISTENCIA TÉCNICA A LOS BENEFICIARIOS DEL PROYECTO MEJORAMIENTO DE LA COMPETITIVIDAD DE LA CADENA PRODUCTIVA DEL BANANO ORGANICO EN LAS PROVINCIAS DE BAGUA, UTCUBAMBA Y BONGARA - DEPARTAMENTO DE AMAZONAS</t>
  </si>
  <si>
    <t>AS-SM-6-2020-GRA/GRDE/DRA-A-2</t>
  </si>
  <si>
    <t>S/ 152,530.00</t>
  </si>
  <si>
    <t> 20488039033-IMPORTACIONES ;INNOVA; S.A.C.</t>
  </si>
  <si>
    <t>1 ADQUISICION DE SEMILLAS DE CAFE PARA EL PROYECTO "MEJORAMIENTO DE LA COMPETITIVIDAD DE LA CADENA PRODUCTIVA DEL CULTIVO DEL CAFE EN LA CUENCA DEL ALTO MARAÑON, PROVINCIAS DE LUYA Y UTCUBAMBA, REGION AMAZONAS"</t>
  </si>
  <si>
    <t>AS-SM-2-2021-GRA/GRDE/DRA-2</t>
  </si>
  <si>
    <t>S/ 168,857.00</t>
  </si>
  <si>
    <t>20600375360-AGROVETERINARIA AGROSOLUCION S.R.L.</t>
  </si>
  <si>
    <t>200 - 723  REGIÓN AMAZONAS – Transportes</t>
  </si>
  <si>
    <t>1. ADQUISICION DE UNA RETROEXCAVADORA SOBRE RUEDAS CON BRAZO ESTENSIBLE</t>
  </si>
  <si>
    <t>LICITACIÓN PÚBLICA</t>
  </si>
  <si>
    <t>SM</t>
  </si>
  <si>
    <t>001-2019</t>
  </si>
  <si>
    <t xml:space="preserve"> 20103913340-ORVISA SOCIEDAD ANONIMA          </t>
  </si>
  <si>
    <t>2. ADQUISICION DE COMBUSTIBLE DIESEL B5 (PETROLEO) PARA LA MAQUINARIA PESADA Y LIVIANA</t>
  </si>
  <si>
    <t>SUBASTA INVERSA ELECTRÓNICA</t>
  </si>
  <si>
    <t xml:space="preserve">20350218689-ESTACION DE SERVICIOS SAN LUIS EIRL. </t>
  </si>
  <si>
    <t>3. ADQUISICION DE COMBUSTIBLE DIESEL B5 (PETROLEO) PARA LA MAQUINARIA PESADA Y LIVIANA</t>
  </si>
  <si>
    <t>002-2019</t>
  </si>
  <si>
    <t xml:space="preserve">4. SERVICIO DE MANTENIMIENTO RUTINARIO DE LA CARRETERA AM - 108 EMP. PE -  08C PACLAS OLTO - LAMUD - LUYA - CACLIC EMP - PE - 08C, LONG. 64.74 KM - META TRAMO I = 25KM                                   </t>
  </si>
  <si>
    <t>003-2019</t>
  </si>
  <si>
    <t xml:space="preserve">20180059850-INCO PERU EIRL                  </t>
  </si>
  <si>
    <t xml:space="preserve">5. MANTENIMIENTO RUTINARIO (MECANIZADO Y MANUAL) DE LA RUTA AM 106, EMP. PE 5N (BALZAPATA) JUMBILLA -DV-RECTA - ASUNCION - CHILIQUIN - QUINJALCA- GRANADA - MOLINOPAMPA - EMP. PE - 08B LONG. 93+620 KM (KM 45+000 AL KM 93+620)                                                                                                                                                                                                                                                                                        </t>
  </si>
  <si>
    <t xml:space="preserve">20180550871-CONTRATISTAS GENERALES BENITES S.R.L.                                                               </t>
  </si>
  <si>
    <t>6.SERVICIO DE MANTENIMIENTO DE CARRETERA</t>
  </si>
  <si>
    <t xml:space="preserve">20539016629-CONSULTORES Y EJECUTORES NIMAOS E.I.R.L.                                                            </t>
  </si>
  <si>
    <t>7.COMPRA DE EQUIPOS DE TELECOMUNICACIONES</t>
  </si>
  <si>
    <t>004-2019</t>
  </si>
  <si>
    <t xml:space="preserve">20562613898-OCASOL PERU S.R.L.                    </t>
  </si>
  <si>
    <t xml:space="preserve">8. SERVICIO DE MANTENIMIENTO DE LA CARRTERA BALSAS-CHUQUIBAMBA-CHACHAPOYAS-AMAZONAS L=19KM      </t>
  </si>
  <si>
    <t>006-2019</t>
  </si>
  <si>
    <t xml:space="preserve">20561387819-CHACHA WASI E.I.R.L.                  </t>
  </si>
  <si>
    <t>9. ADQUISICIÓN DE UN CAMIÓN TURBO INTERCOOL DIESEL</t>
  </si>
  <si>
    <t>007-2019</t>
  </si>
  <si>
    <t xml:space="preserve">20602713611-MAFFER MAQUINARIAS SELVA E.I.R.L.      </t>
  </si>
  <si>
    <t xml:space="preserve">10. SERVICIO DE MANTENIMIENTO DE CARRTERA EMP.PE-08B-TINGO-LONGUITA-MARIA-KUELAP(KM7+000 1 KM 37+000) DV.QUISANGO- MANGALPA-EMP.HUNIAC (3+000KM) NOGALCUCHO KUELAP (13+000KM)                                                                                                                                                                                                </t>
  </si>
  <si>
    <t>008-2019</t>
  </si>
  <si>
    <t xml:space="preserve">20480471220-EMPRESA A &amp; P E.I.R.L.          </t>
  </si>
  <si>
    <t xml:space="preserve">11. ADQUISICIÓN DE DE CIEN (100) CANASTAS NAVIDEÑAS                                                                                                                                                                                                                                                                                                                                                                                                             </t>
  </si>
  <si>
    <t>009-2019</t>
  </si>
  <si>
    <t xml:space="preserve">20601719054-COMERCIAL HANNAH RUBI E.I.R.L.              </t>
  </si>
  <si>
    <t>12. ADQUISICIÓN DE UNA CAMIONETA</t>
  </si>
  <si>
    <t>010-2019</t>
  </si>
  <si>
    <t>20450384322-AUTONORT NOR ORIENTE</t>
  </si>
  <si>
    <t>13. ADQUISICIÓN DE COMBUSTIBLES PARA LA MAQUINARIA PESADA Y LIVIANA DE LA DRTC-AMAZONAS</t>
  </si>
  <si>
    <t>01-2020</t>
  </si>
  <si>
    <t>20480485361 -ESTACION DE SERVICIOS SAN LUIS EIRL.</t>
  </si>
  <si>
    <t>14. CONTRATACIÓN DEL SERVICIO DE INTERNET DE 60 Mbps, PARA LA DRTC-AMAZONAS</t>
  </si>
  <si>
    <t>20561197360-SERVICIOS GENERALES FAST NET SYSTEM E.I.R.L.</t>
  </si>
  <si>
    <t>15. ADQUISICION DE INSUMOS PARA LA IMPRESIÓN DE LICENCIAS DE CONDUCIR</t>
  </si>
  <si>
    <t>02-2020</t>
  </si>
  <si>
    <t>20431995281-POLYSISTEMAS CORP SOCIEDAD ANONIMA CERRADA</t>
  </si>
  <si>
    <t>16. ADQUISICION DE MATERIALES PARA LA CONTRUCCION DE POZOS A TIERRA</t>
  </si>
  <si>
    <t>03-2020</t>
  </si>
  <si>
    <t>20605795375-CONSORCIO DE LA AMAZONIA</t>
  </si>
  <si>
    <t>17. MANTENIMIENTO PERIODICO EN LAS VIAS DEPARTAMENTALES RUTA AM-107 DV. BALSAS-HUANABAMBA</t>
  </si>
  <si>
    <t>CONCURSO PUBLICO</t>
  </si>
  <si>
    <t>20601092086-CONSORCIO HUANABAMBA</t>
  </si>
  <si>
    <t>18. MANTENIMIENTO PERIODICO VIAS DEPARTAMENTALES RUTA AM 112 PUSAC CHUQUIBAMBA</t>
  </si>
  <si>
    <t>20601879221-CONSORCIO PUSAC</t>
  </si>
  <si>
    <t>19. MANTENIMIENTO RUTINARIO EL MILAGRO-BAGUA-SANTA FE-CAJARURO-BAGUA GRANDE RUTA AM-101</t>
  </si>
  <si>
    <t>04-2020</t>
  </si>
  <si>
    <t>20487909336-EBENEZER</t>
  </si>
  <si>
    <t>20. SERVICIO DE SUPERVISION, MANTENIMIENTO PERIODICO EN LAS VIAS DEPARTAMENTALES RUTA AM-107 DV. BALSAS-HUANABAMBA</t>
  </si>
  <si>
    <t>05-2020</t>
  </si>
  <si>
    <t>10406675233-NUÑEZ GALVEZ JOHNNY FRANZ</t>
  </si>
  <si>
    <t>21. MANTENIMIENTO RUTINARIO PACLAS -OLTO-LAMUD-LUYA-CACLIC RUTA AM-108</t>
  </si>
  <si>
    <t>20602263526-SINGENOIR CONTRATISTAS GENERALES EIRL</t>
  </si>
  <si>
    <t>22. SERVICIO DE SUPERVISION PARA EL MANTENIMIENTO PERIODICO VIAS DEPARTAMENTALES RUTA AM 112 PUSAC CHUQUIBAMBA</t>
  </si>
  <si>
    <t>06-2020</t>
  </si>
  <si>
    <t>20561179892-CONSORCIO SUPERVISOR PUSAC</t>
  </si>
  <si>
    <t>SUMINISTRO DE 4535 GALONES DE COMBUSTIBLE DIESEL DIESEL B5</t>
  </si>
  <si>
    <t>01-2021</t>
  </si>
  <si>
    <t xml:space="preserve">AL TRATARSE DE UN SUMINISTRO, LA FECHA DE TERMINO SERÁ A LA ENTREGA DEL ULTIMO GALON ADQUIRIDO SEGÚN LA NECESIDAD </t>
  </si>
  <si>
    <t>ADQUISICION DE EQUIPOS DE TELECOMUNICACIONES (TRANSMISORES DE TV Y SISTEMA RADIANTE DE TRANSMISION DE TV) DE LA DIRECCION DE COMUNICACIONES DE LA DIRECCION REGIONAL DE TRANSPORTES Y COMUNICACIONES DE AMAZONAS.</t>
  </si>
  <si>
    <t>20479411990-CONSORCIO TELECVOMUNICACIONES AMAZONAS</t>
  </si>
  <si>
    <t>ADQUISICION DE EQUIPOS DE TELECOMUNICACIONES (BETERIAS, PANELES SOLARES E INVERSORES) DE LA DIRECCION DE COMUNICACIONES DE LA DIRECCION REGIONAL DE TRANSPORTES Y COMUNICACIONES DE AMAZONAS.</t>
  </si>
  <si>
    <t>02-2021</t>
  </si>
  <si>
    <t>20600270169-TELENOR PERU SRL</t>
  </si>
  <si>
    <t>300 - 724 REGIÓN AMAZONAS – Educación Amazonas</t>
  </si>
  <si>
    <t>ADQUISICION DE RECEPTORES DE RADIO Y USB PARA DISTRIBUCION A ESTUDIANTESY/O FAMILIAS EN EL MARCO DE AMAZONAS APRENDE EN CASA</t>
  </si>
  <si>
    <t>COMPRE-SM-1-2020-DREA-OEC-1</t>
  </si>
  <si>
    <t>S/  47,000.00</t>
  </si>
  <si>
    <t>concluido</t>
  </si>
  <si>
    <t>año 2020</t>
  </si>
  <si>
    <t>SERVICIO DE TRANSPORTE PARA LA DISTRIBUCIÓN DE MATERIAL KITS FUNGIBLES PARA LAS II.EE NO FOCALIZADAS EN MARCO DEL PROGRAMA LOGROS DE APRENDIZAJE DE LA UNIDAD EJECUTORA 300 ¿ UGEL BONGARA, UGEL CHACHAPOYAS, UGEL LUYA Y UGEL RODRIGUEZ DE MENDOZA DOTACIÓN ¿ 2020</t>
  </si>
  <si>
    <t>AS-SM-6-2020-DREA-CS-1</t>
  </si>
  <si>
    <t>CONTRATACION DEL SERVICIO DE TRANSPORTE PARA EL TRASLADO DE MATERIAL  FUNGIBLE DE LA UNIDAD EJECUTORA 300   DE LA DIRECCION REGIONAL DE EDUCACION AMAZONAS  LAS QUE COMPRENDEN LAS PROVINCIAS DE CHACHAPOYAS, LUYA, ROD. DE MENDOZA Y BONGARA</t>
  </si>
  <si>
    <t>AS-SM-5-2020-DREA-CS-1</t>
  </si>
  <si>
    <t>CONTRATACIÓN DEL SERVICIO DE TRANSPORTE DE CARGA PARA LA DISTRIBUCIÓN DE MATERIALES EDUCATIVOS A LAS INSTITUCIONES EDUCATIVAS DE LA PROVINCIA DE RODRIGUEZ DE MENDOZA, EN EL MARCO DELA DISTRIBUCIÓN DE DOTACIÓN 2020.</t>
  </si>
  <si>
    <t>AS-SM-4-2020-DREA-CS-1</t>
  </si>
  <si>
    <t>CONTRATACIÓN DEL SERVICIO DE TRANSPORTE DE CARGA PARA LA DISTRIBUCIÓN DE MATERIALES  EDUCATIVOS A LAS INSTITUCIONES EDUCATIVAS DE LA PROVINCIA DE BONGARA</t>
  </si>
  <si>
    <t>AS-SM-3-2020-DREA-CS-1</t>
  </si>
  <si>
    <t>CONTRATACIÓN DEL SERVICIO DE TRANSPORTE DE CARGA PARA LA DISTRIBUCIÓN DE MATERIALES EDUCATIVOS A LAS INSTITUCIONES EDUCATIVAS DE LA PROVINCIA DE LUYA, EN EL MARCO DE LA DISTRIBUCIÓN DE DOTACIÓN 2020</t>
  </si>
  <si>
    <t>AS-SM-2-2020-DREA-CS-1</t>
  </si>
  <si>
    <t>CONTRATACIÓN DEL SERVICIO DE TRANSPORTE DE CARGA PARA LA DISTRIBUCIÓN DE MATERIALES  EDUCATIVOS A LAS INSTITUCIONES EDUCATIVAS DE LA PROVINCIA DE CHACHAPOYAS</t>
  </si>
  <si>
    <t>AS-SM-1-2020-DREA-CS-1</t>
  </si>
  <si>
    <t>SERVICIO DE ALQUILER DE LOCAL PARA EL FUNCIONAMIENTO DE LAS DIFERENTES OFICNAS DE LA DIRECCIÓN  REGIONAL   DE   EDUCACIÓN AMAZONAS</t>
  </si>
  <si>
    <t>DIRECTA-PROC-2-2021-DREA-OEC-1</t>
  </si>
  <si>
    <t>DIRECTA-PROC-2-2021-DREA-OEC-2</t>
  </si>
  <si>
    <t>DIRECTA-PROC-2-2021-DREA-OEC-3</t>
  </si>
  <si>
    <t>S/  60,000.00</t>
  </si>
  <si>
    <t>año 2021</t>
  </si>
  <si>
    <t>SERVICIO DE  IMPRESIÓN Y ANILLADO O ENCUADERNADO DE MATERIAL PARA LA DISTRIBUCION A LOS PRONOEI E II.EE DE INICIAL PRIMARIA Y SECUNDARIA DE LA DIRECCION REGIONAL DE EDUCACION AMAZONAS</t>
  </si>
  <si>
    <t>AS-SM-5-2021-DREA-CS-1</t>
  </si>
  <si>
    <t>AS-SM-5-2021-DREA-CS-2</t>
  </si>
  <si>
    <t>AS-SM-5-2021-DREA-CS-3</t>
  </si>
  <si>
    <t>S/  160,960.80</t>
  </si>
  <si>
    <t>Adquisición de mascarillas faciales textiles de uso comunitario y Protectores faciales para la población estudiantil y personal de las Instituciones Educativas de la UNIDAD EJECUTORA Nº 300 DE LA DIRECCION REGIONAL DE EDUCACION AMAZONAS.</t>
  </si>
  <si>
    <t>DIRECTA-PROC-1-2021-DREA-OEC-1</t>
  </si>
  <si>
    <t>DIRECTA-PROC-1-2021-DREA-OEC-2</t>
  </si>
  <si>
    <t>DIRECTA-PROC-1-2021-DREA-OEC-3</t>
  </si>
  <si>
    <t>S/  706,452.68</t>
  </si>
  <si>
    <t>CONTRATACION DEL SERVICIO DE TRANSPORTE PARA EL TRASLADO DE MATERIAL EDUCATIVO  DE LA UNIDAD DE GESTION LOCAL DE LA PROVINCIA DE ROD. MENDOZA DE LA DIRECCION REGIONAL DE EDUCACION AMAZONAS</t>
  </si>
  <si>
    <t>AS-SM-4-2021-DREA-CS-1</t>
  </si>
  <si>
    <t>AS-SM-4-2021-DREA-CS-2</t>
  </si>
  <si>
    <t>AS-SM-4-2021-DREA-CS-3</t>
  </si>
  <si>
    <t>CONTRATACION DEL SERVICIO DE TRANSPORTE PARA EL TRASLADO DE MATERIAL EDUCATIVO  DE LA UNIDAD DE GESTION LOCAL DE LA PROVINCIA DE BONGARA DE LA DIRECCION REGIONAL DE EDUCACION AMAZONAS</t>
  </si>
  <si>
    <t>AS-SM-3-2021-DREA-CS-1</t>
  </si>
  <si>
    <t>AS-SM-3-2021-DREA-CS-2</t>
  </si>
  <si>
    <t>AS-SM-3-2021-DREA-CS-3</t>
  </si>
  <si>
    <t>CONTRATACION DEL SERVICIO DE TRANSPORTE PARA EL TRASLADO DE MATERIAL EDUCATIVO  DE LA UNIDAD DE GESTION LOCAL DE LA PROVINCIA DE LUYA DE LA DIRECCION REGIONAL DE EDUCACION AMAZONAS</t>
  </si>
  <si>
    <t>AS-SM-2-2021-DREA-CS-1</t>
  </si>
  <si>
    <t>AS-SM-2-2021-DREA-CS-2</t>
  </si>
  <si>
    <t>AS-SM-2-2021-DREA-CS-3</t>
  </si>
  <si>
    <t>CONTRATACION DEL SERVICIO DE TRANSPORTE PARA EL TRASLADO DE MATERIAL EDUCATIVO  DE LA UNIDAD DE GESTION LOCAL DE LA PROVINCIA DE CHACHAPOYAS DE LA DIRECCION REGIONAL DE EDUCACION AMAZONAS /</t>
  </si>
  <si>
    <t>AS-SM-1-2021-DREA-CS-1</t>
  </si>
  <si>
    <t>AS-SM-1-2021-DREA-CS-2</t>
  </si>
  <si>
    <t>AS-SM-1-2021-DREA-CS-3</t>
  </si>
  <si>
    <t xml:space="preserve">301 - 954  REGIÓN AMAZONAS – Educación Bagua </t>
  </si>
  <si>
    <t>1. CONTRATACIÓN DE SERVICIO DE TRANSPORTE PARA LA DISTRIBUCION DEL MATERIAL EDUCATIVO DOTACION A LAS II.EE. PARA EL BUEN INICIO DEL AÑO ESCOLAR DOTACIÓN 2021 ¿ UGEL UTCUBAMBA TRAMO II - DE LA PROVINCIA DE UTCUBAMBA, REGION AMAZONAS.</t>
  </si>
  <si>
    <t>SERVICIO</t>
  </si>
  <si>
    <t xml:space="preserve">20539032233 - RCA INGENIEROS SRL </t>
  </si>
  <si>
    <t>NINGUNO</t>
  </si>
  <si>
    <t>20602042121 - CORPORACION DE SERVICIOS GENERALES BUSTAMANTE
GRUP E.I.R.L.</t>
  </si>
  <si>
    <t>ANULACION DE CONTRATO/
 POSTERIOR</t>
  </si>
  <si>
    <t>10336561294 - VASQUEZ CERVERA JUANITO</t>
  </si>
  <si>
    <t xml:space="preserve">2. CONTRATACIÓN DEL SERVICIO DE TRANSPORTE TERRESTRE PARA LA DISTRIBUCIÓN DE MATERIAL FUNGIBLE DOTACION 2021 A LAS INSTITUCIONES EDUCATIVAS DE LA PROVINCIA DE UTCUBAMBA - REGION AMAZONAS. </t>
  </si>
  <si>
    <t>3. ADQUISICION DE MASCARILLAS FACIALES TEXTILES DE USO COMUNITARIO, PARA PERSONAL Y ESTUDIANTES, ASI COMO DE PROTECTORES FACIALES PARA EL MENCIONADO PERONAL DE LA UNIDAD EJECUTORA 301 UNIDAD DE GESTION EDUCATIVA UTCUBAMBA.</t>
  </si>
  <si>
    <t>BIENES</t>
  </si>
  <si>
    <t>20606026421 - ERAL MEDICAL S.A.C.</t>
  </si>
  <si>
    <t>302 - 1220  REGIÓN AMAZONAS – Educación Condorcanqui</t>
  </si>
  <si>
    <t>CONTRATACION DEL SERVICIO DE TRANSPORTE Y DISTRIBUCIÓN DE MATERIALES FUNGIBLES DE LOS DISTRITOS DE NIEVA , RIO SANTIAGO Y EL CENEPA</t>
  </si>
  <si>
    <t>CD-Nº0002-2020-302</t>
  </si>
  <si>
    <t>CONTRATACIÓN DIRECTA</t>
  </si>
  <si>
    <t>0002</t>
  </si>
  <si>
    <t>10474894814 - 
FERNANDEZ FERNANDEZ EYNER</t>
  </si>
  <si>
    <t>EJECUTADO Y 
PAGADO</t>
  </si>
  <si>
    <t>CORRESPONDE AL AÑO 2020</t>
  </si>
  <si>
    <t>SERVICIO DE TRANSPORTE Y DISTRIBUCIÓN DE MATERIALES EDUCATIVOS DE LOS DISTRITOS DE NIEVA , RIO SANTIAGO Y EL CENEPA</t>
  </si>
  <si>
    <t>CD-Nº0001-2020-302</t>
  </si>
  <si>
    <t>0001</t>
  </si>
  <si>
    <t>20539200390 - 
THE JUNGLA SERVICE S.R.L</t>
  </si>
  <si>
    <t>CONTRATACION DEL SERVICIO DE TRANSPORTE Y DISTRIBUCIÓN DE MATERIALES FUNGIBLES DE LOS DISTRITOS DE NIEVA , RIO SANTIAGO Y EL CENEPA DOTACION I</t>
  </si>
  <si>
    <t>AS-0001-2021-UE 302-1</t>
  </si>
  <si>
    <t xml:space="preserve">SUMA ALZADA </t>
  </si>
  <si>
    <t>AS-SM-1-2021-UE 302</t>
  </si>
  <si>
    <t>CORRESPONDE AL AÑO 2021</t>
  </si>
  <si>
    <t xml:space="preserve">	CONTRATACION DEL SERVICIO DE TRANSPORTE PARA LA DISTRIBUCION DE MATERIAL EDUCATIVO DE LOS DISTRITOS DE NIEVA , RIO SANTIAGO Y EL CENEPA DOTACION II</t>
  </si>
  <si>
    <t>AS-SM-2-2021-UE 303-1</t>
  </si>
  <si>
    <t>AS-SM-2-2021-UE 302-1</t>
  </si>
  <si>
    <t>ADQUISICIÓN DE MASCARILLAS FACIALES TEXTILES DE USO COMUNITARIO PARA LA POBLACIÓN ESTUDIANTIL Y PERSONAL DE LAS INSTITUCIONES EDUCATIVAS DE LOS DISTRITOS DE NIEVA, RIO SANTIAGO Y EL CENEPA, NIEVA-CONDORCANQUI-AMAZONAS.</t>
  </si>
  <si>
    <t>CD-N°0001-2021-UE 303-1</t>
  </si>
  <si>
    <t>20603420501 - 
AIKO REPRESENTACION S.A.C</t>
  </si>
  <si>
    <t>CONTRATACION DEL SERVICIO DE TRANSPORTE PARA LA DISTRIBUCION DE MATERIAL EDUCATIVO DE LOS DISTRITOS DE NIEVA , RIO SANTIAGO Y EL CENEPA DOTACION III</t>
  </si>
  <si>
    <t>AS-SM-3-2021-UE 302</t>
  </si>
  <si>
    <t>AS-SM-3-2021-UE 302-1</t>
  </si>
  <si>
    <t>CONTRATACION DEL SERVICIO DE IMPRESIONES, ENCUADERNACION Y EMPASTADO PARA INSTITUCIONES EDUCATIVAS.</t>
  </si>
  <si>
    <t>AS-SM-4-2021-UGEL-302</t>
  </si>
  <si>
    <t>10446166463 - 
VEGA ALTAMIRANO ELITA ELVIRA</t>
  </si>
  <si>
    <t xml:space="preserve">	CONTRATACION DEL SERVICIO DE TRANSPORTE PARA LA DISTRIBUCION DE MATERIAL EDUCATIVO DOTACION 2021 UGEL BAGUA TRAMO I</t>
  </si>
  <si>
    <t>CORRESPONDE AL AÑO 2022</t>
  </si>
  <si>
    <t>CONTRATACION DEL SERVICIO DE TRASNPORTE PARA LA DISTRIBUCION DE MATERIAL FUNGIBLE 2021 TRAMO I.</t>
  </si>
  <si>
    <t>ADQUISICIÓN DE MASCARILLAS FACIALES TEXTILES DE USO COMUNITARIO PARA LA POBLACIÓN ESTUDIANTIL Y PERSONAL DE LAS INSTITUCIONES EDUCATIVAS.</t>
  </si>
  <si>
    <t>DIRE</t>
  </si>
  <si>
    <t>303 - 1349  REGIÓN AMAZONAS – Educación Bagua Capital</t>
  </si>
  <si>
    <t>SERVICIO DE TRANSPORTE Y DISTRIBUCIÓN DE MATERIALES EDUCATIVOS - IMAZA</t>
  </si>
  <si>
    <t>CD-Nº0002-2020-303</t>
  </si>
  <si>
    <t>THE JUNGLE SERVICES SRL</t>
  </si>
  <si>
    <t>SERVICIO DE TRANSPORTE Y DISTRIBUCIÓN DE MATERIALES EDUCATIVOS - BAGUA</t>
  </si>
  <si>
    <t>CD-Nº0003-2020-303</t>
  </si>
  <si>
    <t>0003</t>
  </si>
  <si>
    <t>RCA INGENIEROS SRL</t>
  </si>
  <si>
    <t>ADQUISICIÓN DE IMPLEMENTOS DE BIOSEGURIDAD Y LIMPIEZA PARA PREVENCIÓN DEL COVID 19 DEL PERSONAL DE LA UGEL BAGUA</t>
  </si>
  <si>
    <t>COMPARACIÓN DE PRECIOS</t>
  </si>
  <si>
    <t>PRECIO MAS BAJO</t>
  </si>
  <si>
    <t>O/C Nº0000009</t>
  </si>
  <si>
    <t>HERNANDEZ AMAMBAL WALTER</t>
  </si>
  <si>
    <t>ENTREGADO Y 
PAGADO</t>
  </si>
  <si>
    <t>ADQUISICIÓN DE IMPLEMENTOS DE BIOSEGURIDAD Y LIMPIEZA PARA PREVENCIÓN DEL COVID 19 DEL PERSONAL DE LA UGEL IBIR IMAZA</t>
  </si>
  <si>
    <t>O/C Nº0000010</t>
  </si>
  <si>
    <t>ALTAMIRANO GONZALES MARIA DORIS</t>
  </si>
  <si>
    <t>ADQUISICIÓN DE KITS DE MATERIAL DE LIMPIEZA DE AULA, SSHH Y BIOSEGURIDAD PARA LOS CEBE Y PRITE DEL AMBITO DE LA UGEL BAGUA (SIN DECRETO)</t>
  </si>
  <si>
    <t>O/C Nº0000011</t>
  </si>
  <si>
    <t>ADQUISICIÓN DE KITS DE MATERIAL DE LIMPIEZA DE AULA, SSHH Y BIOSEGURIDAD PARA LOS CEBE Y PRITE DEL AMBITO DE LA UGEL BAGUA (CON DECRETO)</t>
  </si>
  <si>
    <t>O/C Nº0000012</t>
  </si>
  <si>
    <t>JAYLOU EIRL</t>
  </si>
  <si>
    <t>ADQUISICIÓN DE MATERIAL FUNGIBLE Y ESCRITORIO PARA LOS CEBE Y PRITE DEL AMBITO DE LA UGEL BAGUA</t>
  </si>
  <si>
    <t>O/C Nº0000013</t>
  </si>
  <si>
    <t xml:space="preserve">CONTRATACION DEL SERVICIO DE TRANSPORTE PARA LA DISTRIBUCION DE MATERIAL EDUCATIVO DOTACION 2021 UGEL IBIR IMAZA TRAMO II Y TRAMO III. </t>
  </si>
  <si>
    <t>AS-SM-1-2021-UE 303-1</t>
  </si>
  <si>
    <t>S/.372.820.11</t>
  </si>
  <si>
    <t>20539023919 - 
MICALLA CONTRATISTAS GENERALES E.I.R.L.</t>
  </si>
  <si>
    <t xml:space="preserve">	CONTRATACION DEL SERVICIO DE TRANSPORTE PARA LA DISTRIBUCION DE MATERIAL EDUCATIVO DOTACION 2021 UGEL BAGUA TRAMO II Y TRAMO III.</t>
  </si>
  <si>
    <t>20539032233 - RCA INGENIEROS SRL</t>
  </si>
  <si>
    <t>CONTRATACION DEL SERVICIO DE TRASNPORTE PARA LA DISTRIBUCION DE MATERIAL FUNGIBLE 2021 UGEL BAGUA.</t>
  </si>
  <si>
    <t>COMPRE-SM-1-2021-UE 303-1</t>
  </si>
  <si>
    <t>20392426486 - 
INVERSIONES AMAZONAS EIRL</t>
  </si>
  <si>
    <t>AS-SM-5-2021-UGEL-303 BAGUA-1</t>
  </si>
  <si>
    <t>10465410774 - 
COMETIVOS SANGAMA ARELI</t>
  </si>
  <si>
    <t>03/05/2021 </t>
  </si>
  <si>
    <t>ADQUISICIÓN DE MASCARILLAS FACIALES TEXTILES DE USO COMUNITARIO PARA LA POBLACIÓN ESTUDIANTIL Y PERSONAL DE LAS INSTITUCIONES EDUCATIVAS DE LA UGEL BAGUA Y UGEL IBIR IMAZA, BAGUA-BAGUA-AMAZONAS.</t>
  </si>
  <si>
    <t>DIRECTA-PROC-1-2021-UGEL-303 BAGUA-1</t>
  </si>
  <si>
    <t>20603470622 - 
KADISI INVERSIONES S.A.C.</t>
  </si>
  <si>
    <t xml:space="preserve">	CONTRATACION DEL SERVICIO DE TRANSPORTE PARA LA DISTRIBUCION DE MATERIAL EDUCATIV DE BAGUIMAZA TRAMO II Y III DE2022.</t>
  </si>
  <si>
    <t xml:space="preserve"> ---------------------</t>
  </si>
  <si>
    <t>PROYECCIÓN  AL AÑO 2022</t>
  </si>
  <si>
    <t>CONTRATACION DEL SERVICIO DE TRASNPORTE PARA LA DISTRIBUCION DE MATERIAL FUNGIBLE 2022 UGEL BAGUA.</t>
  </si>
  <si>
    <t>PROYECCIÓN  AL AÑO 2023</t>
  </si>
  <si>
    <t>PROYECCIÓN  AL AÑO 2024</t>
  </si>
  <si>
    <t>400 - 725  REGIÓN AMAZONAS – Salud Amazonas</t>
  </si>
  <si>
    <t>401-955 REGIÓN AMAZONAS – Salud Bagua</t>
  </si>
  <si>
    <t>1-ADQUISICIÓN DE GASOLINA LUBRICADA (90 OCTANOS + ACEITE 2T) PARA MOVILIDADES FLUVIALES Y REALIZAR EL TRASLADO Y SEGUIMIENTO DE PACIENTES COVID-19 SEGÚN DECRETO DE URGENCIA 071-2020, QUE ESTABLECE PLAN DE INTERVENCIÓN DEL MINISTERIO DE SALUD PARA COMUNIDADES INDÍGENAS Y CENTROS POBLADOS RURALES DE LA AMAZONIA FRENTE A LA EMERGENCIA DEL COVID-19 ¿ DISTRITO DE IMAZA - AMAZONAS</t>
  </si>
  <si>
    <t>SIN MODALIDAD</t>
  </si>
  <si>
    <t>AS-SM-4-2020-DRSB-1</t>
  </si>
  <si>
    <t>20605167498 - MULTISERVICIOS EL MAÑU E.I.R.L.</t>
  </si>
  <si>
    <t>90 DIAS</t>
  </si>
  <si>
    <t>2-MANTENIMIENTO CORRECTIVO DEL LABORATORIO DE BIOLOGÍA MOLECULAR A RAÍZ DEL BROTE DEL COVID - 19 REGIONAL EN SALUD PUBLICA - BAGUA - AMAZONAS</t>
  </si>
  <si>
    <t>DIRECTA-PROC-1-2020-DRSB-1</t>
  </si>
  <si>
    <t>20480691181 - ; CONSTRUCTORA LEAXER ; E.I.R.L.</t>
  </si>
  <si>
    <t>30 DIAS</t>
  </si>
  <si>
    <t>3-ADQUISICIÓN DE JABÓN EN BARRA X 200 GR APROX. PARA REDUCCION DE EFECTOS ADVERSOS ANTE LA PROPAGACION DE BROTES DE COVID-19 EN EL MARCO DEL DECRETO DE URGENCIA DU 071-2020, QUE ESTABLECE PLAN DE INTERVENCIÓN DEL MINISTERIO DE SALUD PARA COMUNIDADES INDÍGENAS Y CENTROS POBLADOS RURALES DE LA AMAZONIA</t>
  </si>
  <si>
    <t>DIRECTA-PROC-2-2020-DRSB-1</t>
  </si>
  <si>
    <t>20603698852 - CONSORCIO BAGUA</t>
  </si>
  <si>
    <t>10 DIAS</t>
  </si>
  <si>
    <t>4-CONTRATACION DE SERVICIO PARA REALIZAR MANTENIMIENTO CORRECTIVO DE MOVILIDADES FLUVIALESDE LAS IPRESS (CHIPE, IMAZA, SAN RAMON, SAN RAFAEL, SAMAREN YUPICUSA, WAJUYAT, TENASHUNUM, UUT, YAMAYAKAT) EN EL MARCO DEL D.U. 071-2020 PLAN DE INTERVENCION PARA PUEBLOS INDIGENAS AMAZONICOS</t>
  </si>
  <si>
    <t>DIRECTA-PROC-4-2020-DRSB-1</t>
  </si>
  <si>
    <t>10806074565 - JAUREGUI ALVARADO MARIO</t>
  </si>
  <si>
    <t>5-MANTENIMIENTO CORRECTIVO DEL LABORATORIO REFERENCIAL REGIONAL EN SALUD PUBLICA DE LA RED DE SALUD BAGUA DE LA REGION AMAZONAS</t>
  </si>
  <si>
    <t>DIRECTA-PROC-5-2020-DRSB-1</t>
  </si>
  <si>
    <t>6-CONTRATACION DE SERVICIO PARA REALIZAR MANTENIMIENTO CORRECTIVO DE MOVILIDADES TERRESTRES (AMBULANCIAS) DE LAS IPRESS IMAZA, CHIRIACO, TUPAC AMARU Y ARAMANGO EN EL MARCO DEL D.U. 071-2020 PLAN DE INTERVENCION PARA PUEBLOS INDIGENAS AMAZONICOS</t>
  </si>
  <si>
    <t>DIRECTA-PROC-6-2020-DRSB-1</t>
  </si>
  <si>
    <t>20600986741 - YANIKOL CONSTRUCCIONES &amp; SERVICIOS GENERALES SOCIEDAD COMERCIAL DE RESPONSABILIDAD LIMITADA</t>
  </si>
  <si>
    <t>7-CONTRATACION DE SERVICIO DE CONSTRUCCION DE CUATRO (04) MODULOS PREFABRICADOS PARA PACIENTES CON COVID EN EL C.S. CHIRIACO, C.S. CHIPE, C.S. TUPAC AMARU, P.S. WANTSA ¿ RED DE SALUD BAGUA</t>
  </si>
  <si>
    <t>DIRECTA-PROC-7-2020-DRSB-1</t>
  </si>
  <si>
    <t>20604114480 - CONSTRUCTORA &amp; CONSULTORA INGCAHER E.I.R.L</t>
  </si>
  <si>
    <t>8-CONTRATACION DE SERVICIO DE TRANSPORTE DE PRODUCTOS FARMACEUTICOS, DISPOSITIVOS, PRODUCTOS SANITARIO QUE NO REQUIEREN CADENA DE FRIO, EQUIPO Y OTROS BIENES ¿ 2020</t>
  </si>
  <si>
    <t>DIRECTA-PROC-8-2020-DRSB-1</t>
  </si>
  <si>
    <t>20600251598 - INVERSIONES TAMARY SOCIEDAD ANONIMA CERRADA</t>
  </si>
  <si>
    <t>44 DIAS</t>
  </si>
  <si>
    <t>10-ADQUISICION DE MASCARILLA DESCARTABLE TIPO N-95</t>
  </si>
  <si>
    <t>DIRECTA-PROC-10-2020-DRSB-1</t>
  </si>
  <si>
    <t>20603263422 - DISPOSITIVOS Y EQUIPAMIENTO MEDICO PERU E.I.R.L</t>
  </si>
  <si>
    <t>10ADQUISICIÓN DE GASOLINA DE 90 OCTANOS Y DIESEL B5(PETROLEO) PARA ABASTECER LA MOVILIDADES DE LA RED SALUD BAGUA</t>
  </si>
  <si>
    <t>SIE-SIE-1-2020-DRSB-1</t>
  </si>
  <si>
    <t>20602312080 - MULTISERVICIOS TRADING CENTER SEÑOR CAUTIVO SAC</t>
  </si>
  <si>
    <t>240 DIAS</t>
  </si>
  <si>
    <t>11-ADQUISICIÓN DE GASOLINA DE 90 OCTANOS Y DIESEL B5 (PETROLEO) PARA TRASLADO Y SEGUIMIENTO DE PACIENTES COVID-19 SEGÚN DECRETO DE URGENCIA 071-2020, QUE ESTABLECE PLAN DE INTERVENCIÓN DEL MINISTERIO DE SALUD PARA COMUNIDADES INDÍGENAS Y CENTROS POBLADOS RURALES DE LA AMAZONIA FRENTE A LA EMERGENCIA DEL COVID-19 ¿ DISTRITO DE IMAZA - AMAZONAS</t>
  </si>
  <si>
    <t>SIE-SIE-4-2020-DRSB-1</t>
  </si>
  <si>
    <t>13-ADQUISICION DE INSUMOS HOSPITALARIOS PARA ATENCION DE LOS USUARIOS ASEGURADOS DEL SEGURO INTEGRAL DE SALUD EN LAS IPRESS DE LA RED SALUD BAGUA</t>
  </si>
  <si>
    <t>DIRECTA-PROC-4-2021-DRSB-1</t>
  </si>
  <si>
    <t>20603263422 - DISPOSITIVOS Y EQUIPAMIENTO MEDICO PERU E.I.R.L.</t>
  </si>
  <si>
    <t>14-ADQUISICIÓN DE EQUIPOS DE PROTECCIÓN PERSONAL PARA IMPLEMENTAR LAS IPRESS DE LA RED SALUD BAGUA AÑO 2021</t>
  </si>
  <si>
    <t>DIRECTA-PROC-2-2021-DRSB-1</t>
  </si>
  <si>
    <t>15-ADQUISICIÓN DE PRUEBA RAPIDA CUALITATIVA DE ANTIGENO ESPECÍFICO PARA SARS-CoV2 (COVID-19) PARA PROCESAMIENTO DE MUESTRAS COVID-19</t>
  </si>
  <si>
    <t>DIRECTA-PROC-1-2021-DRSB-1</t>
  </si>
  <si>
    <t>20604743380 - CIENCIA MEDICA PERU S.A.C. - CIENCIMED S.A.C.</t>
  </si>
  <si>
    <t>16-ADQUISICIÓN DE GASOLINA DE 90 OCTANOS Y DIESEL B5-S50 (PETROLEO) PARA ABASTECER LAS MOVILIDADES DE LA RED SALUD BAGUA 2021</t>
  </si>
  <si>
    <t>SIE-SIE-1-2021-DRSB-1</t>
  </si>
  <si>
    <t>20600641566 - ESTACION DE SERVICIOS VASQUEZ IDEL SOCIEDAD COMERCIAL DE RESPONSABILIDAD LIMITADA</t>
  </si>
  <si>
    <t>210 DIAS</t>
  </si>
  <si>
    <t>17-CONTRATACIÓN DEL SERVICIO DE TRANSPORTE DE PRODUCTOS FARMACÉUTICOS QUE REQUIEREN CADENA DE FRIO</t>
  </si>
  <si>
    <t>AS-SM-1-2021-DRSB-1</t>
  </si>
  <si>
    <t>20487924050 - INVERSIONES Y SERVICIOS MULTIPLES ;J&amp;F RUAR; E.I.R.L.</t>
  </si>
  <si>
    <t>18-CONTRATACIÓN DEL SERVICIO DE TRANSPORTE DE  PRODUCTOS FARMACÉUTICOS DISPOSITIVOS MÉDICOS, PRODUCTOS SANITARIOS QUE NO REQUIEREN CADENA DE FRIO, EQUIPOS Y OTROS</t>
  </si>
  <si>
    <t>AS-SM-2-2021-DRSB-1</t>
  </si>
  <si>
    <t>20600251598 - CONSORCIO VICTOR ANDRE</t>
  </si>
  <si>
    <t>19-ADQUISICION DE BALONES Y MANOMETRO DE OXIGENO PARA IMPLEMENTAR LAS IPRESS DE LA RED DE SALUD BAGUA</t>
  </si>
  <si>
    <t>COMPRE-SM-3-2021-DRSB-1</t>
  </si>
  <si>
    <t>20549704809-COORPORACION PEREZ DIAZ SAC</t>
  </si>
  <si>
    <t>CONSENTIMIENTO DE BUENA PRO (05/10/2021)</t>
  </si>
  <si>
    <t>20-ADQUISICIÓN DE MATERIAL MEDICOS (SET INSTRUMENTAL PARA ATENCION DE PARTO X 8 PIEZAS, TAMBOR DE ACERO QUIRURGICO Y SET INSTRUMENTAL QUIRURGICO DE CURACIONES X 10 PIEZAS PARA GARANTIZAR ATENCIÓN EN PACIENTES AFILIADOS AL SEGURO INTEGRAL DE SALUD (SIS) QUE ACUDEN A LAS IPRESS DE RED SALUD BAGUA AMAZONAS</t>
  </si>
  <si>
    <t>AS-SM-4-2021-DRSB-1</t>
  </si>
  <si>
    <t>FORMULACION DE BASES</t>
  </si>
  <si>
    <t>21-ADQUISICIÓN DE MICROCUBETAS DESCARTABLE PARA HEMOGLOBINOMETRO HEMOCONTROL X 50 PARA DESCARTE DE ANEMIA EN LAS IPRESS DE LA RED SALUD BAGUA</t>
  </si>
  <si>
    <t>AS-SM-3-2021-DRSB-1</t>
  </si>
  <si>
    <t>23-ADQUISICION DE COMBUSTIBLE PARA MOVILIDADES FLUVIALES 2022</t>
  </si>
  <si>
    <t>24-ADQUISICION DE MICROCUBETAS 2020</t>
  </si>
  <si>
    <t>25-CONTRATACION DE SERVICIO PARA TRASLADO DE BIOLOGICOS</t>
  </si>
  <si>
    <t>26-ADQUISICION DE INSUMOS HOSPITALARIOS PARA ABASTECER IPRESS 2021</t>
  </si>
  <si>
    <t>402 - 998  REGIÓN AMAZONAS – Hospital De Apoyo Chachapoyas</t>
  </si>
  <si>
    <t>1 Adquisicion de Mamelucos descartable para el personal asistencial</t>
  </si>
  <si>
    <t>Contratcion Directa</t>
  </si>
  <si>
    <t>Llave en Mano</t>
  </si>
  <si>
    <t>CD N° 01-2020</t>
  </si>
  <si>
    <t>ENTREGADO</t>
  </si>
  <si>
    <t>2 Adquisicion de Balones de Oxigeno de 10 m3</t>
  </si>
  <si>
    <t>CD N° 04-2020</t>
  </si>
  <si>
    <t>3 Adquiscion de Mascarilla descartable</t>
  </si>
  <si>
    <t>CD N° 02-2020</t>
  </si>
  <si>
    <t>4 Adquiscion de pruebas raopidas</t>
  </si>
  <si>
    <t>CD N° 03-2020</t>
  </si>
  <si>
    <t>5 Adquisicion de mandiles descrtables</t>
  </si>
  <si>
    <t>CD N° 05-2020</t>
  </si>
  <si>
    <t>6 Adquisicion de mascara facial para personal asistencial</t>
  </si>
  <si>
    <t>CD N° 06-2020</t>
  </si>
  <si>
    <t xml:space="preserve">7 Adquisicion de chaqueta y pantalon descartable </t>
  </si>
  <si>
    <t>CD N° 07-2020</t>
  </si>
  <si>
    <t>8 Adquiscion de midazolam</t>
  </si>
  <si>
    <t>CD N° 08-2020</t>
  </si>
  <si>
    <t>9 Adquisicion de cartuchos para analizador de gases arteriales</t>
  </si>
  <si>
    <t>CD N° 01-2021</t>
  </si>
  <si>
    <t>10 Adquisicion de mascarilla N95</t>
  </si>
  <si>
    <t>CD N° 02-2021</t>
  </si>
  <si>
    <t>11 Adquiscion de mandiles descrtables</t>
  </si>
  <si>
    <t>CD N° 03-2021</t>
  </si>
  <si>
    <t>12 Adquiscion de cartuchos para analizador de gases</t>
  </si>
  <si>
    <t>CD N° 04-2021</t>
  </si>
  <si>
    <t>13 Adquision ed chaqueta y pantalon descrtable</t>
  </si>
  <si>
    <t>CD N° 05-2021</t>
  </si>
  <si>
    <t>14 Adquisicion de monitor multiparametro de 6 parametros</t>
  </si>
  <si>
    <t>CD N° 06-2021</t>
  </si>
  <si>
    <t>15 Adquisicion de centrifuga de 30 kg</t>
  </si>
  <si>
    <t>CD N° 07-2021</t>
  </si>
  <si>
    <t>16 Adquisicion de diesel b5-50</t>
  </si>
  <si>
    <t>Subasta Inversa</t>
  </si>
  <si>
    <t>SIE N° 01-2021</t>
  </si>
  <si>
    <t>403-1101-REGIÓN AMAZONAS – Hospital De Apoyo Bagua</t>
  </si>
  <si>
    <t>1 SERVICIO DE CENAS PARA GUARDIAS HOSPITALARIAS</t>
  </si>
  <si>
    <t>PROCEDIMIENTO DE SELECCIÓN</t>
  </si>
  <si>
    <t>EN PROYECTO 2022</t>
  </si>
  <si>
    <t>PARCIAL-MENSUAL</t>
  </si>
  <si>
    <t xml:space="preserve">2 ADQUISICION DE COMBUSTIBLE PARA VEHICULOS PESADOS Y LIVIANOS INSTITUCIONAL </t>
  </si>
  <si>
    <t>3 ADQUISICION DE UNIFORMES PARA EL PERSONAL DEL HOSPITAL DE BAGUA</t>
  </si>
  <si>
    <t>MAYO</t>
  </si>
  <si>
    <t>4 SERVICIO DE MANTENIMIENTO CORRECTIVO Y PREVENTIVO PARA LOS EQUIPOS MEDICOS PARA EL HOSPITAL DE APOYO BAGUA</t>
  </si>
  <si>
    <t>JUNIO</t>
  </si>
  <si>
    <t>5 SERVICIOS DE INTERNET PARA LOS AMBIENTES ADMINISTRATIVOS Y ASISTENCIAL</t>
  </si>
  <si>
    <t>MENOR A LA UITS (8UIT)</t>
  </si>
  <si>
    <t>SIN PROCEDIMIENTO</t>
  </si>
  <si>
    <t>7 ADQUISICION DE INSUMOS PARA LOS EQUIPOS DE LABORATORIO</t>
  </si>
  <si>
    <t>ABRIL</t>
  </si>
  <si>
    <t>8 SERVICIO DE MANTENIMIENTO PREVENTIVO Y CORRECTIVO DE VEHICULOS PARA EL HOSPITAL DE APOYO BAGUA</t>
  </si>
  <si>
    <t>9 ADQUISICION DE EQUIPOS MEDICOS PARA EL HOSPITAL DE APOYO BAGUA</t>
  </si>
  <si>
    <t>10 ADQUISICION DE INSUMOS DE LABORATORIO PARA BANCO DE SANGRE DEL HOSPITAL DE APOYO BAGUA</t>
  </si>
  <si>
    <t>11 ADQUISICION DE FORMATOS EN GENERAL PARA LAS OFICINAS DEL HOSPITAL DE APOYO BAGUA</t>
  </si>
  <si>
    <t>12 ADQUISICION DE PAPELERIA EN GENERAL</t>
  </si>
  <si>
    <t>CATALAGO ELECTRONICO</t>
  </si>
  <si>
    <t>ACUERDOS MARCO</t>
  </si>
  <si>
    <t>13 ADQUISICION DE INSUMOS EN GENERAL PARA LA ATENCION DE PACIENTES EN EL HOSPITAL DE APOYO BAGUA</t>
  </si>
  <si>
    <t>MARZO</t>
  </si>
  <si>
    <t>14 ADQUISICION DE CARTUCHO ANALIZADOR PARA GASES ARTERIALES PARA EL HOSPITAL DE APOYO BAGUA</t>
  </si>
  <si>
    <t>15 SERVICIO DE CENAS PARA EL PERSONAL DE GUARDIA DEL HOSPITAL DE APOYO BAGUA</t>
  </si>
  <si>
    <t>10335787434 -  ACTIVIDADES DE RESTAURANTES Y DE SERVICIO MÓVIL DE COMIDAS</t>
  </si>
  <si>
    <t>AÑO 2021</t>
  </si>
  <si>
    <t>AGOSTO</t>
  </si>
  <si>
    <t>16 SERVICIO DE CONSTRUCCION DE TAPA DE CONCRETO ARADO PARA SELLAR LA CELDA DE RESIDUOS SOLIDOS HOSPITALARIOS</t>
  </si>
  <si>
    <t>10804075823-ALQUILER Y ARRENDAMIENTO DE OTROS TIPOS DE MAQUINARIA, EQUIPO Y BIENES TANGIBLES</t>
  </si>
  <si>
    <t>SETIEMBRE</t>
  </si>
  <si>
    <t>18 SERVICIO DE TECHO Y PAREDES DE LOS SERVICIOS ASISTENCIALES DEL HOSPITAL DE APOYO BAGUA</t>
  </si>
  <si>
    <t>20605284796-OTRAS ACTIVIDADES DE SERVICIOS PERSONALES</t>
  </si>
  <si>
    <t>AÑO 2020</t>
  </si>
  <si>
    <t>19 SERVICIO DE MANTENIMIENTO DE TECHOS Y PAREDES DE MONITOREO DE EMERGENCIAS Y DESASTRES DEL HOSPITAL DE APOYO BAGUA</t>
  </si>
  <si>
    <t>20604233632-CONSTRUCCIÓN DE OTRAS OBRAS DE INGENIERÍA CIVIL</t>
  </si>
  <si>
    <t>20 SERVICIOS DE INTERNET PARA LOS AMBIENTES ADMINISTRATIVOS Y ASISTENCIAL</t>
  </si>
  <si>
    <t>10722179485-OTRAS ACTIVIDADES DE TELECOMUNICACIONES</t>
  </si>
  <si>
    <t>21 SERVICIO DE ACONDICIONAMIENTO DE LOS AMBIENTES DE SALA DE OPERACIONES PARA SALA COVID-19</t>
  </si>
  <si>
    <t>10463974891- OTRAS ACTIVIDADES DE SERVICIOS PERSONALES</t>
  </si>
  <si>
    <t>JULIO</t>
  </si>
  <si>
    <t>404 - 1350 - REGIÓN AMAZONAS – Salud Utcubamba</t>
  </si>
  <si>
    <t>SERVICIO DE INTERNET PARA LOS ESTABLECIMIENTOS DE SALUD Y HOSPITAL SANTIAGO APÓSTOL PARA LA OFICINA DE SEGUROS Y FARMACIA PERTENECIENTES A LA RED DE SALUD UTCUBAMBA</t>
  </si>
  <si>
    <t>EMD TELEVISION POR CABLE SOCIEDAD COMERCIAL DE RESPONSABILIDAD LIMITADA</t>
  </si>
  <si>
    <t>EN EJECUCIÓN</t>
  </si>
  <si>
    <t>CONTRATACIÓN DEL SERVICIO DE ALIMENTACIÓN PARA EL HOGAR PROTEGIDO SANTIAGO APOSTOL EN BAGUA GRANDE</t>
  </si>
  <si>
    <t xml:space="preserve">COMPARACIÓN DE PRECIOS </t>
  </si>
  <si>
    <t>CUSTODIO MEDINA JANETH</t>
  </si>
  <si>
    <t>EJECUTADO</t>
  </si>
  <si>
    <t>ADQUISICIÓN DE DIESEL B5-S50 Y GASOLINA 90 OCTANOS, PARA LA U.E. 404 BAGUA GRANDE - UTCUBAMBA - AMAZONAS</t>
  </si>
  <si>
    <t xml:space="preserve">PRECIOS UNITARIOS </t>
  </si>
  <si>
    <t>ESTACION DE SERVICIOS SAN LUIS EIRL.</t>
  </si>
  <si>
    <t>CONTRATACIÓN DEL SERVICIO DE RECOLECCIÓN, TRANSPORTE Y DISPOSICIÓN FINAL DE RESIDUOS SÓLIDOS BIOCONTAMINADOS PARA EL HOSPITAL SANTIAGO APÓSTOL - UTCUBAMBA</t>
  </si>
  <si>
    <t>GRUPO NUÑEZ VIGO S.A.C.</t>
  </si>
  <si>
    <t>ADQUISICIÓN DE DISPOSITIVOS MÉDICOS, INSUMOS PARA LA ATENCIÓN DE PACIENTES ASEGURADOS EM LA IPRESS DE LA RED DE SALUD UTCUBAMBA. (GEL ANTIBACTERIAL PARA MANOS 3000 UNIDADES DE 1 L)</t>
  </si>
  <si>
    <t>X PROTECTION S.A.C.</t>
  </si>
  <si>
    <t>ADQUISICIÓN DE BALONES DE 10 M3 PARA DIFERENTES EE.SS DE LA RED DE SALUD UTCUBAMBA</t>
  </si>
  <si>
    <t>FLORES ALVITEZ RAUL</t>
  </si>
  <si>
    <t xml:space="preserve">ADQUISICION DE DISPOSITIVOS MEDICOS, INSUMOS PARA LA ATENCIÓN DE PACIENTES ASEGURADOS EN LAS IPRESS DE LA RED DE SALUD UTCUBAMBA (GUANTES PARA EXAMEN DESCARTABLES - UNIDAD - TALLA L M S, GUANTE QUIRURGICO ESTERIL DESCARTABLE - PAR - TALLA n° 6 1/2, 7 7 1/2 y 8 )
</t>
  </si>
  <si>
    <t>MEDICAL CHANNEL S.A.C.</t>
  </si>
  <si>
    <t>ADQUISICIÓN DE EQUIPOS DE REFRIGERACIÓN PARA LOS ESTABLECIMIENTOS DE SALUD DE LA U.E. 404 ¿ SALUD UCTUBAMBA.</t>
  </si>
  <si>
    <t>EDALMI S.A.C.</t>
  </si>
  <si>
    <t xml:space="preserve">06/08/2021
</t>
  </si>
  <si>
    <t>ADQUISICIÓN DE MANÓMETROS DE 02 VÁLVULAS CON HUMIFICADOR</t>
  </si>
  <si>
    <t>CONSORCIO DIAZ &amp; SALAZAR E.I.R.L.</t>
  </si>
  <si>
    <t xml:space="preserve">26/08/2021
</t>
  </si>
  <si>
    <t>ADQUISICIÓN DEL EQUIPO INCUBADORA ESTANDAR DE TRANSPORTE PARA EL HOSPITAL SANTIAGO APÓSTOL, DISTRITO DE BAGUA GRANDE, PROVINCIA DE UTCUBAMBA, REGIÓN AMAZONAS.</t>
  </si>
  <si>
    <t>EN PROCESO DE SELECCIÓN</t>
  </si>
  <si>
    <t>RESPIRADOR TIPO N95 O MASCARILLA QURÚRGICA TIPO N95</t>
  </si>
  <si>
    <t>BEAP MEDIC S.A.C.</t>
  </si>
  <si>
    <t>MASCARILLA DESCARTABLE EFICACIA DE FILTRADO 95 % KN 95</t>
  </si>
  <si>
    <t xml:space="preserve">REPRESENTACIONES BMIC S.A.C.
</t>
  </si>
  <si>
    <t>ADQUISICIÓN DE MICROCUBETA DESCARTABLE PARA HEMOGLOBINOMETRO HEMOCONTROL PARA LA RED DE SALUD UTCUBAMBA</t>
  </si>
  <si>
    <t>DIAGNOSTICA PERUANA S.A.C.</t>
  </si>
  <si>
    <t>405 - 1664  REGIÓN AMAZONAS – Salud Condorcanqui</t>
  </si>
  <si>
    <t>1 COMPRA INSTITUCIONAL DE EPP PARA EL PERSONAL DE SALUD EN CONTACTO CON PACIENTES RESPIRATORIO SOSPECHOSOS DE COVID19</t>
  </si>
  <si>
    <t>ADJUDICACION SIN PROCESO</t>
  </si>
  <si>
    <t>10708084315-GARCIA FERNANDEZ FABIAN ARTIDORO</t>
  </si>
  <si>
    <t>2 SERVICIO DE CONSTRUCCION (IMPLEMENTACION Y ACONDICIONAMIENTO) EN SISTEMA DRYWALL DE 02 AMBIENTES PARA AISLAMIENTO DE PACIENTES COVID-19 EN EL HOSPITAL SANTA MARIA DE NIEVA- DISTRITO DE NIEVA, PROVINCIA DE CONDORCANQUI</t>
  </si>
  <si>
    <t>20487989267-GRUPO BAZAN SAC</t>
  </si>
  <si>
    <t>3 ADQUISICIÓN DE MATERIAL MÉDICO PARA GARANTIZAR LA ATENCION OPORTUNA Y SEGURA A NIÑOS, ADOLESCENTES, GESTANTES Y PUERPERAS FRENTE AL COVID-19.</t>
  </si>
  <si>
    <t>4 ADQUISICION DE MEDICAMENTOSPARA GARANTIZAR LA DISPONIBILIDAD EN STOCK, ENMARCADO EN EL DOCUMENTO TECNICO: PREVENCION Y ATENCION DE PERSONAS AFECTADAS POR COVID-19 EN LA PROVINCIA DE CONDORCANQUI.</t>
  </si>
  <si>
    <t>10447751751-ORONCOY BUENO MARIA DEL CARMEN</t>
  </si>
  <si>
    <t>5 ADQUISICIÓN DE MEDICAMENTO ATENCION ASEGURADO(AZITROMICINA)</t>
  </si>
  <si>
    <t>LLAVE EN MANO</t>
  </si>
  <si>
    <t>20601745527-MAGNETOTERAPIA ANCON1 EIRL</t>
  </si>
  <si>
    <t>6 ADQUISICION DE DE BALON DE OXIGENO PARA LAS ACTIVIDADES DEL PROGRAMA TBC/VIH-SIDA</t>
  </si>
  <si>
    <t>20605471375-GRUPO GADELZA EIRL</t>
  </si>
  <si>
    <t>7 ADQUISICION DE MOTORES PARA LAS IPRESS DE LA JURISDICION DE LA RED DE SALUD CONDORCANQUI.</t>
  </si>
  <si>
    <t>20487446131-SERVICIOS GENERALES LA TUNA  E.I.R.L</t>
  </si>
  <si>
    <t>8 ADQUISICION DE JABON PARA ROPA PARA PROTECCION FAMILIA PARA LA PREVENCION DEL COVID-19 DU071-2020 EF</t>
  </si>
  <si>
    <t>20572120806-GRUPO KRAL SOCIEDAD ANONIMA CERRADA</t>
  </si>
  <si>
    <t>9 ADQUISICION DE JABON PARA ROPA EN BARRA  PARA PROTECCIO DE FAMILIA PARA LA PREVENCION DEL COVID-19-DU071-20</t>
  </si>
  <si>
    <t>10417547261-SAMANIEGO GUTIERREZ SALOMON</t>
  </si>
  <si>
    <t>10 ADQUISICION DE JABON PARA ROPA EN BARRA PROTECCION DE LAS FAMILIA PARA LA PREVENCION DE COVID-19-DU 071-20E</t>
  </si>
  <si>
    <t>20488125207-INVERSIONES REMAY SAC</t>
  </si>
  <si>
    <t>11 ADQUISICION DE JABON PARA ROPA EN BARRA PARA LA PROTECCION DE LAS FAMILIAS PARA LA PREVENCION DEL COVID-19</t>
  </si>
  <si>
    <t>20601991838-GRECIA, DANIEL, IGNACIO INGENIERIA S.A.C.</t>
  </si>
  <si>
    <t>12 ADQUISICION DE JABON PARA ROPA PROTECCION FAMILIA, PREVENCION COVID-19 DU071-2020</t>
  </si>
  <si>
    <t>13 ADQUISICION DE MASCARRILLAS  N95 PARA EL PERSONAL QUE ATIENDE A NIÑOS MENORES DE 5 AÑOS.</t>
  </si>
  <si>
    <t>20601745527-MAGNETOTERAPIA ANCON1 E.I.R.L.</t>
  </si>
  <si>
    <t>14 ADQUISICIÓN DE (01)ECOGRAFO DIGITAL DP10 PARA GARANTIZAR LA CALIDAD DE ATENCION CON OPORTUNIDAD A LA GESTANTE CON RIESGO</t>
  </si>
  <si>
    <t>20605471375-GRUPO GADELZA E.I.R.L</t>
  </si>
  <si>
    <t>15 ADQUISICIÓN DE BALONES DE OXÍGENO MEDICINAL DE 10 M3 Y ACCESORIOS PARA LA ATENCIÓN DE PACIENTES CON COVID-19</t>
  </si>
  <si>
    <t>16 SERVICIO DE TRANSPORTE DE MEDICAMENTOS PARA LA DISTRIBUCION DE MEDICAMENTOS</t>
  </si>
  <si>
    <t>20539200390-THE JUNGLE SERVICES SRL</t>
  </si>
  <si>
    <t>17 ADQUISICION DE UN MODULO, DESTINADO AL ALBERGUE TEMPORAL (CUARENTENA) DE PACIENTES COVID - 19 DE ACUERDO A DECRETO SUPREMO N|071-2020 DESTINADO A LA IPRESS KIG KIGS.</t>
  </si>
  <si>
    <t>20600971434-MULTISERVICIOS ARBOL E.I.R.L.</t>
  </si>
  <si>
    <t>18 ADQUSIICIÓN DE OXIGENO PATRA ABASTECER A LAS IPRESS</t>
  </si>
  <si>
    <t>10094051598-VILLALOBOS RUFINO IVAN</t>
  </si>
  <si>
    <t>19 ADQUISICION DE INSUMOS PARA PREVENIR EL CONTAGIO POR COVID DEL PERSONAL DE SALUD DE LA PROVINCIA DE CONDORCANQUI</t>
  </si>
  <si>
    <t>20 ADQUISICION DE REFRIGERADOR Y CONGELADOR FOTOVOLTAICO CON LA FINALIDAD DE DE GARANTIZAR LA VACUNACION EN LAS JURISDICCIONES DE LA RSC</t>
  </si>
  <si>
    <t>20501887286-DIAGNOSTICA PERUANA SAC</t>
  </si>
  <si>
    <t>21 ADQUISICIÓN DE MATERIAL DE LIMPIEZA NECESARIOS PARA BRINDAR A LAS IPRESS QUE ATIENDEN A LOS CASOS SOSPECHOSOS Y CONFIRMADOS DE CORONAVIRUS</t>
  </si>
  <si>
    <t>10279951960-CAMIZAN CARRASCO SILFREDO</t>
  </si>
  <si>
    <t>22 ADQUISICION DE INSUMOS PARA PREVENIR EL CONTAGIO POR COVID DEL PERSONAL DE SALUD DE LA PROVINCIA DE CONDORCANQUI</t>
  </si>
  <si>
    <t>29/012/2020</t>
  </si>
  <si>
    <t>23 ADQUISICION DE REFRIGERADORA FOTOVOLTAICA FORTALECER UNO DE LOS PILARES MAS IMPORTANTES EN LAS ACTIVIDADES DE INMUNIZACIONES, PUES DE ELLA DEPENDE LA SEGURIDAD Y CALIDAD DE LOS INMUNOBIOLOGICOS</t>
  </si>
  <si>
    <t>24 SERVICIO DE ADECUACION Y MEJORAMIENTO DE INFRAESTRUCTURA DESTINADO A MEJORAR LA CALIDAD DE ATENCION A LA POBLACION FRENTE A LA PANDEMIA COVID-19</t>
  </si>
  <si>
    <t>20539043197-EMPRESA CAJICHI EIRL</t>
  </si>
  <si>
    <t>25 SERVICIO DE TRASLADO DE MEDICAMENTOS DE PRODUCTOS FARMACEUTICOS, DISPOSITIVOS MEDICOS SANITARIOS Y EPP A LAS IPRES DE LA MR HUAMPAMI</t>
  </si>
  <si>
    <t>26 ADQUISICION DE TERMONEBULIZADORAS Y BOMBAS NEUMATICAS DE ASPERSION PARA RENOVAR EL PARQUE ANTIVECTORIAL DE LA RSC</t>
  </si>
  <si>
    <t>20101550533-SOLO DEL PERU S.A.C.</t>
  </si>
  <si>
    <t>27 ADQUISICIÓN DE MATERIAL MÉDICO , PARA VACUNACION Y TRATAMIENTO DEL COVID1</t>
  </si>
  <si>
    <t>PROCESO</t>
  </si>
  <si>
    <t>28 ADQUISICION DE EQUIPOS MEDICOS NECESARIOS PARA LA SALA DE OPERACIONES Y AREAS OBSTETRICAS DEL HOSPITAL I SANTA MARIA DE NIEVA PARA GARANTIZAR LA ATENCION DE CALIDAD Y CALIDEZ QUE TODA GESTANTE DE ALTO RIESGO OBSTETRICO MERECE AL MOMENTO DE LAS COMPLICACIONES OBSTETRICAS</t>
  </si>
  <si>
    <t>20524232104-OPEN MEDIC S.A.C.</t>
  </si>
  <si>
    <t>PPTO 2022 (PROYECCION 31/12)</t>
  </si>
  <si>
    <t>001 - 721  REGIÓN AMAZONAS – Sede Central</t>
  </si>
  <si>
    <t xml:space="preserve">CONTRATACION DEL SERVICIO DE CONSULTORIA DE OBRA PARA ELABORACION DE EXPEDIENTE TECNICO DEL PROYECTO: "MEJORAMIENTO DE LOS SERVICIOS DE EDUCACION INICIAL EN LAS INSTITUCIONES EDUCATIVAS N°345 KUMPIN, N°346 KUYUMATK, N°347 BASHUIM, N°353 SHAMATK CHICO Y N°355 TEESH, DISTRITO DEL CENEPA, PROVINCIA DE CONDORCANQUI- REGION AMAZONAS </t>
  </si>
  <si>
    <t>CONSORCIO SUPERVISOR CENEPA INTEGRADO POR COZAQUI INGENIEROS S.A.C. CON RUC 20600601467 Y BOBADILLA PANTA GUIDO JOSUE CON RUC 10404537950</t>
  </si>
  <si>
    <t xml:space="preserve">EDUCACION </t>
  </si>
  <si>
    <t>SERVICIO DE CONSULTORIA PARA LA ELABORACIÓN DEL EXPEDIENTE TÉCNICO DEL PROYECTO " MEJORAMIENTO DE LA TROCHA CARROZABLE A NIVEL DE AFIRMADO Y CONSTRUCCIÓN DEL PUENTE USHUN SOBRE LA QUEBRADA LA COCA EN LOS ANEXOS DE PINDUC Y INGENIO DEL DISTRITO DE SANTA CATALINA - PROVINCIA DE LUYA, REGION AMAZONAS</t>
  </si>
  <si>
    <t>MESIA YOPAN JORGE LUIS CON RUC 10454933619</t>
  </si>
  <si>
    <t>VIAS DEPARTAMENTALES</t>
  </si>
  <si>
    <t>CONTRATACIÓN DEL SERVICIO DE CONSULTORIA PARA LA ELABORACIÓN DEL EXPEDIENTE TÉCNICO DEL PROYECTO: CREACIÓN Y MEJORAMIENTO DEL SERVICIO DE TRANSITABILIDAD VIAL CRUCE EL TRIUNFO Y PUERTO GAVILAN DEL DISTRITO DE LONYA GRANDE - PROVINCIA DE UTCUBAMBA - DEPARTAMENTO DE AMAZONAS -CUI: 2497482</t>
  </si>
  <si>
    <t>CHAVEZ MINCHOLA CARLOS EDUARDO CON RUC 10445128339</t>
  </si>
  <si>
    <t>SERVICIO DE CONSULTORIA DE OBRA PARA LA SUPERVISION DE LA EJECUCION DE LA OBRA: "MEJ. VIAS DEP. AM-106, TRAMO: EMP. PE-5N (BALZAPATA)- JUMBILLA- ASUNCION EMP.PE-8B (MOLINOPAMPA), AM-110: CHACHAPOYAS- LEVANTO: TRAMO: EMP.PE-8B (TINGO) AM- 111: EMP.PE-8B (TINGO)- LONGUITA- MARIA- KUELAP, PROV. CHACHAPOYAS- BONGARA Y LUYA- AMAZONAS"</t>
  </si>
  <si>
    <t>DOHWA ENGINEERING CO. LTD. SUCURSAL DEL PERU CON RUC 20600366948</t>
  </si>
  <si>
    <t>TRANSPORTES</t>
  </si>
  <si>
    <t>CONTRATACIÓN DEL SERVICIO DE CONSULTORÍA DE OBRA PARA LA ELABORACIÓN DEL SALDO DEL ESTUDIO DEFINITIVO DEL PROYECTO: MEJORAMIENTO DE LOS SERVICIOS ADMINISTRATIVOS DE LA DIRECCIÓN REGIONAL DE EDUCACIÓN AMAZONAS, CHACHAPOYAS, AMAZONAS"</t>
  </si>
  <si>
    <t>CONSORCIO CENEPA INTEGRADO POR CONSTRUCTORA Y SERVICIOS DEL NOR ORIENTE S.R.L. CON RUC. 20487535231 Y CABRERA TORRES NILVER CON RUC. 10700358611</t>
  </si>
  <si>
    <t>CONTRATACIÓN DEL SERVICIO DE CONSULTORIA DE OBRA PARA LA SUPERVISION DE LA EJECUCIÓN DE LA OBRA: REHABILITACIÓN DE CALZADA CON PAVIMENTO RÍGIDO EN LA AV MANUEL SEOANE DESDE LA INTERSECCIÓN AV HEROES DEL CENEPA HASTA EL CEMENTERIO SECTOR LA PRIMAVERA, EN EL DISTRITO DE BAGUA, PROVINCIA DE BAGUA - AMA</t>
  </si>
  <si>
    <t>Consorcio Supervisor &amp; Monitor de Obras - Región Amazona INTEGRADO POR CHAPOÑAN FARROÑAN ROBERTO CARLOS CON RUC 10431356444 Y  SERVICIOS GENERALES ASCONSULT S.R.L. CON RUC 20393230879</t>
  </si>
  <si>
    <t>TRANSPORTE</t>
  </si>
  <si>
    <t>CONTRATACION DEL SERVICIO DE CONSULTORIA DE OBRA PARA LA ELABORACION DEL EXPEDIENTE TECNICO DEL PROYECTO "MEJORAMIENTO DEL SERVICIO EDUCATIVO DE NIVEL INICIAL EN LA I.E N°117-EN LA LOCALIDAD DE BUENOS AIRES DEL DISTRITO DE YAMBRASBAMBA - PROVINCIA DE BONGARA - DEPARTAMENTO DE AMAZONAS.</t>
  </si>
  <si>
    <t>VALA CONSTRUCCIONES E.I.R.L. 20538930157</t>
  </si>
  <si>
    <t>CONTRATACION DEL SERVICIO DE CONSULTORIA DE OBRA PARA LA ELABORACION DEL EXPEDIENTE TECNICO DEL PROYECTO "CREACION CARRETERA VECINAL SAN ISIDRO QUIUCMAL - QUISPE, EN LOS DISTRITOS DE CONILA Y OCALLI DE LA PROVINCIA DE LUYA DEPARTAMENTO DE AMAZONAS"</t>
  </si>
  <si>
    <t>CONSORCIO - CONSORCIO CONSULTOR LA FRONTERA INTEGRADO POR  VALIANT CONSULTORES Y CONTRATISTAS EIRL CON RUC 20602261621,  HORNA YALTA GENARO ROBERTO CON RUC 10421555244 Y CHAPOÑAN FARROÑAN ROBERTO CARLOS CON RUC 10431356444</t>
  </si>
  <si>
    <t>CONTRATACIÓN DEL SERVICIO DE CONSULTORÍA DE OBRA PARA LA SUPERVISIÓN DE LA EJECUCIÓN DE LA OBRA: MEJORAMIENTO DEL ACCESO A SERVICIOS DE SALUD DE SEGUNDO NIVEL DE ATENCIÓN EN EL ÁMBITO DE INFLUENCIA DEL HOSPITAL MARÍA AUXILIADORA DE LA PROVINCIA DE RODRÍGUEZ DE MENDOZA - REGIÓN AMAZONAS</t>
  </si>
  <si>
    <t xml:space="preserve">CONSORCIO SUPERVISOR RIO BRANCO ORIENTE  INTEGRADO POR BRAVO MONDOÑEDO JOAN CARLO CON RUC 10408417479 Y SONDEOS , ESTRUCTURAS Y GEOTECNIA, S.L. SUCURSAL EN PERU CON RUC 20601219566 </t>
  </si>
  <si>
    <t>SALUD</t>
  </si>
  <si>
    <t>Consultoría de Obra</t>
  </si>
  <si>
    <t>ELABORACION DE EXPEDIENTE TECNICO  DE OBRA-AS-SM-1-2020-GRA/GSRB/CS-1</t>
  </si>
  <si>
    <t>SANEAMIENTO</t>
  </si>
  <si>
    <t>ELABORACION DE EXPEDIENTE TECNICO  DE OBRA-AS-SM-2-2020-GRA/GSRB/CS-1</t>
  </si>
  <si>
    <t>SUPERVICION DE OBRA- AS-SM-4-2020-GRA/GSRB/CS-1</t>
  </si>
  <si>
    <t>INFRAESTRUCTURA</t>
  </si>
  <si>
    <t>SUPERVICION DE OBRA-AS-SM-5-2020-GRA/GSRB/CS-1</t>
  </si>
  <si>
    <t>SUPERVICION DE OBRA- AS-SM-6-2020-GRA/GSRB/CS-1</t>
  </si>
  <si>
    <t>ELABORACION DE EXPEDIENTE TECNICO  DE OBRA-AS-SM-1-2021-GRA/GSRB/CS-2</t>
  </si>
  <si>
    <t>ELABORACION DEL ESTUDIO DEFINITIVO-AS-SM-3-2021-GRA/GSRB/CS.-1</t>
  </si>
  <si>
    <t xml:space="preserve">ELABORACION DE EXPEDIENTE TECNICO-AS-SM-5-2021-GRA/GSRB/CS.-1
</t>
  </si>
  <si>
    <t>CONVOCADO</t>
  </si>
  <si>
    <t>ELABORACION DE EXPEDIENTE -AS-SM-4-2021-GRA/GSRB/CS-2</t>
  </si>
  <si>
    <t>POR CONVOCAR</t>
  </si>
  <si>
    <t>SUPERVICION DE OBRA</t>
  </si>
  <si>
    <t>“MEJORAMIENTO DEL SERVICIO DE SALUD DEL PUESTO DE SALUD SANTA ROSA DE PAGKINTSA – CC.NN. SANTA ROSA DE PAGKINTSA,  DISTRITO DE NIEVA, PROVINCIA CONDORCANQUI – REGIÓN AMAZONAS”</t>
  </si>
  <si>
    <t>Empresa HARHAT SAC, con RUC N° 20561260665, representado por su Gerente Titular el Señor WILMER BLADIMIR QUISPE DIAZ, con DNI N° 16693735</t>
  </si>
  <si>
    <t>…………………………</t>
  </si>
  <si>
    <t>por invitación y comparación de precios mediante cuadro comparativo</t>
  </si>
  <si>
    <t>“MEJORAMIENTO DEL SERVICIO EDUCATIVO DE LA IEI N° 363 – ALTO WAISIM, DISTRITO DE NIEVA, PROVINCIA CONDORCANQUI – REGIÓN AMAZONAS”</t>
  </si>
  <si>
    <t>Empresa EDIFICACIONES Y CONSTRUCCIONES MUCHICK SAC, con RUC N° 20480590822, representado por su Gerente Titular el Señor ALBERTO  QUISPE NAVAL, con DNI N° 16675013</t>
  </si>
  <si>
    <t xml:space="preserve"> “MEJORAMIENTO DEL SERVICIO EDUCATIVO DE LA IEI N° 364 – CC.NN. CENTRO TUNDUZA, DISTRITO DE NIEVA, PROVINCIA CONDORCANQUI – REGIÓN AMAZONAS”.3</t>
  </si>
  <si>
    <t xml:space="preserve"> “MEJORAMIENTO DEL SERVICIO EDUCATIVO EN LA IESM SIMÓN PEZO ISMIÑO, DISTRITO DE RÍO SANTIAGO,  PROVINCIA CONDORCANQUI – REGIÓN AMAZONAS”</t>
  </si>
  <si>
    <t>Elaborar el Estudio de Pre Inversión FICHA TÉCNICA (PERFIL) del PIP. DENOMINADO: “MEJORAMIENTO DEL SERVICIO EDUCATIVO DE LA IEI N° 431 – NUEVA ESPERANZA, DISTRITO DE NIEVA, PROVINCIA CONDORCANQUI – REGIÓN AMAZONAS”</t>
  </si>
  <si>
    <t xml:space="preserve"> “MEJORAMIENTO DE LOS SERVICIOS EDUCATIVOS DE LA INSTITUCION EDUCATIVA PRIMARIA N° 17797 – CC.NN. SHIMPU, DISTRITO DE NIEVA, PROVINCIA CONDORCANQUI – REGIÓN AMAZONAS”</t>
  </si>
  <si>
    <t xml:space="preserve"> “CREACION DE LA TRANSITABILIDAD VEHICULAR Y PEATONAL EN EL TRAMO: ALTO PAJACUSA – CHAPIZA BASHUTAK - SANCHUM, DISTRITO DE NIEVA, PROVINCIA CONDORCANQUI – REGIÓN AMAZONAS”</t>
  </si>
  <si>
    <t>………………………</t>
  </si>
  <si>
    <t>Ing. ROLANDO JESUS SALAZAR ANDONAYRE, con RUC N° 10412518352, Identificado con DNI N° 41251835</t>
  </si>
  <si>
    <t xml:space="preserve"> “MEJORAMIENTO DEL SERVICIO EDUCATIVO DEL NIVEL PRIMARIO DE LA IE N° 17791 CC. NN. UMUKAI, DISTRITO DE EL CENEPA, PROVINCIA DE CONDORCANQUI – REGIÓN AMAZONAS”</t>
  </si>
  <si>
    <t>Empresa CONSTRUCTORA CADHORVIC INGENIEROS EIRL, con RUC N° 20487731928, representado por su Gerente Titular el Señor CADENILLAS HORNA VICTOR JANER, con DNI N° 42316307</t>
  </si>
  <si>
    <t>“MEJORAMIENTO DEL SERVICIO EDUCATIVO DE LA IEPM N° 16337 CC. NN. CHOSICA, DISTRITO DE RÍO SANTIAGO,  PROVINCIA CONDORCANQUI – REGIÓN AMAZONAS</t>
  </si>
  <si>
    <t>la EMPRESA DE SERVICIOS MULTIPLES T &amp; S SRL, con RUC N° 20480480300, representado por su Gerente Titular el Señor TANTALEAN CARRANZA ENRIQUE JAVIER, con DNI N° 33591202</t>
  </si>
  <si>
    <t>SUPERVICIONES DE OBRA</t>
  </si>
  <si>
    <t>“CONSTRUCCION DE POZO DE EXTRACCIÓN; EN EL (LA) CIRO ALEGRÍA – NEIVA EN LA LOCALIDAD CIRO ALEGRÍA, DISTRITO DE NIEVA, PROVINCIA DE CONDORCANQUI, DEPARTAMENTO DE AMAZONAS”, con código único de inversión N° 2500219</t>
  </si>
  <si>
    <t>EMPRESA HARHAT SAC, con RUC N° 20561260665, representado legalmente por su Gerente General el Sr Wilmer Bladimir Quispe Díaz, identificado con DNI Nº 16693735</t>
  </si>
  <si>
    <t>“RENOVACIÓN DE LOSA DEPORTIVA; EN EL (LA) LOCALIDAD  NAJAIM PARAISO, DISTRITO DE NIEVA, PROVINCIA DE CONDORCANQUI, DEPARTAMENTO DE AMAZONAS”, con código único de inversión  N° 2501550</t>
  </si>
  <si>
    <t>Arq. RONALD ALEXANDER ALTAMIRANO ALAYA, identificado con  RUC N° 104492204118 y con DNI Nº 44922041 y CAP. N°12342</t>
  </si>
  <si>
    <t>“RENOVACIÓN DE LOSA DEPORTIVA; EN EL (LA) AMBIENTE DEPORTIVO Y/O RECREATIVO EN LA LOCALIDAD NAPURUKA, DISTRITO DE NIEVA, PROVINCIA DE CONDORCANQUI, DEPARTAMENTO DE AMAZONAS”, con código único de inversión  N° 24800362</t>
  </si>
  <si>
    <t>ING°. FARIAS VERA JUAN CARLOS, identificado con  RUC N° 104492204118 y con DNI Nº 44922041</t>
  </si>
  <si>
    <t>ELABORACIÓN DE FICHAS TECNICAS (PERFILES)</t>
  </si>
  <si>
    <t>“MEJORAMIENTO DEL SERVICIO EDUCATIVO EN LA IEI N° 446 CC. NN. ALTO PUPUNTAS, DISTRITO DE NIEVA, PROVINCIA CONDORCANQUI – REGIÓN AMAZONAS”.</t>
  </si>
  <si>
    <t>EMPRESA TOTAL BLOCK SAC, con RUC N° 20561331783, representado por su Gerente General el Señor ALTAMIRANO ALAYA RONALD ALEXANDER, con DNI N° 43636858</t>
  </si>
  <si>
    <t>“MEJORAMIENTO DE LA PRODUCCIÓN ACUÍCOLA DE GAMITANA, PACO Y BOQUICHICO EN LOS DISTRITOS DE NIEVA, RIO SANTIAGO Y EL CENEPA, PROVINCIA DE CONDORCANQUI – DEPARTAMENTO DE AMAZONAS”</t>
  </si>
  <si>
    <t>Emp. CASA CONSULTING SRL, con RUC N° 20570578236, representado por su Gerente General el Sr. Telesforo Serafin Guarnizo Castillo,  Identificado con DNI N° 40093973</t>
  </si>
  <si>
    <t xml:space="preserve">“MEJORAMIENTO DEL SERVICIO EDUCATIVO DE LA IEP N° 17090  CC. NN. BAJO CANAMPA, DISTRITO DE NIEVA, PROVINCIA CONDORCANQUI –  AMAZONAS”,  </t>
  </si>
  <si>
    <t>EMP. CONSULTORA CONSTRUCTORA E INMOBILIARIA SAN FERNANDO SAC, con RUC N° 20480432160, representado por su Gerente General el Señor  LEYVA NUÑEZ FERNANDO, con DNI N° 27749345</t>
  </si>
  <si>
    <t>“MEJORAMIENTO DEL SERVICIO EDUCATIVO DE LA IEPM N° 17851 CC. NN. CHAPI, DISTRITO DE NIEVA, PROVINCIA DE CONDORCANQUI –  AMAZONAS”.</t>
  </si>
  <si>
    <t>Empresa CONSTRUCTORA CARDHORVID INGENIEROS E.I.R.L, con su Representante legal , el Sr. Victor Janer Cadenillas Horna con DNI N° 42316307</t>
  </si>
  <si>
    <t>“MEJORAMIENTO DEL SISTEMA DE AGUA POTABLE Y LETRINIZACIÓN DE LA CC. NN. PAANTAM, DISTRITO DE NIEVA, PROVINCIA DE CONDORCANQUI – AMAZONAS”</t>
  </si>
  <si>
    <r>
      <t>Ing. DELGADO CUBAS WILLIAN</t>
    </r>
    <r>
      <rPr>
        <sz val="8"/>
        <rFont val="Arial Narrow"/>
        <family val="2"/>
      </rPr>
      <t xml:space="preserve">, identificado con DNI N° 42187392, con RUC N° 10421873921  y </t>
    </r>
    <r>
      <rPr>
        <sz val="8"/>
        <color indexed="8"/>
        <rFont val="Arial Narrow"/>
        <family val="2"/>
      </rPr>
      <t>CIP N° 152247</t>
    </r>
  </si>
  <si>
    <t>“CREACIÓN DEL SERVICIO DE AGUA POTABLE Y SANEAMIENTO BÁSICO DE LAS CC. NN. DE SAN RAFAEL Y TUNIN, DISTRITO DE EL CENEPA, PROVINCIA DE CONDORCANQUI – REGIÓN AMAZONAS”</t>
  </si>
  <si>
    <t>EMP. ECOLEPC CONTRATISTAS GENERALES EIRL, con RUC N° 20603049773, representado por su Titular General el Sr. Paucar Cueva Luis Edgardo,  identificado con DNI N° 44057920</t>
  </si>
  <si>
    <t>“MEJORAMIENTO, IMPLEMENTACIÓN Y PROMOCIÓN DE LAS CAPACIDADES TECNICAS DE LA CADENA PRODUCTIVA DE LA ARTESANIA CON ENFOQUE TURISTICO DEL DISTRITO DE NIEVA, PROVINCIA DE CONDORCANQUI – REGIÓN AMAZONAS”.</t>
  </si>
  <si>
    <t>ING°. MORALES BROWN SALVADOR, identificado con DNI N° 43105403, con RUC N° 10431054031 y Registro CIP N° 144078</t>
  </si>
  <si>
    <t>“MEJORAMIENTO DE LA PRODUCCIÓN DE LA CADENA PRODUCTIVA DEL PLATANO EN EL SECTOR ALTO NIEVA, DISTRITO DE NIEVA, PROVINCIA DE CONDORCANQUI – REGIÓN AMAZONAS”</t>
  </si>
  <si>
    <t>ING°. GONZALES ESQUECHE JOVINO, identificado con DNI N° 16556140, con RUC N° 10165561401 y Registro CIP N° 30129</t>
  </si>
  <si>
    <t>“MEJORAMIENTO Y FORTALECIMIENTO DE LA PRODUCCIÓN DE PECES TROPICALES EN LA CC. NN. DE VILLA GONZALO, DISTRITO DE RÍO SANTIAGO, PROVINCIA DE CONDORCANQUI – REGIÓN AMAZONAS”</t>
  </si>
  <si>
    <t>ING° GUARNIZO CASTILLO TELESFORO SERAFIN, identificado con DNI N° 40093973, con RUC N° 10400939735 y Registro CIP N° 82537</t>
  </si>
  <si>
    <t>“MEJORAMIENTO DE LA CADENA PRODUCTIVA DEL CACAO EN LAS COMUNIDADES DEL DISTRITO DE NIEVA, PROVINCIA DE CONDORCANQUI – REGIÓN AMAZONAS”.</t>
  </si>
  <si>
    <t>“MEJORAMIENTO Y AMPLIACIÓN DEL SERVICIO DE INFRAESTRUCTURA EDUCATIVA DE LA IESM MOISES MORENO ROMERO - CC. NN. HUAMPAMI, DISTRITO DE EL CENEPA, PROVINCIA DE CONDORCANQUI – REGIÓN AMAZONAS”</t>
  </si>
  <si>
    <t>EMP. GRECIA, DANIEL, IGNACIO INGENIERIA SAC, con RUC N° 20601991838, representado por su Gerente General el Sr. Ocmin Mori Mario Cesar, identificado con DNI N° 09857106</t>
  </si>
  <si>
    <t>“MEJORAMIENTO DEL SERVICIO DE INFRAESTRUCTURA EDUCATIVA DE LA IEP N° 17885 de la CC. NN. NUEVA ALIANZA, DISTRITO DE NIEVA, PROVINCIA DE CONDORCANQUI –  AMAZONAS”</t>
  </si>
  <si>
    <t>…………………………..</t>
  </si>
  <si>
    <t>Sr.  TORRES SANCARRANCO ORLANDO MARIO LUIS, identificado con DNI N° 46569630, RUC N° 10465696309 y CAP N° 19431</t>
  </si>
  <si>
    <t>“MEJORAMIENTO DEL SERVICIO DE INFRAESTRUCTURA EDUCATIVA DE LA IESM “OSCAR ALTAMIRANO QUISPE” DE LA CC. NN. SOLEDAD, DISTRITO DE RÍO SANTIAGO – PROVINCIA DE CONDORCANQUI –  AMAZONAS”</t>
  </si>
  <si>
    <t>EMP. INVERSIONES J &amp; J BECERRA EIRL, con RUC N° 20604245291,  representado por su Gerente General el Sr. Becerra García Junter Joel, identificado con DNI N° 42541311</t>
  </si>
  <si>
    <t>“MEJORAMIENTO DEL SERVICIO EDUCATIVO DE LA IESM DEL CP. CIRO ALEGRÍA, DISTRITO DE NIEVA, PROVINCIA DE CONDORCANQUI – REGIÓN AMAZONAS”</t>
  </si>
  <si>
    <t>EMP. CONSTRUCTORA CADHORVIC INGENIEROS EIRL, con RUC N° 20487731928, representado por su Gerente General el Sr. Cadenillas Horna Víctor Janer, identificado con DNI N° 42316307</t>
  </si>
  <si>
    <t>004-1429  REGIÓN AMAZONAS – Gerencia Sub Regional De Utcubamba</t>
  </si>
  <si>
    <t>1. CONSULTORIA DE OBRA SUPERVISION DE OBRA:"MEJORAMIENTO DEL SERVICIO DE EDUCACION SECUNDARIO EN LA INSTITUCION EDUCATIVA SAN MARTIN DE PORRAS, CP SAN MARTIN DE PORRAS, DISTRITO DE BAGUA GRANDE, PROVINCIA DE UTCUBAMBA - AMAZONAS</t>
  </si>
  <si>
    <t>CONSORCIO SUPERVISOR SAN MARTIN (RUC N° 20605922474)</t>
  </si>
  <si>
    <t>SUPERVISIÓN CONSULTORIA DE OBRA</t>
  </si>
  <si>
    <t>EDUCACIÓN</t>
  </si>
  <si>
    <t>2. CONSULTORIA DE OBRA SUPERVISION DE LA OBRA MEJORAMIENTO DE LOS SERVICIOS DE EDUCACION INICIAL EN LA INSTITUCION EDUCATIVA SANTIAGO APOSTOL, DISTRITO DE BAGUA GRANDE, PROVINCIA DE UTCUBAMBA - AMAZONAS</t>
  </si>
  <si>
    <t>CONSORCIO SUPERVISOR SANTIAGO APOSTOL (RUC N° 20605964436)</t>
  </si>
  <si>
    <t>60.124,61</t>
  </si>
  <si>
    <t>3. CONSULTORIA DE OBRA PARA ELABORACION DE EXPEDIENTE TECNICO DE LA OBRA: MEJORAMIENTO Y AMPLIACION DE LOS SERVICIOS DE EDUCACION PRIMARIA Y SECUNDARIA EN LA I.E. N° 17043 - EL SALAO, DISTRITO DE JAMALCA, PROVINCIA DE UTCUBAMBA, REGION AMAZONAS</t>
  </si>
  <si>
    <t>CONSULTORES ASOCIADOS AMAZONIA (RUC N° 20605450220)</t>
  </si>
  <si>
    <t>ELABORACIÓN DE EXPEDIENTE TÉCNICO</t>
  </si>
  <si>
    <t>4. CONSULTORIA DE OBRA PARA LA ELABORACION DE EXPEDIENTE TECNICO DE LA OBRA: MEJORAMIENTO Y AMPLIACION DEL SERVICIO EDUCATIVO EN LA I.E.S.M. JORGE BASADRE LONYA GRANDE - DISTRITO DE LONYA GRANDE - PROVINCIA DE UTCIUBAMBA - DEPARTAMENTO DE AMAZONAS CON CUI N° 2417252</t>
  </si>
  <si>
    <t>CONSORCIO JRV ( RUC N° 20606139111)</t>
  </si>
  <si>
    <t>5. CONSULTORÍA DE OBRA PARA LA ELABORACIÓN DE EXPEDIENTE TÉCNICO DEFINITIVO DEL PROYECTO MEJORAMIENTO DE LOS SERVICIOS EDUCATIVOS DEL NIVEL INICIAL Y PRIMARIO DE LA I.E N° 17787 EL PORVENIR DEL DISTRITO DE LONYA GRANDE - UTCUBAMBA - AMAZONAS CUI N° 2427375</t>
  </si>
  <si>
    <t>CONSORCIO S &amp; C CONSULTORES ( RUC N° 20606665297)</t>
  </si>
  <si>
    <t>6. SERVICIO DE CONSULTORIA DE OBRA PARA LA ELABORACION DEL EXPEDIENTE TÉCNICO DEFINITIVO DEL PROYECTO: MEJORAMIENTO DEL SERVICIO EDUCATIVO DEL NIVEL PRIMARIO DE LAS INSTITUCIONES EDUCATIVAS N° 17829 MORERILLA ALTA, N° 16581 MAÑUMAL, N° 16224 BUENA VISTA, N° 17058 LA PALMA CENTRAL, N° 17048 SAN JOSE DEL SISTRITO DE BAGUA GRANDE, PROVINCIA DE UTCUBAMBA, REGION AMAZONAS</t>
  </si>
  <si>
    <t>(PAZ OLIVERA GERARDO RUC N° 10166594991)</t>
  </si>
  <si>
    <t>7. CONSULTORIA DE OBRA PARA LA ELABORACION DEL EXPEDIENTE TECNICO DE LA OBRA: "MEJORAMIENTO Y AMPLIACION DEL SERVICIO DE EDUCAICON INICIAL, PRIMARIA Y SECUNDARIA EN LA I.E. ALEJANDRO CUSSIANOVICH VILLARAN DEL DISTRITO DE BAGUA GRANDE - PROVINCIA DE UTCUBAMBA - DEPARTAMENTO DE AMAZONAS" CUI N° 2453600</t>
  </si>
  <si>
    <t>8. SUPERVISION DE OBRA: MEJORAMIENTO DEL SERVICIO EDUCATIVO, ADQUISICION DE MOBILIARIO ESCOLAR Y EQUIPAMIENTO EN LAS I.E.P.M. N 16604, JOSE ANTONIO ENCINAS CISNEROS-EL RON, I.E.P.M. N 16961-SAN LORENZO, I.E.P.M. N 16666-EL CHALACO, DISTRITO DE CAJARURO, PROV. DE UTCUB R.A</t>
  </si>
  <si>
    <t>(CONSORCIO SUPERVISOR CAJARURO RUC N° 20604081174)</t>
  </si>
  <si>
    <t>9. SUPERVISION DE OBRA: CONSTRUCCION DE LA CARRETERA SANTA ELENA - LA LAGUNA - SAN MIGUEL - BAGUA GRANDE</t>
  </si>
  <si>
    <t>(CONSORCIO SUPERVISOR SAN MIGUEL RUC N° 20570706170)</t>
  </si>
  <si>
    <t>10. CONTRATACIÓN DEL SERVICIO DE CONSULTORÍA DE OBRA PARA LA ELABORACIÓN DEL EXPEDIENTE TÉCNICO DEL PROYECTO: MEJORAMIENTO Y AMPLIACIÓN DEL INSTITUTO DE EDUCACIÓN SUPERIOR TECNOLÓGICO PÚBLICO EN EL DISTRITO DE LONYA GRANDE - PROVINCIA DE UTCUBAMBA - DEPARTAMENTO DE AMAZONAS. CUI 2460971</t>
  </si>
  <si>
    <t>CONSULTORA Y CONSTRUCTORA JUANITA JRV S.A.C. (RUC N° 20604451648)</t>
  </si>
  <si>
    <t>11. CONTRATACIÓN DEL SERVICIO DE CONSULTORÍA DE OBRA PARA LA ELABORACIÓN DEL EXPEDIENTE TÉCNICO DEL PROYECTO: MEJORAMIENTO Y AMPLIACIÓN DE LOS SERVICIOS DE EDUCACIÓN INICIAL Y PRIMARIA EN LA I.E. 16668 C.P. YUNGASUYO DEL DISTRITO DE LONYA GRANDE - PROVINCIA DE UTCUBAMBA - DEPARTAMENTO DE AMAZONAS¿, CUI N° 2471683</t>
  </si>
  <si>
    <t>CONSORCIO CONSULTOR TERZAGHI II (RUC N° 20608018116)</t>
  </si>
  <si>
    <t>12. SUPERVISION DE OBRA: MEJORAMIENTO DEL SERVICIO DE AGUA DEL SISTEMA DE RIEGO DEL CANAL ROCALY, LATERALES LAS HUABAS Y PIURITA, DISTRITO DE CUMBA - UTCUBAMBA - AMAZONAS</t>
  </si>
  <si>
    <t>CONSORCIO SUPERVISOR MACODEL Y RBG (RUC N° 20570867696)</t>
  </si>
  <si>
    <t>RIEGO</t>
  </si>
  <si>
    <t>1 CONTRATAR LOS SERVICIOS ESPECIALIZADOS DE UN ESTUDIO DE ABOGADOS O DE UN PROFESIONAL EN DERECHO CON EXPERIENCIA EN ARBITRAJE DE LOS CONTRATOS DEL ESTADO, A FIN QUE PRESTE SERVICIO DE CONSULTORÍA A LA PROCURADURÍA PÚBLICA DEL GOBIERNO REGIONAL AMAZONAS, PARA LA DEFENSA DE SUS DERECHOS E INTERESES DURANTE EL CASO N 24702 JPA SEGUIDO POR LA CONSTRUCTORA VALKO S.A. ANTE LA CORTE INTERNACIONAL DE ARBITRAJE DE LA CÁMARA INTERNACIONAL DE COMERCIO</t>
  </si>
  <si>
    <t xml:space="preserve">CONTRATACION DIRECTA </t>
  </si>
  <si>
    <t>2 SUPERVISION DE LA OBRA: META: MEJORAMIENTO DE LA CARRETERA LAMUD QUIOCTA (S/ 339,775.31)</t>
  </si>
  <si>
    <t xml:space="preserve">CP </t>
  </si>
  <si>
    <t>3 SUPERVISION DE LA OBRA: MEJORAMIENTO DE LA CARRETERA CACLIC, LUYA , LAMUD, REGION AMAZONAS (S/ 1,773,557.27)</t>
  </si>
  <si>
    <t>4 SUPERVISION DE LA EJECUCION DE OBRA DEL PROYECTO: LOCAL DE FORTALECIMIENTO INSTITUCIONAL EN GESTION TURISTICA A GOBIERNO REGIONAL Y GOBIERNOS LOCALES DEL CORREDOR TURISTICO DEL ALTO UTCUBAMBA, SECTOR PEDRO RUIZ , TINGO, REGION AMAZONAS, CON CODIGO 2229317 PROYECTO FORTALECIMIENTO (S/ 404,878.37)</t>
  </si>
  <si>
    <t>5 SUPERVISION DE LA OBRA: MEJORAMIENTO DE LA CARRETERA CHACHAPOYAS, AEROPUERTO, REGION AMAZONAS (S/ 1,226,922.45)</t>
  </si>
  <si>
    <t>6. ELABORACIÓN DEL EXPEDIENTE TÉCNICO DEL COMPONENTE ACONDICIONAMIENTO TURÍSTICO DEL PROYECTO INSTALACION Y MEJORAMIENTO DE LOS SERVICIOS TURISTICOS DEL RECURSO TURISTICO DE LA CAVERNA DE QUIOCTA - DISTRITO DE LAMUD, PROVINCIA DE LUYA - REGION AMAZONAS CON CUI 2229648</t>
  </si>
  <si>
    <t>7. ELABORACIÓN DE PLAN ESPECIFICO DE LAS PAMPAS DE HIGOS URCO</t>
  </si>
  <si>
    <t>8. ELABORACIÓN DEL EXPEDIENTE TÉCNICO DEL PROYECTO  CONSTRUCCION Y EQUIPAMIENTO DEL CENTRO CULTURAL, DE LA CIUDAD DE CHACHAPOYAS, REGION AMAZONAS CON CUI 2234031</t>
  </si>
  <si>
    <t>9. ELABORACIÓN DEL EXPEDIENTE TÉCNICO DEL PROYECTO MEJORAMIENTO E INSTALACION DE LOS SERVICIOS TURISTICOS DE ACCESO A LA CATARATA DE YUMBILLA DEL DISTRITO DE BONGARA - REGION AMAZONAS CON CUI  2232072 (S/ 125,000)</t>
  </si>
  <si>
    <t>10. ELABORACIÓN DEL EXPEDIENTE TÉCNICO DE TAMBO COMUNITARIO (S/ 117, 522)</t>
  </si>
  <si>
    <t>11. ELABORACIÓN DEL EXPEDIENTE TÉCNICO DE INSTALACION DE SERVICIOS TURISTICOS DE OBSERVACION, DESCANSO Y ACCESO EN LA RUTA QHAPAC ÑAN MOLINO - TAMBO INCA, DISTRITOS DE CHACHAPOYAS Y LEVANTO, PROVINCIA DE CHACHAPOYAS, REGION AMAZONAS CON CUI 2229664 (S/260,847.41)</t>
  </si>
  <si>
    <t>12. ELABORACIÓN DEL EXPEDIENTE TÉCNICO DEL PROYECTO RECUPERACION DE LA IGLESIA DE LEVANTO, PIEZAS RELIGIOSAS, ENTORNO URBANO HISTORICO Y CONSTRUCCION DEL CENTRO CULTURAL DEL PUEBLO DE LEVANTO, DISTRITO DE LEVANTO, PROVINCIA DE CHACHAPOYAS, REGION AMAZONAS CON CUI 2234579 (S/216,836)</t>
  </si>
  <si>
    <t>13. ELABORACIÓN DEL EXPEDIENTE TÉCNICO DEL PROYECTO INSTALACION DE SERVICIOS TURISTICOS EN EL AMBITO DE LOS SITIOS ARQUEOLOGICOS SILIC Y EL IMPERIO, RUTA KUELAP, DISTRITO DE TINGO, PROVINCIA DE LUYA, REGION AMAZONAS CON CUI  2229665 (S/ 196, 537)</t>
  </si>
  <si>
    <t>13 CONTRATACION DE SERVICIOS DE UN PROFESIONAL PARA REALIZAR EL SEGUIMIENTO, MONITOREO, EVALUACION PARA EL CUMPLIMIENTO DE LOS FINES Y METAS TECNICAS, EN LAS ACTIVIDADES DE OPERACION Y MANTENIMIENTO PARA EL FUNCIONAMIENTO DE LOS RELLENOS SANITARIOS CONSTRUIDOS BAJO LA METODOLOGIA FUKUOKA (S/ 49,500)</t>
  </si>
  <si>
    <t>14 SERVICIO DE CONSULTORIA PARA LA ELABORACION DEL PLAN DE PROMOCION Y APOYO A LA COMERCIALIZACION EN EL CORREDOR TURISTICO VALLE DEL UTCUBAMBA 2023 2024, PARA LA EJECUCION DE LA ACTIVIDAD TRASVERSAL DEL PROGRAMA 78 - 2009 - SNIP (S/ 215,334.12)</t>
  </si>
  <si>
    <t>15 SERVICIO DE CONSULTORÍA PARA LA SUPERVISIÓN DE OBRA DEL PROYECTO “MEJORAMIENTO E INSTALACIÓN DE LOS SERVICIOS TURÍSTICOS DE ACCESO A LA CATARATA DE YUMBILLA DEL DISTRITO DE BONGARÁ - REGIÓN AMAZONAS”, CON CÓDIGO N°2232072. (S/ 709,368.01)</t>
  </si>
  <si>
    <t>16 SERVICIO DE CONSULTORÍA PARA LA SUPERVISIÓN DE OBRA DEL PROYECTO “INSTALACIÓN Y MEJORAMIENTO DE LOS SERVICIOS TURÍSTICOS DEL RECURSOS TURÍSTICO DE LA CAVERNA DE QUIOCTA-DISTRITO DE LÁMUD, PROVINCIA DE LUYA-REGIÓN AMAZONAS”, CON CÓDIGO N°2229648. (S/ 855,301.981)</t>
  </si>
  <si>
    <t>17 SERVICIO DE CONSULTORÍA PARA LA ELABORACIÓN DEL PLAN DE DESARROLLO TURÍSTICO LOCAL PARA LAS PROVINCIAS DE LUYA, CHACHAPOYAS Y BONGARÁ; DEL PROYECTO FORTALECIMIENTO, CON CÓDIGO N°2229317. (S/ 855,301.98)</t>
  </si>
  <si>
    <t>18 IMPLEMENTACIÓN DEL COMPONENTE N. º06 “CAPACITACIÓN A AUTORIDADES Y PERSONAL DE LAS OGDTUR’S” DEL PROYECTO FORTALECIMIENTO, CON CÓDIGO N°2229317. (S/300,000)</t>
  </si>
  <si>
    <t>19. REPARACION DE DEFECTOS DE LOS RELLENOS SANITARIOS DE MARISCAL CASTILLA, MAGDALENA Y LUYA DEL PROYECTO ''AMPLIACIÓN Y MEJORAMIENTO DE LA GESTIÓN INTEGRAL DE LOS RESIDUOS SÓLIDOS MUNICIPALES DE LAS MANCOMUNIDADES DE ALTO UTCUBAMBA, TILACANCHA Y CHILLAS DE LAS PROVINCIAS DE LUYA Y CHACHAPOYAS REGION AMAZONAS (S/ 434,431.84)</t>
  </si>
  <si>
    <t>ELABORACIÓN DE DIAGNÓSTICO DE PLAGAS PRIORIZADAS EN SANIDAD VEGETAL EN LAS 7 PROVINCIAS DE LA REGIÓN AMAZONAS.</t>
  </si>
  <si>
    <t>ROLANDO VALQUI VENTURA - 424431571</t>
  </si>
  <si>
    <t>INFORME DE DIAGNOSTICO DE PLAGAS PRIORIZADAS EN SANIDAD VEGETAL, EN LAS 7 PROVINCIAS DE LA REGION AMAZONAS</t>
  </si>
  <si>
    <t>SANIDAD VEGETAL</t>
  </si>
  <si>
    <t>PLAN DE TRABAJO PARA MITIGAR LAS PLAGAS PRIORIZADAS EN LA REGION AMAZONAS.</t>
  </si>
  <si>
    <t>FRANCISCO JAVIER CASTRO LOZANO - 428306703</t>
  </si>
  <si>
    <t xml:space="preserve"> INFORME DE PLAN DE TRABAJO PARA MITIGAR LAS PLAGAS PRIORIZADAS EN LA REGION AMAZONAS.</t>
  </si>
  <si>
    <t>Informan no tener consultorias.</t>
  </si>
  <si>
    <t>401 - 955  REGIÓN AMAZONAS – Salud Bagua</t>
  </si>
  <si>
    <t>SERVICIOS PRESTADOS COMO ASESOR LEGAL EXTERNO</t>
  </si>
  <si>
    <t>SERVICIOS PRESTADOS COMO ASESOR LEGAL EXTERNO EN EL HOSPITAL REGIONAL VIRGEN DE FATIMA CHACHAPOYAS</t>
  </si>
  <si>
    <t>ABOGADA</t>
  </si>
  <si>
    <t xml:space="preserve">POR EL SERVICIO DE CONTRATACION DE UN PROFESIONAL PARA BRINDAR ASESORIA </t>
  </si>
  <si>
    <t>--</t>
  </si>
  <si>
    <t>POR EL SERVICIO DE CONTRATACION DE UN PROFESIONAL PARA BRINDAR ASESORIA EN LA IMPLEMENTACION DE SISTEMA DE CONTROL INTERNO</t>
  </si>
  <si>
    <t>SERVICIO DE ELABORACION DEL EXPEDIENTE TECNICO</t>
  </si>
  <si>
    <t>PAGO POR EL SERVICIO DE ELABORACION DEL EXPEDIENTE TECNICO DE LA INFRAESTRUCTURA DEL DEPARTAMENTO DE FARMACIA Y ALMACENESPECIALIZADO DEL HRVFCH</t>
  </si>
  <si>
    <t>EMPRESA</t>
  </si>
  <si>
    <t>EXPEDIENTE TECNICO DE LA INFRAESTRUCTURA DELAMBIENTE TEMPORAL DE HOSPITALIZACION</t>
  </si>
  <si>
    <t>ELABORACION DE EXPEDIENTE TECNICO DE LA INFRAESTRUCTURA DELAMBIENTE TEMPORAL DE HOSPITALIZACION</t>
  </si>
  <si>
    <t>403 - 1101  REGIÓN AMAZONAS – Hospital De Apoyo Bagua</t>
  </si>
  <si>
    <t>1 SERVICIO DE CONSULTORIA PARA ELABORACION DEL DIAGNOSTICO INICIAL Y EL PLAN DE MANEJO DE RESIDUOS SOLIDOS HOSPITALARIOS DEL HOSPITAL DE APOYO BAGUA</t>
  </si>
  <si>
    <t>DOCUMENTO DE GESTION DENOMINADO DIAGNOSTICO INICIAL Y PLAN DE MANEJOS DE RESIDUOS SOLIDOS HOSPITALARIOS</t>
  </si>
  <si>
    <t>INGENIERO AGRONOMO</t>
  </si>
  <si>
    <t>440. GOBIERNO REGIONAL DEL DEPARTAMENTO DE AMAZONAS</t>
  </si>
  <si>
    <t>001. SEDE  AMAZONAS</t>
  </si>
  <si>
    <t>002. GERENCIA SUB REGIONAL BAGUA</t>
  </si>
  <si>
    <t>003. GERENCIA SUB REGIONAL CONDORCANQUI</t>
  </si>
  <si>
    <t>004. GERENCIA SUB REGIONAL DE UTCUBAMBA</t>
  </si>
  <si>
    <t>005. PROAMAZONAS</t>
  </si>
  <si>
    <t>100. AGRICULTURA AMAZONAS</t>
  </si>
  <si>
    <t>200. TRANSPORTES AMAZONAS</t>
  </si>
  <si>
    <t>300. EDUCACION AMAZONAS</t>
  </si>
  <si>
    <t>301. EDUCACION BAGUA</t>
  </si>
  <si>
    <t>302. EDUCACION CONDORCANQUI</t>
  </si>
  <si>
    <t>303. EDUCACION BAGUA CAPITAL</t>
  </si>
  <si>
    <t>400. SALUD AMAZONAS</t>
  </si>
  <si>
    <t>401. SALUD BAGUA</t>
  </si>
  <si>
    <t>402. HOSPITAL DE APOYO CHACHAPOYAS</t>
  </si>
  <si>
    <t>403. HOSPITAL DE APOYO BAGUA</t>
  </si>
  <si>
    <t>404. SALUD UTCUBAMBA</t>
  </si>
  <si>
    <t>405. SALUD CONDORCANQUI</t>
  </si>
  <si>
    <t>0001.PROGRAMA ARTICULADO NUTRICIONAL</t>
  </si>
  <si>
    <t>0002.SALUD MATERNO NEONATAL</t>
  </si>
  <si>
    <t>0016.TBC-VIH/SIDA</t>
  </si>
  <si>
    <t>0017.ENFERMEDADES METAXENICAS Y ZOONOSIS</t>
  </si>
  <si>
    <t>0018.ENFERMEDADES NO TRANSMISIBLES</t>
  </si>
  <si>
    <t>0024.PREVENCION Y CONTROL DEL CANCER</t>
  </si>
  <si>
    <t>0039.MEJORA DE LA SANIDAD ANIMAL</t>
  </si>
  <si>
    <t>0040.MEJORA Y MANTENIMIENTO DE LA SANIDAD VEGETAL</t>
  </si>
  <si>
    <t>0041.MEJORA DE LA INOCUIDAD AGROALIMENTARIA</t>
  </si>
  <si>
    <t>0042.APROVECHAMIENTO DE LOS RECURSOS HIDRICOS PARA USO AGRARIO</t>
  </si>
  <si>
    <t>0046.ACCESO Y USO DE LA ELECTRIFICACION RURAL</t>
  </si>
  <si>
    <t>0051.PREVENCION Y TRATAMIENTO DEL CONSUMO DE DROGAS</t>
  </si>
  <si>
    <t>0057.CONSERVACION DE LA DIVERSIDAD BIOLOGICA Y APROVECHAMIENTO SOSTENIBLE DE LOS RECURSOS NATURALES EN AREA NATURAL PROTEGIDA</t>
  </si>
  <si>
    <t>0066.FORMACION UNIVERSITARIA DE PREGRADO</t>
  </si>
  <si>
    <t>0068.REDUCCION DE VULNERABILIDAD Y ATENCION DE EMERGENCIAS POR DESASTRES</t>
  </si>
  <si>
    <t>0080.LUCHA CONTRA LA VIOLENCIA FAMILIAR</t>
  </si>
  <si>
    <t>0082.PROGRAMA NACIONAL DE SANEAMIENTO URBANO</t>
  </si>
  <si>
    <t>0083.PROGRAMA NACIONAL DE SANEAMIENTO RURAL</t>
  </si>
  <si>
    <t xml:space="preserve">0089.REDUCCION DE LA DEGRADACION DE LOS SUELOS AGRARIOS </t>
  </si>
  <si>
    <t>0090.LOGROS DE APRENDIZAJE DE ESTUDIANTES DE LA EDUCACION BASICA REGULAR</t>
  </si>
  <si>
    <t>0101.INCREMENTO DE LA PRACTICA DE ACTIVIDADES FISICAS, DEPORTIVAS Y RECREATIVAS EN LA POBLACION PERUANA</t>
  </si>
  <si>
    <t>0103.FORTALECIMIENTO DE LAS CONDICIONES LABORALES</t>
  </si>
  <si>
    <t>0104.REDUCCION DE LA MORTALIDAD POR EMERGENCIAS Y URGENCIAS MEDICAS</t>
  </si>
  <si>
    <t>0106.INCLUSION DE NIÑOS, NIÑAS Y JOVENES CON DISCAPACIDAD EN LA EDUCACION BASICA Y TECNICO PRODUCTIVA</t>
  </si>
  <si>
    <t>0107.MEJORA DE  LA FORMACION EN CARRERAS DOCENTES EN INSTITUTOS DE EDUCACION SUPERIOR NO UNIVERSITARIA</t>
  </si>
  <si>
    <t>0109.NUESTRAS CIUDADES</t>
  </si>
  <si>
    <t>0116.MEJORAMIENTO DE LA EMPLEABILIDAD E INSERCION LABORAL-PROEMPLEO</t>
  </si>
  <si>
    <t>0117. ATENCION OPORTUNA DE NIÑAS, NIÑOS Y ADOLESCENTES EN PRESUNTO ESTADO DE ABANDONO</t>
  </si>
  <si>
    <t>0121.MEJORA DE LA ARTICULACION DE PEQUEÑOS PRODUCTORES AL MERCADO</t>
  </si>
  <si>
    <t>0126.FORMALIZACION MINERA DE LA PEQUEÑA MINERIA Y MINERIA ARTESANAL</t>
  </si>
  <si>
    <t>0127.MEJORA DE LA COMPETITIVIDAD DE LOS DESTINOS TURISTICOS</t>
  </si>
  <si>
    <t>0129.PREVENCION Y MANEJO DE CONDICIONES SECUNDARIAS DE SALUD EN PERSONAS CON DISCAPACIDAD</t>
  </si>
  <si>
    <t>0130.COMPETITIVIDAD Y APROVECHAMIENTO SOSTENIBLE DE LOS RECURSOS FORESTALES Y DE LA FAUNA SILVESTRE</t>
  </si>
  <si>
    <t>0131.CONTROL Y PREVENCION EN SALUD MENTAL</t>
  </si>
  <si>
    <t>0138.REDUCCION DEL COSTO, TIEMPO E INSEGURIDAD EN EL SISTEMA DE TRANSPORTE</t>
  </si>
  <si>
    <t>0144.CONSERVACION Y USO SOSTENIBLE DE ECOSISTEMAS PARA LA PROVISION DE SERVICIOS ECOSISTEMICOS</t>
  </si>
  <si>
    <t>0146.ACCESO DE LAS FAMILIAS A VIVIENDA Y ENTORNO URBANO ADECUADO</t>
  </si>
  <si>
    <t>0147.FORTALECIMIENTO DE LA EDUCACION SUPERIOR TECNOLOGICA</t>
  </si>
  <si>
    <t>0150.INCREMENTO EN EL ACCESO DE LA POBLACION A LOS SERVICIOS EDUCATIVOS PUBLICOS DE LA EDUCACION BASICA</t>
  </si>
  <si>
    <t>1001. PRODUCTOS ESPECIFICOS PARA DESARROLLO INFANTIL TEMPRANO</t>
  </si>
  <si>
    <t>1002.PRODUCTOS ESPECIFICOS PARA REDUCCION DE LA VIOLENCIA CONTRA LA MUJER</t>
  </si>
  <si>
    <t>9001.ACCIONES CENTRALES</t>
  </si>
  <si>
    <t>9002.ASIGNACIONES PRESUPUESTARIAS QUE NO RESULTAN EN PRODUCTOS</t>
  </si>
  <si>
    <t>0001: PROGRAMA ARTICULADO NUTRICIONAL</t>
  </si>
  <si>
    <t>0002: SALUD MATERNO NEONATAL</t>
  </si>
  <si>
    <t>0016: TBC-VIH/SIDA</t>
  </si>
  <si>
    <t>0017: ENFERMEDADES METAXENICAS Y ZOONOSIS</t>
  </si>
  <si>
    <t>0018: ENFERMEDADES NO TRANSMISIBLES</t>
  </si>
  <si>
    <t>0024: PREVENCION Y CONTROL DEL CANCER</t>
  </si>
  <si>
    <t>0039: MEJORA DE LA SANIDAD ANIMAL</t>
  </si>
  <si>
    <t>0040: MEJORA Y MANTENIMIENTO DE LA SANIDAD VEGETAL</t>
  </si>
  <si>
    <t>0041: MEJORA DE LA INOCUIDAD AGROALIMENTARIA</t>
  </si>
  <si>
    <t>0042: APROVECHAMIENTO DE LOS RECURSOS HIDRICOS PARA USO AGRARIO</t>
  </si>
  <si>
    <t>0046: ACCESO Y USO DE LA ELECTRIFICACION RURAL</t>
  </si>
  <si>
    <t>0051: PREVENCION Y TRATAMIENTO DEL CONSUMO DE DROGAS</t>
  </si>
  <si>
    <t>0057: CONSERVACION DE LA DIVERSIDAD BIOLOGICA Y APROVECHAMIENTO SOSTENIBLE DE LOS RECURSOS NATURALES EN AREA NATURAL PROTEGIDA</t>
  </si>
  <si>
    <t>0066: FORMACION UNIVERSITARIA DE PREGRADO</t>
  </si>
  <si>
    <t>0068: REDUCCION DE VULNERABILIDAD Y ATENCION DE EMERGENCIAS POR DESASTRES</t>
  </si>
  <si>
    <t>0080: LUCHA CONTRA LA VIOLENCIA FAMILIAR</t>
  </si>
  <si>
    <t>0082: PROGRAMA NACIONAL DE SANEAMIENTO URBANO</t>
  </si>
  <si>
    <t>0083: PROGRAMA NACIONAL DE SANEAMIENTO RURAL</t>
  </si>
  <si>
    <t>0089: REDUCCION DE LA DEGRADACION DE LOS SUELOS AGRARIOS</t>
  </si>
  <si>
    <t>0090: LOGROS DE APRENDIZAJE DE ESTUDIANTES DE LA EDUCACION BASICA REGULAR</t>
  </si>
  <si>
    <t>0101: INCREMENTO DE LA PRACTICA DE ACTIVIDADES FISICAS, DEPORTIVAS Y RECREATIVAS EN LA POBLACION PERUANA</t>
  </si>
  <si>
    <t>0103: FORTALECIMIENTO DE LAS CONDICIONES LABORALES</t>
  </si>
  <si>
    <t>0104: REDUCCION DE LA MORTALIDAD POR EMERGENCIAS Y URGENCIAS MEDICAS</t>
  </si>
  <si>
    <t>0106: INCLUSION DE NIÑOS, NIÑAS Y JOVENES CON DISCAPACIDAD EN LA EDUCACION BASICA Y TECNICO PRODUCTIVA</t>
  </si>
  <si>
    <t>0107: MEJORA DE LA FORMACION EN CARRERAS DOCENTES EN INSTITUTOS DE EDUCACION SUPERIOR NO UNIVERSITARIA</t>
  </si>
  <si>
    <t>0109: NUESTRAS CIUDADES</t>
  </si>
  <si>
    <t>0116: MEJORAMIENTO DE LA EMPLEABILIDAD E INSERCION LABORAL-PROEMPLEO</t>
  </si>
  <si>
    <t>0121: MEJORA DE LA ARTICULACION DE PEQUEÑOS PRODUCTORES AL MERCADO</t>
  </si>
  <si>
    <t>0126: FORMALIZACION MINERA DE LA PEQUEÑA MINERIA Y MINERIA ARTESANAL</t>
  </si>
  <si>
    <t>0127: MEJORA DE LA COMPETITIVIDAD DE LOS DESTINOS TURISTICOS</t>
  </si>
  <si>
    <t>0129: PREVENCION Y MANEJO DE CONDICIONES SECUNDARIAS DE SALUD EN PERSONAS CON DISCAPACIDAD</t>
  </si>
  <si>
    <t>0130: COMPETITIVIDAD Y APROVECHAMIENTO SOSTENIBLE DE LOS RECURSOS FORESTALES Y DE LA FAUNA SILVESTRE</t>
  </si>
  <si>
    <t>0131: CONTROL Y PREVENCION EN SALUD MENTAL</t>
  </si>
  <si>
    <t>0138: REDUCCION DEL COSTO, TIEMPO E INSEGURIDAD EN EL SISTEMA DE TRANSPORTE</t>
  </si>
  <si>
    <t>0144: CONSERVACION Y USO SOSTENIBLE DE ECOSISTEMAS PARA LA PROVISION DE SERVICIOS ECOSISTEMICOS</t>
  </si>
  <si>
    <t>0146: ACCESO DE LAS FAMILIAS A VIVIENDA Y ENTORNO URBANO ADECUADO</t>
  </si>
  <si>
    <t>0147: FORTALECIMIENTO DE LA EDUCACION SUPERIOR TECNOLOGICA</t>
  </si>
  <si>
    <t>0150: INCREMENTO EN EL ACCESO DE LA POBLACION A LOS SERVICIOS EDUCATIVOS PUBLICOS DE LA EDUCACION BASICA</t>
  </si>
  <si>
    <t>1002: PRODUCTOS ESPECIFICOS PARA REDUCCION DE LA VIOLENCIA CONTRA LA MUJER</t>
  </si>
  <si>
    <t>9001: ACCIONES CENTRALES</t>
  </si>
  <si>
    <t>9002: ASIGNACIONES PRESUPUESTARIAS QUE NO RESULTAN EN PRODUCTOS</t>
  </si>
  <si>
    <t>EJECUCION TOTAL S/</t>
  </si>
  <si>
    <t>1. MEJORAMIENTO DEL ACCESO A SERVICIOS DE SALUD DE SEGUNDO NIVEL DE ATENCION EN EL AMBITO DE INFLUENCIA DEL HOSPITAL MARIA AUXILIADORA, PROVINCIA RODRIGUEZ DE MENDOZA - REGION AMAZONAS</t>
  </si>
  <si>
    <t>POR CONTRATA</t>
  </si>
  <si>
    <t>AS-SM-9-2020-GRA/CS-1</t>
  </si>
  <si>
    <t>CONSORCIO SAN NICOLAS - RUC1: 20602371442 , RUC2: 20480052090</t>
  </si>
  <si>
    <t>630 DIAS CALENDARIOS</t>
  </si>
  <si>
    <t>PENDIENTE</t>
  </si>
  <si>
    <t>2. MEJ.VIAS DEP. AM-106, TRAMO: EMP. PE-5N (BALZAPATA) - JUMBILLA - ASUNCION EMP.PE-8B (MOLINOPAMPA); AM-110: CHACHAPOYAS - LEVANTO; TRAMO: EMP.PE-8B (TINGO) AM-111: EMP.PE-8B (TINGO) - LONGUITA -MARIA - KUELAP, PROV. CHACHAPOYAS-BONGARA Y LUYA-AMAZONAS</t>
  </si>
  <si>
    <t>LP-SM-1-2020-GRA/CS-1</t>
  </si>
  <si>
    <t>CONSORCIO VIAL KUELAP - RUC1: 20602371442, RUC2:  20479683728, RUC3:  20480052090</t>
  </si>
  <si>
    <t>540 DIAS CALENDARIOS</t>
  </si>
  <si>
    <t>3.REHABILITACION DE CALZADA CON PAVIMENTO RIGIDO EN LA AV. MANUEL SEOANE DESDE LA INTERSECCION AV. HEROES DEL CENEPA HASTA EL CEMENTERIO SECTOR LA PRIMAVERA, EN EL DISTRITO DE BAGUA, PROVINCIA DE BAGUA - AMAZONAS</t>
  </si>
  <si>
    <t>AS-SM-2-2020-GRA/CS-1</t>
  </si>
  <si>
    <t>Consorcio Ingeniería San Carlos - RUC: 20270971891</t>
  </si>
  <si>
    <t>150 DIAS CALENDARIOS</t>
  </si>
  <si>
    <t>4. CONSTRUCCION DE POSTA MEDICA DEL ANEXO DE COMBOCA, DISTRITO DE SHIPASBAMBA - BONGARA - AMAZONAS</t>
  </si>
  <si>
    <t>AS-SM-29-2021-GRA/CS-1</t>
  </si>
  <si>
    <t>CONSORCIO COMBOCA - RUC: 20608390147</t>
  </si>
  <si>
    <t>75 DIAS CALENDARIOS</t>
  </si>
  <si>
    <t>NO</t>
  </si>
  <si>
    <t>5. REPARACION DE CARRETERAS DE ACCESO; EN EL(LA) VIA ATUEN - CHUQUIBAMBA EN LA LOCALIDAD CHUQUIBAMBA, DISTRITO DE CHUQUIBAMBA, PROVINCIA CHACHAPOYAS, DEPARTAMENTO AMAZONAS</t>
  </si>
  <si>
    <t>AS-SM-23-2020-GRA/CS-1</t>
  </si>
  <si>
    <t>CONSORCIO TRIUNFO</t>
  </si>
  <si>
    <t>30 DIAS CALENDARIOS</t>
  </si>
  <si>
    <t xml:space="preserve"> 02/01/2021</t>
  </si>
  <si>
    <t>NO CORRESPONDE</t>
  </si>
  <si>
    <t>6. RENOVACION DE MURO DE CONTENCION; EN EL(LA) IE 18059 - MARISCAL CASTILLA EN LA LOCALIDAD SHUEMBE, DISTRITO DE MARISCAL CASTILLA, PROVINCIA CHACHAPOYAS, DEPARTAMENTO AMAZONAS</t>
  </si>
  <si>
    <t>AS-SM-24-2020-GRA/CS-1</t>
  </si>
  <si>
    <t xml:space="preserve"> CONSORCIO VIRGEN ASUNTA - RUC: 20488057287</t>
  </si>
  <si>
    <t>60 DIAS CALENDARIOS</t>
  </si>
  <si>
    <t>7. RENOVACION DE MURO DE CONTENCION; EN EL(LA) IE 16594 - BAGUA GRANDE EN LA LOCALIDAD LA TABLA, DISTRITO DE BAGUA GRANDE, PROVINCIA UTCUBAMBA, DEPARTAMENTO AMAZONAS</t>
  </si>
  <si>
    <t>AS-SM-21-2020-GRA/CS-1</t>
  </si>
  <si>
    <t xml:space="preserve">CONSTRUCTORA TUSHPUNA EMPRESA INDIVIDUAL DE RESPONSABILIDAD LIMITADA - RUC: 20604434972 </t>
  </si>
  <si>
    <t>8. REPARACION DE CARRETERAS DE ACCESO; EN EL(LA) VIA VECINAL CRUCE CAÑAS - CHONZA LAGUNA EN LA LOCALIDAD CHONZA LAGUNA, DISTRITO DE COPALLIN, PROVINCIA BAGUA, DEPARTAMENTO AMAZONAS</t>
  </si>
  <si>
    <t>AS-SM-22-2020-GRA/CS-1</t>
  </si>
  <si>
    <t xml:space="preserve"> Consorcio System - RUC: 20605564314</t>
  </si>
  <si>
    <t>120 DIAS CALENDARIOS</t>
  </si>
  <si>
    <t>9. REHABILITACION Y MEJORAMIENTO DEL PUENTE PEATONAL COLGANTE SOBRE EL RIO UTCUBAMBA CHURUJA, DISTRITO DE CHURUJA - BONGARA - AMAZONAS</t>
  </si>
  <si>
    <t>AS-SM-35-2020-GRA/CS-2</t>
  </si>
  <si>
    <t>CONSULTORES Y EJECUTORES NIMAOS E.I.R.L. - RUC: 20539016629</t>
  </si>
  <si>
    <t>10. AMPLIACION Y MEJORAMIENTO DEL SISTEMA DE AGUA POTABLE E INSTALACION DEL SISTEMA DE BIODIGESTORES DE LA LOCALIDAD DE GOLAC, DISTRITO DE COLCAMAR - LUYA - AMAZONAS</t>
  </si>
  <si>
    <t>LP-SM-16-2019-GRA/CS-1</t>
  </si>
  <si>
    <t>B &amp; B INGENIEROS S.R.LTDA - RUC: 20270971891</t>
  </si>
  <si>
    <t>180 DIAS CALENDARIOS</t>
  </si>
  <si>
    <t>11. CONSTRUCCION DE COBERTURA; EN EL(LA) EESS HOSPITAL REGIONAL VIRGEN DE FATIMA - CHACHAPOYAS EN LA LOCALIDAD CHACHAPOYAS, DISTRITO DE CHACHAPOYAS, PROVINCIA CHACHAPOYAS, DEPARTAMENTO AMAZONAS</t>
  </si>
  <si>
    <t>AS-SM-29-2020-GRA/CS-1</t>
  </si>
  <si>
    <t xml:space="preserve"> E &amp; R2 CONTRATISTAS GENERALES S.A.C. - RUC: 20480836252 </t>
  </si>
  <si>
    <t>45 DIAS CALENDARIOS</t>
  </si>
  <si>
    <t>12. RENOVACION DE RED DE ALCANTARILLADO Y RED DE DISTRIBUCION; EN EL(LA) SISTEMA DE AGUA POTABLE Y ALCANTARILLADO EN LA AV. MANUEL SEOANE SECTOR PRIMAVERA DISTRITO DE BAGUA, PROVINCIA BAGUA, DEPARTAMENTO AMAZONAS</t>
  </si>
  <si>
    <t>AS-SM-42-2020-GRA/CS-1</t>
  </si>
  <si>
    <t>CONSORCIO CONSTRUCTORA &amp; CONSULTORA MARAÑÓN - RUC: 20606993651</t>
  </si>
  <si>
    <t>13. REPARACION DE RED DE DISTRIBUCION; EN EL(LA) SISTEMA DE AGUA POTABLE Y ALCANTARILLADO SANITARIO EN LAS VIAS DE ACCESO DEL ENTORNO DEL COLISEO EN LA LOCALIDAD PEDRO RUIZ GALLO, DISTRITO DE JAZAN, PROVINCIA BONGARA, DEPARTAMENTO AMAZONAS</t>
  </si>
  <si>
    <t>AS-SM-41-2020-GRA/C.S.-1</t>
  </si>
  <si>
    <t>CONSORCIO PEDRO RUIZ - RUC 20600504500</t>
  </si>
  <si>
    <t>14. MEJORAMIENTO DEL SERVICIO EDUCATIVO DEL NIVEL INICIAL EN LAS INSTITUCIONES EDUCATIVAS N 351 YAULICACHI DISTRITO DE OCUMAL, N 356 KUELAP DISTRITO DE TINGO PROVINCIA DE LUYA - REGION AMAZONAS</t>
  </si>
  <si>
    <t>AS-SM-25-2021-GRA/CS-1</t>
  </si>
  <si>
    <t>CONSORCIO LOS ALPES - RUC 20450326713</t>
  </si>
  <si>
    <t>15. MEJORAMIENTO DE LOS SERVICIOS DE EDUCACION PRIMARIA Y SECUNDARIA DE LA I.E. N 17074 PEDRO EMILIO PAULET MOSTAJO DE LA LOCALIDAD DE BAGUA GRANDE, DISTRITO DE BAGUA GRANDE, PROVINCIA DE UTCUBAMBA, REGION AMAZONAS</t>
  </si>
  <si>
    <t>LP-SM-3-2021-GRA/CS-1</t>
  </si>
  <si>
    <t xml:space="preserve"> CONSORCIO GP BAGUA - RUC: 20450326713</t>
  </si>
  <si>
    <t>16.  EJECUCION DE LA OBRA: PUESTA EN VALOR TURISTICO DE LA ZONA ARQUEOLOGICA DE CASUAL - DISTRITO LA PECA - PROVINCIA DE BAGUA - AMAZONAS</t>
  </si>
  <si>
    <t>AS. N° 03-2020-GRA/GSRB/CS-1</t>
  </si>
  <si>
    <t xml:space="preserve">CONSORCIO TURISTICO CASUAL RUC N° 20602126120 </t>
  </si>
  <si>
    <t>17.  EJECUCION DE LA OBRA: CREACION DEL SISTEMA DE AGUA POTABLE Y LETRINIZACION DE LA CC.NN DE KUSU CHAPI - DISTRITO DE IMAZA - PROVINCIA DE BAGUA - AMAZONAS</t>
  </si>
  <si>
    <t>LP. N° 01-2020-GRA/GSRB/CS-1</t>
  </si>
  <si>
    <t>CONSORCIO INGENIERIA AMAZONAS  RUC N° 20491304490</t>
  </si>
  <si>
    <t>300 DIAS CALENDARIOS</t>
  </si>
  <si>
    <t>18. CREACION DE LOS SERVICIOS TURISTICOS EN LA CATARATA NUMPARQUET - DISTRITO DE ARAMANGO - PROVINCIA DE BAGUA - REGION AMAZONAS</t>
  </si>
  <si>
    <t>LP. N° 02-2020-GRA/GSRB/CS-1</t>
  </si>
  <si>
    <t xml:space="preserve">CONSORCIO CONSTRUCTOR NOR ORIENTE  CON RUC N° 20494643121 </t>
  </si>
  <si>
    <t>19. EJECUCION DE OBRA: MEJORAMIENTO AMPLIACION DEL SERVICIO DE EDUCACION DE LA I.E. SAGRADO CORAZON DE JESUS - DISTRITO DE COPALLIN - PROVINCIA DE BAGUA -REGION AMAZONAS</t>
  </si>
  <si>
    <t>LP. N° 03-2020-GRA/GSRB/CS-1</t>
  </si>
  <si>
    <t>1, 601,326.35</t>
  </si>
  <si>
    <t>CONSTRUCTORA Y CONSULTORA AG Y G E.I.R.L. CON RUC N° 20600346025</t>
  </si>
  <si>
    <t xml:space="preserve">NO </t>
  </si>
  <si>
    <t>20. EJECUCION DE OBRA: MEJORAMIENTO DEL SERVICIO EDUCATIVO DE LA I.E N° 219 EL PARCO - DISTRITO DE EL PARCO - PROVINCIA DE BAGUA - REGION AMAZONAS</t>
  </si>
  <si>
    <t>LP. N° 04-2020-GRA/GSRB/CS-1</t>
  </si>
  <si>
    <t>CONSTRUCTORA MARAÑON S.A.C. CON RUC N° 20392307045</t>
  </si>
  <si>
    <t>21. CONTRATACIÓN PARA LA EJECUCIÓN DE LA IOARR DE LA  OBRA: “CONSTRUCCIÓN DE LA LOSA DEPORTIVA; EN EL (LA) LOCALIDAD NAJAIM PARAISO, DISTRITO DE NIEVA, PROVINCIA DE CONDORCANQUI – DEPARTAMENTO DE AMAZONAS”</t>
  </si>
  <si>
    <t>AS. N° 01-2020-GRA/CS-1</t>
  </si>
  <si>
    <t>06/11/2020</t>
  </si>
  <si>
    <t>DACAVE CONTRATISTAS GENERALES E.I.R.L  RUC N° 20487519384</t>
  </si>
  <si>
    <t>22. CONTRATACIÓN PARA LA EJECUCIÓN DE LA IOARR DE LA  OBRA:  “RENOVACIÓN DE  LOSA DEPORTIVA; EN EL (LA) AMBIENTE DEPORTIVO Y/O RECREATIVO EN LA LOCALIDAD DE NAPURUKA,  DISTRITO DE NIEVA, PROVINCIA DE CONDORCANQUI – DEPARTAMENTO DE AMAZONAS”.</t>
  </si>
  <si>
    <t>AS. N° 02-2020-GRA/CS-1</t>
  </si>
  <si>
    <t>DACAVE CONTRATISTAS GENERALES EIRL,  RUC N° 20487519384</t>
  </si>
  <si>
    <t>31 DIAS CALENDARIOS</t>
  </si>
  <si>
    <t>23. CONTRATACIÓN PARA LA EJECUCIÓN DE OBRA: "MEJORAMIENTO DEL SERVICIO DE EDUCACIÓN PRIMARIA EN LA INSTITUCIÓN EDUCATIVA N° 16375 YUTUPIS, DISTRITO DE RÍO SANTIAGO, PROVINCIA DE CONDORCANQUI - REGIÓN AMAZONAS"</t>
  </si>
  <si>
    <t>LICITACION PUBLICA</t>
  </si>
  <si>
    <t>L.P. N° 01-2020-GRA/CS-1</t>
  </si>
  <si>
    <t>CONSORCIO EJECUTOR A&amp;F, CONSORCIO EJECUTOR A&amp;F</t>
  </si>
  <si>
    <t>24. CONTRATACION PARA LA EJECUCION DE OBRA “MEJORAMIENTO DEL SERVICIO DE TRANSITABILIDAD ENTRE LAS COMUNIDADES DE NUEVA UNIDA Y KIGKIS, CENTRO POBLADO DE KIGKIS, DISTRITO DE NIEVA, PROVINCIA DE CONDORCANQUI – REGIÓN AMAZONAS”.</t>
  </si>
  <si>
    <t>L.P. N° 02-2020-GRA/CS-1</t>
  </si>
  <si>
    <t>CONSORCIO CONDORCANQUI DK</t>
  </si>
  <si>
    <t>90 DIAS CALENDARIOS</t>
  </si>
  <si>
    <t>25. MEJORAMIENTO DEL SERVICIO EDUCATIVO, ADQUISICION DE MOBILIARIO ESCOLAR Y EQUIPAMIENTO EN LAS I.E.P.M. N 16604, JOSE ANTONIO ENCINAS CISNEROS-EL RON, I.E.P.M. N 16961-SAN LORENZO, I.E.P.M. N 16666-EL CHALACO, DISTRITO DE CAJARURO, PROV. DE UTCUB R.A</t>
  </si>
  <si>
    <t>LP-SM-1-2021-GSRU/CS-1</t>
  </si>
  <si>
    <t>8,992,678.32</t>
  </si>
  <si>
    <t>20477530665-ODISEA PERUS S.A.C.</t>
  </si>
  <si>
    <t>258 DIAS CALENDARIOS</t>
  </si>
  <si>
    <t>26. CONSTRUCCION DE LA CARRETERA SANTA ELENA - LA LAGUNA - SAN MIGUEL - BAGUA GRANDE</t>
  </si>
  <si>
    <t>LP-SM-3-2021-GSRU/CS-1</t>
  </si>
  <si>
    <t>6,827,000.00</t>
  </si>
  <si>
    <t>20479683728-CONSORCIO VIAL LA LAGUNA</t>
  </si>
  <si>
    <t>266 DIAS CALENDARIOS</t>
  </si>
  <si>
    <t>27.  MEJORAMIENTO DEL SERVICIO DE AGUA DEL SISTEMA DE RIEGO DEL CANAL ROCALY, LATERALES LAS HUABAS Y PIURITA, DISTRITO DE CUMBA - UTCUBAMBA - AMAZONAS</t>
  </si>
  <si>
    <t>LP-SM-2-2021-GSRU/CS-1</t>
  </si>
  <si>
    <t>1,924,728.71</t>
  </si>
  <si>
    <t>20602263526-CONSORCIO ROCALY</t>
  </si>
  <si>
    <t>169 DIAS CALENDARIOS</t>
  </si>
  <si>
    <t>28. MEJORAMIENTO DE LA LOSA DEPORTIVA DE RECREACION DE MULTIUSOS SECTOR SAN LUIS DE LA CIUDAD DE BAGUA GRANDE, PROVINCIA DE UTCUBAMBA - AMAZONAS</t>
  </si>
  <si>
    <t>AS-SM-1-2021-GSRU/CS-1</t>
  </si>
  <si>
    <t>337,620.22</t>
  </si>
  <si>
    <t>20437353221-CONSORCIO EJECUTOR SAN LUIS</t>
  </si>
  <si>
    <t>106 DIAS CALENDARIOS</t>
  </si>
  <si>
    <t>09/06/2021</t>
  </si>
  <si>
    <t>EN EJECUCION</t>
  </si>
  <si>
    <t>29, MEJORAMIENTO E INSTALACION DEL SISTEMA DE AGUA POTABLE, ALCANTARILLADO Y LETRINIZACION DEL CENTRO POBLADO DE COLLICATE Y CASERIOS,DISTRITO DE BAGUA GRANDE, PROVINCIA DE UTCUBAMBA - AMAZONAS</t>
  </si>
  <si>
    <t>LP-SM-6-2019-GSRU/CS-1</t>
  </si>
  <si>
    <t xml:space="preserve">31/01/2020	</t>
  </si>
  <si>
    <t>CONSORCIO - CONSORCIO SANEAMIENTO UTCUBAMBA</t>
  </si>
  <si>
    <t>240 DIAS CALENDARIOS</t>
  </si>
  <si>
    <t>199 DIAS CALENDARIOS</t>
  </si>
  <si>
    <t>NO PROGRAMADO</t>
  </si>
  <si>
    <t>30. MEJORAMIENTO DEL SERVICIO EDUCATIVO SECUNDARIO EN LA INSTITUCION EDUCATIVA SAN MARTIN DE PORRAS, CP. SAN MARTIN DE PORRAS, DISTRITO BAGUA GRANDE, PROVINCIA DE UTCUBAMBA, AMAZONAS</t>
  </si>
  <si>
    <t xml:space="preserve">ADJUDICACIÓN SIMPLIFICADA </t>
  </si>
  <si>
    <t xml:space="preserve">AS-SM-9-2020-GSRU/CS-1	</t>
  </si>
  <si>
    <t xml:space="preserve"> 10/09/2020</t>
  </si>
  <si>
    <t>20602263526-CONSORCIO EDUCATIVO JIREH</t>
  </si>
  <si>
    <t>31. MEJORAMIENTO DE LOS SERVICIOS DE EDUCACION INICIAL EN LA INSTITUCION EDUCATIVA SANTIAGO APOSTOL, DISTRITO DE BAGUA GRANDE, PROVINCIA DE UTCUBAMBA - AMAZONAS</t>
  </si>
  <si>
    <t xml:space="preserve">AS-SM-10-2020-GSRU/CS-1	</t>
  </si>
  <si>
    <t xml:space="preserve"> 20477366172-CONSORCIO LENUS &amp; YURACK</t>
  </si>
  <si>
    <t>160 DIAS CALENDARIOS</t>
  </si>
  <si>
    <t xml:space="preserve">32. EJECUCION DEL SALDO DE OBRA “MEJORAMIENTO DE LA CARRETERA CÁCLIC - LUYA - LÁMUD, REGIÓN AMAZONAS”. </t>
  </si>
  <si>
    <t>LP-SM-1-2019-PROAMAZONAS/CS-1</t>
  </si>
  <si>
    <t>CONSORCIO VIAL VILAYA RUC. 20605698884</t>
  </si>
  <si>
    <t xml:space="preserve">122 DIAS CALENDARIOS DE AMPLIACION </t>
  </si>
  <si>
    <t xml:space="preserve">33. EJECUCION DE LA SUPERVISION DEL PROYECTO MEJORAMIENTO DE LA CARRETERA CÁCLIC-- LUYA- LAMUD, REGIÓN AMAZONAS. </t>
  </si>
  <si>
    <t>CP Nº 002-2020-PROAMAZONAS/CS</t>
  </si>
  <si>
    <t>CONSORCIO SUPERVISOR CÁCLIC RUC: 206064993194</t>
  </si>
  <si>
    <t>28 DIAS CALENDARIOS DE AMPLIACION</t>
  </si>
  <si>
    <t>34. EJECUCION DEL PROYECTO: “MEJORAMIENTO DE LA CARRETERA CHACHAPOYAS – AEROPUERTO, REGIÓN AMAZONAS”.</t>
  </si>
  <si>
    <t>LP-SM-3-2019-PROAMAZONAS/CS-1</t>
  </si>
  <si>
    <t>08/02/2020</t>
  </si>
  <si>
    <t>CONSORCIO AHXI RUC N| 20605680381</t>
  </si>
  <si>
    <t>210 DIAS CALENDARIOS</t>
  </si>
  <si>
    <t>05/09/2020</t>
  </si>
  <si>
    <t>296 DIAS CALENDARIOS</t>
  </si>
  <si>
    <t>35. EJECUCION DE LA SUPERVISION DEL PROYECTO: “MEJORAMIENTO DE LA CARRETERA CHACHAPOYAS – AEROPUERTO, REGIÓN AMAZONAS”.</t>
  </si>
  <si>
    <t>CP Nº 001-2020-PROAMAZONAS/CS-1</t>
  </si>
  <si>
    <t>01/10/2020</t>
  </si>
  <si>
    <t>CONSORCIO SUPERVISOR AMAZONAS 
RUC: 20606318945</t>
  </si>
  <si>
    <t>36. EJECUCION DEL PROYECTO: “INSTALACIÓN Y MEJORAMIENTO DE LOS SERVICIOS TURÍSTICOS DEL RECURSO TURÍSTICO DE LA CAVERNA DE QUIOCTA – DISTRITO DE LAMUD, PROVINCIA DE LUYA, REGIÓN AMAZONAS”.</t>
  </si>
  <si>
    <t>ADJUDICACION SIMPLIFICADA N°2-2020-PROAMAZONAS/CS</t>
  </si>
  <si>
    <t>CONSORCIO IBE PLAZA RUC Nº 20607246026</t>
  </si>
  <si>
    <t>105 DIAS CALENDARIOS</t>
  </si>
  <si>
    <t>25 DIAS DE AMPLIACION</t>
  </si>
  <si>
    <t>37. EJECUCION DE LA SUPERVISION DEL PROYECTO: “INSTALACIÓN Y MEJORAMIENTO DE LOS SERVICIOS TURÍSTICOS DEL RECURSO TURÍSTICO DE LA CAVERNA DE QUIOCTA – DISTRITO DE LAMUD, PROVINCIA DE LUYA, REGIÓN AMAZONAS”.</t>
  </si>
  <si>
    <t>CONCURSO PÚBLICO Nº03-2020
G.R.PROAMAZONAS/CS</t>
  </si>
  <si>
    <t xml:space="preserve">CONSORCIO VIA INGENIEROS SAC
RUC: 20606832118
</t>
  </si>
  <si>
    <t>38. EJECUCION DEL PROYECTO: "FORTALECIMIENTO INSTITUCIONAL EN GESTIÓN TURÍSTICA AL GOBIERNO REGIONAL Y GOBIERNOS LOCALES DEL CORREDOR TURÍSTICO DEL ALTO UTCUBAMBA, SECTOR PEDRO RUIZ-TINGO-REGIÓN AMAZONAS".</t>
  </si>
  <si>
    <t>LP-SM-2-2019-PROAMAZONAS/CS-1</t>
  </si>
  <si>
    <t>CONSORCIO AHXI RUC N° 20605680381</t>
  </si>
  <si>
    <t>43 DIAS DE AMPLIACION</t>
  </si>
  <si>
    <t>39. EJECUCION DE LA SUPERVISION DEL PROYECTO: "FORTALECIMIENTO INSTITUCIONAL EN GESTIÓN TURÍSTICA AL GOBIERNO REGIONAL Y GOBIERNOS LOCALES DEL CORREDOR TURÍSTICO DEL ALTO UTCUBAMBA, SECTOR PEDRO RUIZ-TINGO-REGIÓN AMAZONAS".</t>
  </si>
  <si>
    <t>AS Nº 001-2020-PROAMAZONAS/CS-1</t>
  </si>
  <si>
    <t xml:space="preserve">FREDY AURELIO CERVANTES ORDOÑEZ
RUC:10102765287
</t>
  </si>
  <si>
    <t>181 DIAS CALENDARIOS</t>
  </si>
  <si>
    <t>29 DIAS DE AMPLIACION</t>
  </si>
  <si>
    <t>40. CONSTRUCCION DE AMBIENTE DE USOS MULTIPLES; ADQUISICION DE MONITOR DE FUNCIONES VITALES, BANCO DE MEDIDORES Y RED DE DISTRIBUCION; ADEMAS DE OTROS ACTIVOS EN EL(LA) EESS HOSPITAL REGIONAL VIRGEN DE FATIMA - CHACHAPOYAS EN LA LOCALIDAD CHACHAPOYAS, DISTRITO DE CHACHAPOYAS, PROVINCIA CHACHAPOYAS, DEPARTAMENTO AMAZONAS</t>
  </si>
  <si>
    <t xml:space="preserve"> “C.V. CONSTRUCCIONES GENERALES S.A.C." RUC: 20503729521</t>
  </si>
  <si>
    <t>06/06/2020</t>
  </si>
  <si>
    <t>41. CONSTRUCCION DE AMBIENTE DE SERVICIOS GENERALES; ADQUISICION DE BOMBA DE INFUSION, MONITOR DE GASTOCARDIACO Y COCHE DE PARO EQUIPADO; ADEMAS DE OTROS ACTIVOS EN EL(LA) EESS HOSPITAL DE APOYO GUSTAVO LANATTA LUJAN - BAGUA EN LA LOCALIDAD BAGUA, DISTRITO DE BAGUA, PROVINCIA BAGUA, DEPARTAMENTO AMAZONAS</t>
  </si>
  <si>
    <t xml:space="preserve"> “CONSORCIO AMAZONAS II" RUC: "20606133937</t>
  </si>
  <si>
    <t>06/08/2020</t>
  </si>
  <si>
    <t>33 DIAS CALENDARIOS</t>
  </si>
  <si>
    <t>42. ADQUISICION DE VENTILADOR DE TRANSPORTE, VENTILADOR MECANICO, COCHE DE PARO EQUIPADO Y ELECTROCARDIOGRAFO; ADEMAS DE OTROS ACTIVOS EN EL(LA) EESS HOSPITAL DE APOYO I SANTIAGO APOSTOL DE UTCUBAMBA - BAGUA GRANDE EN LA LOCALIDAD BAGUA GRANDE, DISTRITO DE BAGUA GRANDE, PROVINCIA UTCUBAMBA, DEPARTAMENTO AMAZONAS</t>
  </si>
  <si>
    <t>"CORPORACION CHEMICALS S.A.C." RUC: 20601595436</t>
  </si>
  <si>
    <t>15 DIAS CALENDARIOS</t>
  </si>
  <si>
    <t>43. ADQUISICION DE VENTILADOR DE TRANSPORTE, VENTILADOR MECANICO, COCHE DE PARO EQUIPADO Y ELECTROCARDIOGRAFO; ADEMAS DE OTROS ACTIVOS EN EL(LA) 005145 - SANTA MARIA DE NIEVA EN LA LOCALIDAD SANTA MARIA DE NIEVA, DISTRITO DE NIEVA, PROVINCIA CONDORCANQUI, DEPARTAMENTO AMAZONAS</t>
  </si>
  <si>
    <t>"J &amp; G INVERSIONES PERU S.A.C." RUC: 20601586470</t>
  </si>
  <si>
    <t>01/12/2020</t>
  </si>
  <si>
    <t>44. ADQUISICION DE GENERADOR DE OXIGENO MEDICINAL; EN EL(LA) EESS HOSPITAL REGIONAL VIRGEN DE FATIMA - CHACHAPOYAS DISTRITO DE CHACHAPOYAS, PROVINCIA CHACHAPOYAS, DEPARTAMENTO AMAZONAS</t>
  </si>
  <si>
    <t>"PENTA GAS S.A.C." RUC: 20122143750</t>
  </si>
  <si>
    <t>59 DIAS CALENDARIOS</t>
  </si>
  <si>
    <t>45. ADQUISICION DE GENERADOR DE OXIGENO MEDICINAL; EN EL(LA) EESS SANTA MARIA DE NIEVA - NIEVA EN LA LOCALIDAD SANTA MARIA DE NIEVA, DISTRITO DE NIEVA, PROVINCIA CONDORCANQUI, DEPARTAMENTO AMAZONAS</t>
  </si>
  <si>
    <t>"FIRST COLD SYSTEM S.A.C." RUC: 20505876653</t>
  </si>
  <si>
    <t>06/10/2020</t>
  </si>
  <si>
    <t>46. ADQUISICION DE GENERADOR DE OXIGENO MEDICINAL; EN EL(LA) EESS HOSPITAL DE APOYO GUSTAVO LANATTA LUJAN - BAGUA EN LA LOCALIDAD BAGUA, DISTRITO DE BAGUA, PROVINCIA BAGUA, DEPARTAMENTO AMAZONAS</t>
  </si>
  <si>
    <t>01/08/2020</t>
  </si>
  <si>
    <t>47. ADQUISICION DE GENERADOR DE OXIGENO MEDICINAL; EN EL(LA) EESS HOSPITAL DE APOYO I SANTIAGO APOSTOL DE UTCUBAMBA - BAGUA GRANDE EN LA LOCALIDAD BAGUA GRANDE, DISTRITO DE BAGUA GRANDE, PROVINCIA UTCUBAMBA, DEPARTAMENTO AMAZONAS</t>
  </si>
  <si>
    <t>05/10/2020</t>
  </si>
  <si>
    <t>48. CONSTRUCCION DE LABORATORIO ESPECIFICO Y/O ESPECIALIDAD; ADQUISICION DE EXTRACTOR AUTOMATIZADO DE ACIDOS NUCLEICOS, TERMOCICLADOR Y CONGELADORA; ADEMAS DE OTROS ACTIVOS EN EL(LA) 0014153 ACTIVOS EN EL(LA) 0014153 LABORATORIO REFERENCIAL REGIONAL DE SALUD PUBLICA AMAZONAS EN LA LOCALIDAD CHACHAPOYAS, DISTRITO DE CHACHAPOYAS, PROVINCIA CHACHAPOYAS, DEPARTAMENTO AMAZONAS</t>
  </si>
  <si>
    <t>"CONSTRUCCIONES D&amp;S SERVICIOS GENERALES E.I.R.L." RUC: 20600064666</t>
  </si>
  <si>
    <t>06/08/2021</t>
  </si>
  <si>
    <t>02 DIAS</t>
  </si>
  <si>
    <t>10/08/2021</t>
  </si>
  <si>
    <t>49. ADQUISICION DE ESTERILIZADOR CON GENERADOR ELECTRICO DE VAPOR Y EQUIPO DE CIRUGIA LAPAROSCOPICA; EN EL(LA) EESS HOSPITAL REGIONAL VIRGEN DE FATIMA - CHACHAPOYAS EN LA LOCALIDAD CHACHAPOYAS, DISTRITO DE CHACHAPOYAS, PROVINCIA CHACHAPOYAS, DEPARTAMENTO AMAZONAS</t>
  </si>
  <si>
    <t>0013-2020</t>
  </si>
  <si>
    <t>COMERCIALIZADORA Y SERVICIOS HAMBERT E.I.R.L.</t>
  </si>
  <si>
    <t>50. ADQUISICION DE VENTILADOR MECANICO, BOMBA DE INFUSION, ANALIZADOR DE GASES Y ELECTROLITOS Y MONITOR DE FUNCIONES VITALES; ADEMAS DE OTROS ACTIVOS EN EL(LA) EESS HOSPITAL DE APOYO GUSTAVO LANATTA LUJAN - BAGUA EN LA LOCALIDAD BAGUA, DISTRITO DE BAGUA, PROVINCIA BAGUA, DEPARTAMENTO AMAZONAS</t>
  </si>
  <si>
    <t>0002-2021</t>
  </si>
  <si>
    <t>FERTA MEDICA S.A.C. RUC: 20601895103</t>
  </si>
  <si>
    <t>25 DIAS CALENDARIOS</t>
  </si>
  <si>
    <t>03/06/2021</t>
  </si>
  <si>
    <t>52. ADQUISICION DE VENTILADOR MECANICO, MONITOR DE FUNCIONES VITALES, CAMA CAMILLA MULTIPROPOSITO TIPO UCI Y ASPIRADOR DE SECRECIONES; ADEMAS DE OTROS ACTIVOS EN EL(LA) EESS HOSPITAL REGIONAL VIRGEN DE FATIMA - CHACHAPOYAS DISTRITO DE CHACHAPOYAS, PROVINCIA CHACHAPOYAS, DEPARTAMENTO AMAZONAS</t>
  </si>
  <si>
    <t>J &amp; G INVERSIONES PERU S.A.C.  RUC: 20601586470</t>
  </si>
  <si>
    <t>11/11/2021</t>
  </si>
  <si>
    <t>53. REMODELACION DE UNIDAD DE VIGILANCIA INTENSIVA; ADQUISICION DE CAMA CLINICA RODABLE, MONITOR DE FUNCIONES VITALES Y ASPIRADOR DE SECRECIONES; ADEMAS DE OTROS ACTIVOS EN EL(LA) EESS MARIA AUXILIADORA - SAN NICOLAS EN LA LOCALIDAD MENDOZA, DISTRITO DE SAN NICOLAS, PROVINCIA RODRIGUEZ DE MENDOZA, DEPARTAMENTO AMAZONAS</t>
  </si>
  <si>
    <t xml:space="preserve">
OPEN MEDIC S.A.C. RUC: 20524232104</t>
  </si>
  <si>
    <t>46 DIAS CALENDARIOS</t>
  </si>
  <si>
    <t>54. ADQUISICION DE VENTILADOR MECANICO, MONITOR DE FUNCIONES VITALES, BOMBA DE INFUSION Y DESFIBRILADOR; ADEMAS DE OTROS ACTIVOS EN EL(LA) EESS SANTA MARIA DE NIEVA - NIEVA EN LA LOCALIDAD SANTA MARIA DE NIEVA, DISTRITO DE NIEVA, PROVINCIA CONDORCANQUI, DEPARTAMENTO AMAZONAS</t>
  </si>
  <si>
    <t>47 DIAS CALENDARIOS</t>
  </si>
  <si>
    <t>001 - 721</t>
  </si>
  <si>
    <t>BANCO DE LA NACIÓN</t>
  </si>
  <si>
    <t>0261-015862</t>
  </si>
  <si>
    <t>SOLES</t>
  </si>
  <si>
    <t>0261-011824</t>
  </si>
  <si>
    <t>0261-014661</t>
  </si>
  <si>
    <t>TOTAL UNIDAD EJECUTORA 001 - 721 SEDE CENTRAL</t>
  </si>
  <si>
    <t>002 - 953</t>
  </si>
  <si>
    <t>0292-012144</t>
  </si>
  <si>
    <t>06/12/2005</t>
  </si>
  <si>
    <t>0292-015814</t>
  </si>
  <si>
    <t>05/10/2001</t>
  </si>
  <si>
    <t>0292-007884</t>
  </si>
  <si>
    <t>19/01/2004</t>
  </si>
  <si>
    <t>0292-008783</t>
  </si>
  <si>
    <t>04/10/2004</t>
  </si>
  <si>
    <t>0292-009453</t>
  </si>
  <si>
    <t>15/03/2005</t>
  </si>
  <si>
    <t>0292-013736</t>
  </si>
  <si>
    <t>15/12/2006</t>
  </si>
  <si>
    <t>0292-019084</t>
  </si>
  <si>
    <t>01/09/2010</t>
  </si>
  <si>
    <t>0292-015941</t>
  </si>
  <si>
    <t>01/07/2008</t>
  </si>
  <si>
    <t>TOTAL UNIDAD EJECUTORA 002 - 953 GERENCIA SUB REGIONAL BAGUA</t>
  </si>
  <si>
    <t>003 - 1023</t>
  </si>
  <si>
    <t>0292-012152</t>
  </si>
  <si>
    <t>2005</t>
  </si>
  <si>
    <t>0292-005830</t>
  </si>
  <si>
    <t>BANCO DE LA NACIÓN/TESORO PÚBLICO</t>
  </si>
  <si>
    <t>2018</t>
  </si>
  <si>
    <t>00292-020538</t>
  </si>
  <si>
    <t>2011</t>
  </si>
  <si>
    <t>0292-016107</t>
  </si>
  <si>
    <t>2008</t>
  </si>
  <si>
    <t>2021</t>
  </si>
  <si>
    <t>TOTAL UNIDAD EJECUTORA 003 -1023 GERENCIA SUB REGIONAL CONDORCANQUI</t>
  </si>
  <si>
    <t>004 - 1429</t>
  </si>
  <si>
    <t xml:space="preserve"> - Recursos Ordinarios</t>
  </si>
  <si>
    <t>00293-006776</t>
  </si>
  <si>
    <t>09/03/2012</t>
  </si>
  <si>
    <t xml:space="preserve"> - Fondo para la continuidad de inversiones (RO)</t>
  </si>
  <si>
    <t xml:space="preserve"> - Incentivos presupuestarios para inversiones </t>
  </si>
  <si>
    <t>00293-006830</t>
  </si>
  <si>
    <t>12/04/2012</t>
  </si>
  <si>
    <t xml:space="preserve"> OFICIALES DE CRED. EXTERNO</t>
  </si>
  <si>
    <t xml:space="preserve"> - DU. 051-2020-Medidas Extraordinarias y Temporales - COVID -19-ROOC</t>
  </si>
  <si>
    <t xml:space="preserve"> - Incentivos Presupuestales para Inversiones - ROOC</t>
  </si>
  <si>
    <t xml:space="preserve"> - Endeudamiento Bonos</t>
  </si>
  <si>
    <t xml:space="preserve">            - Foncor Ley 31069</t>
  </si>
  <si>
    <t>TOTAL UNIDAD EJECUTORA 004 - 1429 GERENCIA SUB REGIONAL DE UTCUBAMBA</t>
  </si>
  <si>
    <t>005 - 1518</t>
  </si>
  <si>
    <t>0261-024926</t>
  </si>
  <si>
    <t>0261-032090</t>
  </si>
  <si>
    <t>0261-031531</t>
  </si>
  <si>
    <t xml:space="preserve">       OFICIALES DE CRED. INTERNO</t>
  </si>
  <si>
    <t>TOTAL UNIDAD EJECUTORA 005 - 1518 PROAMAZONAS</t>
  </si>
  <si>
    <t>100 - 722</t>
  </si>
  <si>
    <t>0261-015897</t>
  </si>
  <si>
    <t>0261-011832</t>
  </si>
  <si>
    <t>TOTAL UNIDAD EJECUTORA 100 - 722 AGRICULTURA</t>
  </si>
  <si>
    <t>200 - 723</t>
  </si>
  <si>
    <t>0261-010410</t>
  </si>
  <si>
    <t>0261-015900</t>
  </si>
  <si>
    <t>2013</t>
  </si>
  <si>
    <t xml:space="preserve">    - DONACIONES</t>
  </si>
  <si>
    <t xml:space="preserve">    - TRANSFERENCIAS</t>
  </si>
  <si>
    <t>2017</t>
  </si>
  <si>
    <t>0261-05900</t>
  </si>
  <si>
    <t>2014</t>
  </si>
  <si>
    <t>TOTAL UNIDAD EJECUTORA 200 - 723 TRANSPORTES</t>
  </si>
  <si>
    <t>300 - 724</t>
  </si>
  <si>
    <t>0261-014793</t>
  </si>
  <si>
    <t>0261-011859</t>
  </si>
  <si>
    <t xml:space="preserve">       -SUB CUENTA D.U 051-2020/COVID 19</t>
  </si>
  <si>
    <t xml:space="preserve">       - SUB CUENTA ENDEUDAMIENTO-BONOS</t>
  </si>
  <si>
    <t>0261-013312</t>
  </si>
  <si>
    <t>5. RECURSOS DETERMINADOS CUT</t>
  </si>
  <si>
    <t xml:space="preserve">    - OTROS (FED)</t>
  </si>
  <si>
    <t>6. RECURSOS DIRECTAM. RECAUD.CUT</t>
  </si>
  <si>
    <t>7. DONACIONES Y TRANSFERENCIAS CUT</t>
  </si>
  <si>
    <t>TOTAL UNIDAD EJECUTORA 300 - 724 EDUCACIÓN AMAZONAS</t>
  </si>
  <si>
    <t>301 - 954</t>
  </si>
  <si>
    <t>00293-003068</t>
  </si>
  <si>
    <t>00293-001537</t>
  </si>
  <si>
    <t>-</t>
  </si>
  <si>
    <t>TOTAL UNIDAD EJECUTORA 301 - 954 EDUCACIÓN BAGUA</t>
  </si>
  <si>
    <t>302 - 1220</t>
  </si>
  <si>
    <t>0298-000814</t>
  </si>
  <si>
    <t>18/01/2006</t>
  </si>
  <si>
    <t>0298-000806</t>
  </si>
  <si>
    <t xml:space="preserve">    - OTROS (EJEC. CARTAS FINANZAS POR GARANTIAS)</t>
  </si>
  <si>
    <t>0298-004550</t>
  </si>
  <si>
    <t>30/01/2018</t>
  </si>
  <si>
    <t>TOTAL UNIDAD EJECUTORA 302 - 1220 EDUCACIÓN CONDORCANQUI</t>
  </si>
  <si>
    <t>303 -1 349</t>
  </si>
  <si>
    <t>00292-017855</t>
  </si>
  <si>
    <t>2010</t>
  </si>
  <si>
    <t>00292-017898</t>
  </si>
  <si>
    <t>3.1. Recursos Directamente Recaudados - CUT</t>
  </si>
  <si>
    <t>3.2. Recursos operac. Ofic. De cred. Int. - CUT</t>
  </si>
  <si>
    <t>2020</t>
  </si>
  <si>
    <t>3.2. Donaciones - CUT</t>
  </si>
  <si>
    <t>3.3. Canon, Sobre Canon, Regalias RD - CUT</t>
  </si>
  <si>
    <t>TOTAL UNIDAD EJECUTORA 303 - 1349 EDUCACIÓN BAGUA CAPITAL</t>
  </si>
  <si>
    <t>400 - 725</t>
  </si>
  <si>
    <t>BANCO DE LA NACION</t>
  </si>
  <si>
    <t>0261-015870</t>
  </si>
  <si>
    <t>2012</t>
  </si>
  <si>
    <t>TOTAL UNIDAD EJECUTORA 400 - 725 SALUD AMAZONAS</t>
  </si>
  <si>
    <t>401 - 955</t>
  </si>
  <si>
    <t>0292-0012187</t>
  </si>
  <si>
    <t>SOL</t>
  </si>
  <si>
    <t>MEDICAMENTOS</t>
  </si>
  <si>
    <t>0292-005857</t>
  </si>
  <si>
    <t>RECAUDADORA</t>
  </si>
  <si>
    <t>0292-005822</t>
  </si>
  <si>
    <t>0292-012187</t>
  </si>
  <si>
    <t>DONACIONES Y TRANSFERENCIAS - SIS</t>
  </si>
  <si>
    <t>0292-007302</t>
  </si>
  <si>
    <t>CUT</t>
  </si>
  <si>
    <t>DONACIONES:</t>
  </si>
  <si>
    <t>BELGA</t>
  </si>
  <si>
    <t>ENDIS</t>
  </si>
  <si>
    <t>TRANSFERENCIAS:</t>
  </si>
  <si>
    <t>TRANSFERENCIAS - SIS</t>
  </si>
  <si>
    <t>TOTAL UNIDAD EJECUTORA 401 - 955 SALUD BAGUA</t>
  </si>
  <si>
    <t>402 - 998</t>
  </si>
  <si>
    <t>MINISTERIO DE ECONOMÍA Y FINANZAS</t>
  </si>
  <si>
    <t>0261-015889</t>
  </si>
  <si>
    <t>RDR</t>
  </si>
  <si>
    <t>0261-011875</t>
  </si>
  <si>
    <t>0261-013541</t>
  </si>
  <si>
    <t>RDR CUT</t>
  </si>
  <si>
    <t>3.- RECURSOS OPERACIONES OFICIALES DE CRED. EXTERNO</t>
  </si>
  <si>
    <t>TR 18 SUB CUENTA - DU. 051-2020-MEDIDAS EXTRAORDINARIAS Y TEMPORALES - COVID -19-ROOC</t>
  </si>
  <si>
    <t>TR 20 SUB CUENTA - EMERGENCIA SANITARIA COVID-19 - ROOC</t>
  </si>
  <si>
    <t>SIS</t>
  </si>
  <si>
    <t>0261-013282</t>
  </si>
  <si>
    <t>ENCARGOS</t>
  </si>
  <si>
    <t>0261-019442</t>
  </si>
  <si>
    <t>TRANSFERENCIAS</t>
  </si>
  <si>
    <t>DONACIONES</t>
  </si>
  <si>
    <t xml:space="preserve">    - OTROS (ESPECIFIQUE): </t>
  </si>
  <si>
    <t>TOTAL UNIDAD EJECUTORA 402 - 998 HOSPITAL DE APOYO CHACHAPOYAS</t>
  </si>
  <si>
    <t>403 - 1101</t>
  </si>
  <si>
    <t>00292-012195</t>
  </si>
  <si>
    <t>TOTAL UNIDAD EJECUTORA 403 - 1101 HOSPITAL DE APOYO BAGUA</t>
  </si>
  <si>
    <t>404 - 1350</t>
  </si>
  <si>
    <t>SUB CUENTA</t>
  </si>
  <si>
    <t>TRNSFERENCIAS</t>
  </si>
  <si>
    <t xml:space="preserve"> FONDO DE GARANTIA</t>
  </si>
  <si>
    <t>00293-009325</t>
  </si>
  <si>
    <t>2015</t>
  </si>
  <si>
    <t>EJECUCION DE CARTA FIANZA POR GARANTIA</t>
  </si>
  <si>
    <t>00293-013780</t>
  </si>
  <si>
    <t>TOTAL UNIDAD EJECUTORA 404 - 1350 SALUD UTCUBAMBA</t>
  </si>
  <si>
    <t>405 - 1664</t>
  </si>
  <si>
    <t>00-298-003880</t>
  </si>
  <si>
    <t xml:space="preserve">00-298-003880 </t>
  </si>
  <si>
    <t>TOTAL UNIDAD EJECUTORA 405 - 1664 SALUD CONDORCANQUI</t>
  </si>
  <si>
    <t>TOTAL PLIEGO</t>
  </si>
  <si>
    <t>(*) Saldo al 31 de Diciembre de 2020</t>
  </si>
  <si>
    <t>001 - 721 Sede Central</t>
  </si>
  <si>
    <t>001 - 721 SEDE CENTRAL</t>
  </si>
  <si>
    <t>RECURSOS ORDINARIOS</t>
  </si>
  <si>
    <t>DIRECTOR DE LA OFICINA DE RRHH- SECRETARIO TECNICO DEL REGIMEN DISCIPLINARIO Y PROCEDIMIENTO SANCIONADOR-SUB GERENTE DE COMUNIDADES NATIVAS Y CAMPESINAS Y COMO OFICINA DE RECURSOS HUMANOS</t>
  </si>
  <si>
    <t>ROJAS QUISPE LUIS IVAN</t>
  </si>
  <si>
    <t>ABOGADO</t>
  </si>
  <si>
    <t>SUPERIOR</t>
  </si>
  <si>
    <t>PROFESIONAL</t>
  </si>
  <si>
    <t>PROCURADOR PUBLICO REGIONAL</t>
  </si>
  <si>
    <t>09276648</t>
  </si>
  <si>
    <t>ROJAS TRIGOSO ROCIO MARILU</t>
  </si>
  <si>
    <t xml:space="preserve">VIGILANTE </t>
  </si>
  <si>
    <t>RONCAL ALIAGA JOSE GILMER</t>
  </si>
  <si>
    <t>SECUNDARIA COMPLETA</t>
  </si>
  <si>
    <t>RESPONSABLE DE GESTION Y CONTROL FORESTAL CONDORCANQUI</t>
  </si>
  <si>
    <t>RUBIO LA TORRE JOSE DEL CARMEN</t>
  </si>
  <si>
    <t>ING. FORESTAL</t>
  </si>
  <si>
    <t>ASESOR II DE LA GR</t>
  </si>
  <si>
    <t>RUIZ CABRERA RUPERTO</t>
  </si>
  <si>
    <t>INGENIERO CIVIL</t>
  </si>
  <si>
    <t>SECRETARIO TECNICO DEL REGIMEN DISCIPLINARIO Y PROCEDIMIENTO SANCIONADOR</t>
  </si>
  <si>
    <t>RUIZ IDROGO PERCY OMAR</t>
  </si>
  <si>
    <t xml:space="preserve">AUXILIAR ADMINISTRATIVO </t>
  </si>
  <si>
    <t xml:space="preserve">SAAVEDRA SAUCEDO HELEN ROXANA </t>
  </si>
  <si>
    <t>TEC. EN ADMINISTRACION Y NEGOCIOS INTERNACIONALES</t>
  </si>
  <si>
    <t>TECNICO</t>
  </si>
  <si>
    <t xml:space="preserve">TECNICO MECANICO </t>
  </si>
  <si>
    <t>SALDAÑA MENDOZA PAOLO</t>
  </si>
  <si>
    <t>TECNICO MECANICO</t>
  </si>
  <si>
    <t>SECRETARIO TECNICO DEL REGIMEN DPS RDPS</t>
  </si>
  <si>
    <t>SALON VELASQUEZ JOHN ANDERSON</t>
  </si>
  <si>
    <t>GERENTE REGIONAL DE INFRAESTRUCTURA</t>
  </si>
  <si>
    <t>SANCHEZ RUIZ ANGEL GUILLERMO</t>
  </si>
  <si>
    <t>PROCURADORA PUBLICA ADJUNTA</t>
  </si>
  <si>
    <t>SANCHEZ SANTILLAN ANGHELA LISBET</t>
  </si>
  <si>
    <t>TECNICO EN PRODUCCION ACUICOLA</t>
  </si>
  <si>
    <t>SANCHEZ VIGO EDAR ROLY</t>
  </si>
  <si>
    <t xml:space="preserve">TECNICO AGROPECUARIO </t>
  </si>
  <si>
    <t>INSPECTOR AUXILIAR DE TRABAJO- DIRECTOR DE PROMOCION, PROTECCION DE LOS DERECHOS FUNDAMENTALES Y SEGURIDAD Y SALUD EN EL TRABAJO</t>
  </si>
  <si>
    <t>SEGURA GUERRA DIEGO ALEXANDER</t>
  </si>
  <si>
    <t>SOPLA BACALLA SEGUNDO HUMBERTO</t>
  </si>
  <si>
    <t>VIGILANTE DEL CENTRO PISCICOLA MOLINOPAMPA</t>
  </si>
  <si>
    <t>TAFUR HUAMAN VICTOR MANUEL</t>
  </si>
  <si>
    <t xml:space="preserve">SECRETARIA </t>
  </si>
  <si>
    <t>TEJADA RITUAY JUANA INGRIT</t>
  </si>
  <si>
    <t>TECNICO EN ADMINISTRACION DE EMPRESAS</t>
  </si>
  <si>
    <t>EVALUADOR DEL CENTRO DE OPERACIONES DE EMERGENCIA REGIONAL</t>
  </si>
  <si>
    <t>TORRES COLLANTES HANZ VICTOR</t>
  </si>
  <si>
    <t>ING. CIVIL</t>
  </si>
  <si>
    <t>RESPONSABLE DE GESTION Y CONTROL FORESTAL CHACHAPOYAS</t>
  </si>
  <si>
    <t>TORRES MAITA MAX HUGO</t>
  </si>
  <si>
    <t>SOPORTE TECNICO</t>
  </si>
  <si>
    <t>TRAUCO TOMANGUILLA HENRY</t>
  </si>
  <si>
    <t>TECNICO EN COMPUTACION E INFORMATICA</t>
  </si>
  <si>
    <t xml:space="preserve">PERSONAL DE APOYO DE ALMACEN </t>
  </si>
  <si>
    <t xml:space="preserve">TRIGOSO GUIOP ANDERSON GIOMAR </t>
  </si>
  <si>
    <t>TRUJILLO MENDOZA ALFONSO</t>
  </si>
  <si>
    <t>DIRECTOR DE TESORERIA</t>
  </si>
  <si>
    <t>ULLILEN ULLILEN HERLESS</t>
  </si>
  <si>
    <t>CONTADOR PUBLICO</t>
  </si>
  <si>
    <t>VIGILANTE  DEL CENTRO PISCICOLA LA LUNTA</t>
  </si>
  <si>
    <t>VALLEJOS LLANCA FILL ERMEYS</t>
  </si>
  <si>
    <t>TECNICO ESPECIALIZADO</t>
  </si>
  <si>
    <t>VARGAS ARQUIÑEGO JESSICA NATIVIDAD</t>
  </si>
  <si>
    <t>PROFESORA DE EDUCACION PRIMARIA</t>
  </si>
  <si>
    <t>MADRE SUSTITUTA</t>
  </si>
  <si>
    <t>VARGAS TAFUR LILIBETH</t>
  </si>
  <si>
    <t>TECNICO EN ENFERMERIA TECNICA</t>
  </si>
  <si>
    <t>VIGILANTE EN LA SEDE</t>
  </si>
  <si>
    <t>VASQUEZ CANTA DILSA LLOVANI</t>
  </si>
  <si>
    <t>GERENTE GENERAL REGIONAL</t>
  </si>
  <si>
    <t>VASQUEZ FLORES DANTY ALEXANDER</t>
  </si>
  <si>
    <t>PERSONAL DE SERVICIO Y CONSEJERIA</t>
  </si>
  <si>
    <t xml:space="preserve">VASQUEZ QUISPE JOSE DAVID </t>
  </si>
  <si>
    <t>TECNICO EN PERSONAL</t>
  </si>
  <si>
    <t>VEGA MONTES SHEILA ELZA</t>
  </si>
  <si>
    <t>BACHILLER EN CONTABILIDAD</t>
  </si>
  <si>
    <t xml:space="preserve">ESPECIALISTA EN COMERCIO EXTERIOR </t>
  </si>
  <si>
    <t xml:space="preserve">VERA JULON LEANDRO ALEXANDER </t>
  </si>
  <si>
    <t>ING. AGROINDUSTRIAL</t>
  </si>
  <si>
    <t>TRABAJADORA SOCIAL</t>
  </si>
  <si>
    <t>VILCA BURGA DEYSSI MARILIN</t>
  </si>
  <si>
    <t>LIC. EN PSICOLOGIA</t>
  </si>
  <si>
    <t>ASISTENTE ADMINISTRATIVO -RESPONSABLE DE LA UNIDAD DE ADQUISIONES</t>
  </si>
  <si>
    <t>YNGA YNGA RAMIRO</t>
  </si>
  <si>
    <t>PROFESIONAL EN ENFERMERIA</t>
  </si>
  <si>
    <t>YOPLAC VIGO MARIA CATY</t>
  </si>
  <si>
    <t>LIC. EN ENFERMERIA</t>
  </si>
  <si>
    <t>GESTOR EN CONTRATACIONES</t>
  </si>
  <si>
    <t>ZARATE IMAN ANGEL DANIEL</t>
  </si>
  <si>
    <t>CHOFER</t>
  </si>
  <si>
    <t>ZUMAETA MORI GIANCARLO EMMANUEL</t>
  </si>
  <si>
    <t>ZUMAETA PORTOCARRERO JAKELIN</t>
  </si>
  <si>
    <t>TEC. EN ADMINISTRACION DE EMPRESAS</t>
  </si>
  <si>
    <t>AUXILIAR DE TRABAJO</t>
  </si>
  <si>
    <t>ZUTA HORNA ELVER</t>
  </si>
  <si>
    <t>BACHILLER EN DERECHO Y CIENCIAS POLITICAS</t>
  </si>
  <si>
    <t>CHAVEZ MELENDEZ ROSA ANA</t>
  </si>
  <si>
    <t>TEC. EN ENFERMERIA TECNICA</t>
  </si>
  <si>
    <t>ASESOR I DE LA GERENCIA GENERAL</t>
  </si>
  <si>
    <t>MEJIA SEGOVIA SEGUNDO INDALECIO</t>
  </si>
  <si>
    <t>ASESOR II</t>
  </si>
  <si>
    <t>SANCHEZ CARRASCO ANITA ELVA</t>
  </si>
  <si>
    <t>DIRECTOR REGIONAL DE ENERGIA Y MINAS</t>
  </si>
  <si>
    <t>MORI TUESTA OTTO</t>
  </si>
  <si>
    <t>INGENIERO MECANICO</t>
  </si>
  <si>
    <t>GERENTE DE LA AUTORIDAD REGIONAL AMBIENTAL</t>
  </si>
  <si>
    <t>ROMERO ANGULO WILDER ALMANZOR</t>
  </si>
  <si>
    <t>INGENIERO FORESTAL</t>
  </si>
  <si>
    <t>LOCACION DE SERVICIOS</t>
  </si>
  <si>
    <t>BRINDAR SERVICIOS EN LA DIRECCION DEL ARCHIVO REGIONAL</t>
  </si>
  <si>
    <t xml:space="preserve">AGUILAR ALVARADO INGRID LORENA </t>
  </si>
  <si>
    <t>MAYANGA CASTRO ELENA DEL PILAR</t>
  </si>
  <si>
    <t>TECNICO OPERADOR EN COMPUTACION</t>
  </si>
  <si>
    <t>BRINDAR SERVICIOS EN LA DIRECCION REGIONAL DE LA PRODUCCION</t>
  </si>
  <si>
    <t xml:space="preserve">CACERES CRUZ JIMMY JESUS </t>
  </si>
  <si>
    <t>BACH. EN INGENIERIA INDUSTRIAL</t>
  </si>
  <si>
    <t>FERNANDEZ FLORES JORGE GUSTAVO</t>
  </si>
  <si>
    <t>ING. PESQUERO</t>
  </si>
  <si>
    <t xml:space="preserve">BRINDAR SERVICIOS EN LA DIRECCION DE LA PRODUCCION </t>
  </si>
  <si>
    <t>MARIN VASQUEZ JUNELLY</t>
  </si>
  <si>
    <t>BRINDAR SERVICIOS EN LA DIRECCION REGIONAL DE TRABAJO Y PE</t>
  </si>
  <si>
    <t>CASTRO HERRERA LAURA LORENA</t>
  </si>
  <si>
    <t>CUBAS SANCHEZ MARLITA JHANETH</t>
  </si>
  <si>
    <t>BACH . EN COMUNICACION SOCIAL</t>
  </si>
  <si>
    <t xml:space="preserve">IRIGOIN APAESTEGUI WILMER </t>
  </si>
  <si>
    <t>DONACIONES Y TRANSFERENCIAS</t>
  </si>
  <si>
    <t xml:space="preserve">LOPEZ MUÑOZ BEIMER MERCEDES </t>
  </si>
  <si>
    <t>BACH. EN DERECHO</t>
  </si>
  <si>
    <t>RIVERA LA TORRE MALENA SOLEDAD</t>
  </si>
  <si>
    <t>TECNICO EN SECRETARIADO EJECUTIVO</t>
  </si>
  <si>
    <t>SANCHEZ PINEDO ROCIO ELIZABETH</t>
  </si>
  <si>
    <t xml:space="preserve">CONTADOR PUBLICO </t>
  </si>
  <si>
    <t>BRINDAR SERVICIOS EN ÁREA DE CONSERVACIÓN REGIONAL BOSQUES TROPICALES ESTACIONALMENTE SECOS DEL MARAÑON</t>
  </si>
  <si>
    <t>CALLE ALVERCA EDUARD</t>
  </si>
  <si>
    <t xml:space="preserve">BRINDAR SERVICIOS EN EL ÁREA DE CONSERVACIÓN REGIONAL  VISTA ALEGRE OMIA </t>
  </si>
  <si>
    <t xml:space="preserve">ESTELA MEGO REYNER </t>
  </si>
  <si>
    <t>01151722</t>
  </si>
  <si>
    <t>GALOC PINEDO RAMIRO</t>
  </si>
  <si>
    <t xml:space="preserve">BRINDAR SERVICIOS EN LA GERENCIA GENERAL </t>
  </si>
  <si>
    <t>HEREDIA MONTENEGRO SHIRLEY MATILDE</t>
  </si>
  <si>
    <t xml:space="preserve">JIMENEZ CASTAÑEDA EMANUEL ALEXANDER </t>
  </si>
  <si>
    <t>BRINDAR SERVICIOS EN LA OFICINA DE ASESORIA DE LA GERENCIA GENERAL</t>
  </si>
  <si>
    <t>TORRES GOÑAS MILAGROS DEL PILAR</t>
  </si>
  <si>
    <t>RECURSOS DETERMINADOS</t>
  </si>
  <si>
    <t>BRINDAR SERVICIOS EN LA OFICINA DE PROCOMPITE</t>
  </si>
  <si>
    <t>ESCRIBANO CAJO IVAN MARIO</t>
  </si>
  <si>
    <t>ING.ZOOTECNISTA</t>
  </si>
  <si>
    <t xml:space="preserve">PEREZ HIDALGO LILIANA </t>
  </si>
  <si>
    <t>TECNICO EN ADMINISTRACION</t>
  </si>
  <si>
    <t>TAFUR VALQUI ROSA MARIA</t>
  </si>
  <si>
    <t>BRINDAR SERVICIOS EN LA GRDE</t>
  </si>
  <si>
    <t>VALLE POZO FRANCESCA VERONICA</t>
  </si>
  <si>
    <t xml:space="preserve">LIC. EN TURISMO Y ADMINISTRACION </t>
  </si>
  <si>
    <t xml:space="preserve">VALLEJOS AGUILAR JEINER </t>
  </si>
  <si>
    <t>ZUTA CHAVEZ FREDDY</t>
  </si>
  <si>
    <t xml:space="preserve">ING.AGROINDUSTRIAL </t>
  </si>
  <si>
    <t>BRINDAR SERVICIOS EN LA GERENCIA REGIONAL DESARROLLO ECONÓMICO</t>
  </si>
  <si>
    <t>VALDEZ RODAS KETTY</t>
  </si>
  <si>
    <t>BRINDAR SERVICIOS EN LA GERENCIA DESARROLLO SOCIAL</t>
  </si>
  <si>
    <t>AÑAZCO ROSALES INGLI MELIZA</t>
  </si>
  <si>
    <t xml:space="preserve">BRINDAR SERVICIOS EN EL SEGUIMIENTO DE PROYECTOS EDUCATIVOS PRESUPUESTALES Y CULTURALES </t>
  </si>
  <si>
    <t>GOSGOT VALLEJOS IVIS DEL ROCIO</t>
  </si>
  <si>
    <t>LIC. EN EDUCACION PRIMARIA</t>
  </si>
  <si>
    <t>BRINDAR SERVICIOS EN LA GERENCIA</t>
  </si>
  <si>
    <t>CASTRO LOZANO NORMA LILIANA</t>
  </si>
  <si>
    <t>TEC. EN ENFERMERIA</t>
  </si>
  <si>
    <t>RECURSOS POR OPERACIONES OFICIALES DE CRÉDITO</t>
  </si>
  <si>
    <t>SANCHEZ MONTEZA JULIO CESAR</t>
  </si>
  <si>
    <t xml:space="preserve">BRINDAR SERVICIOS EN LA GERENCIA </t>
  </si>
  <si>
    <t xml:space="preserve">TRUJILLO TAFUR MARIA PILAR </t>
  </si>
  <si>
    <t>BRINDAR SERVICIOS EN LA GRPPAT</t>
  </si>
  <si>
    <t>TAFUR CACERES HAROLD HUMBERTO</t>
  </si>
  <si>
    <t>ING.CIVIL</t>
  </si>
  <si>
    <t>BRINDAR SERVICIOS EN LA GERENCIA REGIONAL DE PLANEAMIENTO Y AT</t>
  </si>
  <si>
    <t xml:space="preserve">YOPAN RAMIREZ FANNY DEL PILAR </t>
  </si>
  <si>
    <t>BRINDAR SERVICIOS EN EL AREA DE CONSERVACION REGIONAL BOSQUES TROPICALES ESTACIONALMEMNTE SECOS DEL MARAÑÑON</t>
  </si>
  <si>
    <t xml:space="preserve">HUAMAN PORTOCARRERO LUIS ANGEL </t>
  </si>
  <si>
    <t xml:space="preserve">BACH. EN CIENCIAS AMBIENTALES </t>
  </si>
  <si>
    <t>BRINDAR SERVICIOS EN LA GERENCIA INFRAESTRUCTURA</t>
  </si>
  <si>
    <t>ZUMAETA YNGA ALEIDA</t>
  </si>
  <si>
    <t>TECNICO EN CONTABILIDAD</t>
  </si>
  <si>
    <t xml:space="preserve">BRINDAR SERVICIOS EN LA SEDE </t>
  </si>
  <si>
    <t>ALVA REINA WAGNER</t>
  </si>
  <si>
    <t>TECNICO EN ELECTRICA</t>
  </si>
  <si>
    <t xml:space="preserve">BRINDAR SERVICIOS EN EL ORGANO ENCARGADO DE LAS CONTRATACIONES </t>
  </si>
  <si>
    <t>FALLA ODAR LUIS HUMBERTO</t>
  </si>
  <si>
    <t>BRINDAR SERVICIOS EN LA UNIDAD DE PATRIMONIO</t>
  </si>
  <si>
    <t>FERNANDEZ LOZANO WUILLIAM ALFONSO</t>
  </si>
  <si>
    <t xml:space="preserve">BRINDAR SERVICIOS EN LA OFICINA DE CONTRATACIONES </t>
  </si>
  <si>
    <t xml:space="preserve">HUAMAN LINARES VEYMER </t>
  </si>
  <si>
    <t>BRINDAR SERVICIOS EN LA SEDE</t>
  </si>
  <si>
    <t>ZUMAETA LOPEZ CARLOS ALBERTO</t>
  </si>
  <si>
    <t>BRINDAR SERVICIOS EN COMUNICACIONES Y RELACIONES PUBLICAS</t>
  </si>
  <si>
    <t>MUÑOZ CAMPON MANUEL RIGOBERTO</t>
  </si>
  <si>
    <t>LIC. EN CIENCIAS DE LA COMUNICACIÓN</t>
  </si>
  <si>
    <t>BRINDAR SERVICIOS EN LA OFICINA DE CONTABILIDAD</t>
  </si>
  <si>
    <t>CHUECHA TRAUCO SORAIDA</t>
  </si>
  <si>
    <t>TEC. EN COMPUTACIÓN E INFORMATICA</t>
  </si>
  <si>
    <t>CORONEL SALAZAR ERICK ANTONIO</t>
  </si>
  <si>
    <t>ESCOBEDO MUÑOZ MARIA ESTEFANY</t>
  </si>
  <si>
    <t xml:space="preserve">GUERRA CULQUI SIDMEY OSCAR </t>
  </si>
  <si>
    <t>MENDOZA INGA BETHSY</t>
  </si>
  <si>
    <t>SAUCEDO BARDALES KATHERIN ZAABINCY</t>
  </si>
  <si>
    <t xml:space="preserve">SUAREZ SIFUENTES OLGA LILIANA </t>
  </si>
  <si>
    <t>BRINDAR SERVICIOS EN LA OFICINA DE ESTADISTICA</t>
  </si>
  <si>
    <t>CHINCHAYAN SACA JOSE ALBERTO</t>
  </si>
  <si>
    <t>LIC. EN ESTADISTICA</t>
  </si>
  <si>
    <t xml:space="preserve">BRINDAR SERVICIOS EN LA SECRETARIA TECNICA DE PROCESOS DISCIPLINARIOS </t>
  </si>
  <si>
    <t>BECERRA ALVITRES LUIS AUBIN</t>
  </si>
  <si>
    <t>DIAZ CASTILLO GRISELDA TEODOLINDA</t>
  </si>
  <si>
    <t xml:space="preserve">BRINDAR SERVICIOS EN LA OFICINA DE RECURSOS HUMANOS </t>
  </si>
  <si>
    <t>HUAMAN REYNA JENRY FRANCISCO</t>
  </si>
  <si>
    <t xml:space="preserve">BRINDA SERVICIOS EN LA OFICINA DE RECURSOS HUMANOS </t>
  </si>
  <si>
    <t>OCLOCHO VALQUI KARINA</t>
  </si>
  <si>
    <t>VASQUEZ TORRES KATHERINE WILLANA</t>
  </si>
  <si>
    <t>YOPLAC BAZAN ESTERCITA</t>
  </si>
  <si>
    <t>BRINDAR SERVICIOS EN LA OFICINA DE TESORERIA</t>
  </si>
  <si>
    <t>CASTRO ARCE VICTOR ALIZ</t>
  </si>
  <si>
    <t>BRINDAR SERVICIOS EN LA UNIDAD DE CAJA</t>
  </si>
  <si>
    <t xml:space="preserve">MENDOZA ROJAS JOEL JESUS </t>
  </si>
  <si>
    <t>ORTIZ APAESTEGUI LEIDI ENITH</t>
  </si>
  <si>
    <t>TAFUR BACALLA JOSE</t>
  </si>
  <si>
    <t xml:space="preserve">VILCHEZ GUERRA MIRTHA SUSANA </t>
  </si>
  <si>
    <t>BRINDAR SERVICIOS EN LA OFICINA REGIONAL DE ADMINISTRACION</t>
  </si>
  <si>
    <t>AMPUERO SAAVEDRA BERTHA DAYANA</t>
  </si>
  <si>
    <t>BRINDAR SERVICIOS EN LA OFICINA DE ADMINISTRACION</t>
  </si>
  <si>
    <t>CHAVEZ CASTILLO NELLY</t>
  </si>
  <si>
    <t xml:space="preserve">BRINDAR SERVICIOS EN EL ORGANO DE CONTROL INSTITUCIONAL </t>
  </si>
  <si>
    <t xml:space="preserve">LINO PIZARRO CHARLINY JHOELY </t>
  </si>
  <si>
    <t xml:space="preserve">RACHO FONSECA GARY WILFREDO </t>
  </si>
  <si>
    <t>ING. CIVIL AMBIENTAL</t>
  </si>
  <si>
    <t xml:space="preserve">TAFUR CAMPOS WILMER ISAC </t>
  </si>
  <si>
    <t xml:space="preserve">BRINDAR SERVICIOS EN LA PROCURADURIA PUBLICA REGIONAL </t>
  </si>
  <si>
    <t>ALTAMIRANO ARTEAGA ARIUS ALIGHIERI</t>
  </si>
  <si>
    <t>NIETO PECHE NERI ALFREDO</t>
  </si>
  <si>
    <t>ZUMAETA LOZANO MERCEDES HAYDEE</t>
  </si>
  <si>
    <t>BACH. EN DERECHO Y CIENCIAS POLITICAS</t>
  </si>
  <si>
    <t>BRINDAR SERVICIOS EN LA SECRETARIA GENERAL</t>
  </si>
  <si>
    <t xml:space="preserve">HUAMAN URQUIA KATTY LORENA </t>
  </si>
  <si>
    <t>BRINDAR SERVICIOS EN LA OFICINA DE TRAMITE DOCUMENTARIO</t>
  </si>
  <si>
    <t>RAMIREZ VENTURA CARLOS ALBERTO</t>
  </si>
  <si>
    <t>BRINDAR SERVICIOS EN LA SUB GERENCIA DE ADMINISTRACION Y ADJUDICACION DE TERRENOS DE PROPIEDAD DEL ESTADO</t>
  </si>
  <si>
    <t>ANGULO CHUIMES MILITZA CLARIBEL</t>
  </si>
  <si>
    <t>BRINDAR SERVICIOS EN LA SUB GERENCIA DE DESARROLLO INSTITUCIONAL</t>
  </si>
  <si>
    <t>NUÑEZ CHAMBA  LOOT ANIBAL</t>
  </si>
  <si>
    <t>BACH. EN INGENIERIA DE SISTEMAS Y COMPUTO</t>
  </si>
  <si>
    <t>BRINBDA SERVICIOS EN LA SUB GERENCIA DE DESARROLLO INSTITUCIONAL</t>
  </si>
  <si>
    <t>HUAMAN MOROCHO KHATERIN MERCEDES</t>
  </si>
  <si>
    <t xml:space="preserve">ING.INDUSTRIAL </t>
  </si>
  <si>
    <t>BRINDAR SERVICIOS EN LA SUB GERENCIA DE ESTUDIOS</t>
  </si>
  <si>
    <t>ALCANTARA HEREDIA HERBERT CHRISTIAN</t>
  </si>
  <si>
    <t>ING. AGRICOLA</t>
  </si>
  <si>
    <t>CASRRASCO OLIVERA LEONCIO</t>
  </si>
  <si>
    <t>CULLAMPE SERVAN ANGEL ALBERTO</t>
  </si>
  <si>
    <t>BACH. EN ING. CIVIL</t>
  </si>
  <si>
    <t>DEL AGUILA GRANDEZ JAVIER</t>
  </si>
  <si>
    <t>ING. GEOLOGO</t>
  </si>
  <si>
    <t>DEL AGUILA VENTURA ROYCER HENRY</t>
  </si>
  <si>
    <t>INGENIERO AMBIENTAL</t>
  </si>
  <si>
    <t>GARCIA COSTA JHONATTAN HUMBERTO</t>
  </si>
  <si>
    <t>GARCIA TORO LUIS RAFAEL</t>
  </si>
  <si>
    <t xml:space="preserve">BRINDAR SERVICIOS EN LA SUB GERENCIA DE ESTUDIOS </t>
  </si>
  <si>
    <t>GUEVARA CASTAÑEDA ELVISH HEYMAN</t>
  </si>
  <si>
    <t>ING.SANITARIO</t>
  </si>
  <si>
    <t>BRINDAR SERVICIOS EN LA UNIDAD FORMULADORA</t>
  </si>
  <si>
    <t xml:space="preserve">GUEVARA TRUJILLO JAKELIN </t>
  </si>
  <si>
    <t>LEON BUENO LUIS GUILLERMO</t>
  </si>
  <si>
    <t>LUCERO CABANILLAS HARRY DAIBY</t>
  </si>
  <si>
    <t>TECNICO EN EDIFICACIONES</t>
  </si>
  <si>
    <t>ROBLES OLIVA DYANGELO MARIANO</t>
  </si>
  <si>
    <t>TECNICO EN COMPUTACION</t>
  </si>
  <si>
    <t>ROJAS HERRERA KARINA</t>
  </si>
  <si>
    <t>TAFUR CAMPOS NILSER NELZON</t>
  </si>
  <si>
    <t>BRINDAR SERVICIOS EN LA SUB GERNCIA DE LA INVERSION PRIVADA</t>
  </si>
  <si>
    <t xml:space="preserve">MAGALLAN MASLUCAN LUIS </t>
  </si>
  <si>
    <t>ING. AGRONOMO</t>
  </si>
  <si>
    <t>BRINDAR SERVICIOS EN LA SUB GERENCIA DE OBRAS Y MAQUINARIA PESADA</t>
  </si>
  <si>
    <t>COLCHADO BUSTILLOS JOSE JAVIER</t>
  </si>
  <si>
    <t>ING. DE TRANSPORTES</t>
  </si>
  <si>
    <t>HUAMAN GUEVARA OSMER ALEJANDRO</t>
  </si>
  <si>
    <t>MECANICO AUTOMOTRIZ</t>
  </si>
  <si>
    <t>MALDONADO PIZARRO WILDER AMBROSIO</t>
  </si>
  <si>
    <t>ROJAS TORREJON ROBERT</t>
  </si>
  <si>
    <t>BRINDAR SERVICIOS EN LA SUB GERENCIA DE PRESUPUESTO</t>
  </si>
  <si>
    <t>HORNA HUAMAN GENY</t>
  </si>
  <si>
    <t>LLANTO SERVAN VANESSA</t>
  </si>
  <si>
    <t>LIC. EN ADMINISTRACION</t>
  </si>
  <si>
    <t>TICLLA ROSALES WILLINTON NOE</t>
  </si>
  <si>
    <t>VENTURA QUINTANA LUCY</t>
  </si>
  <si>
    <t>BRINDAR SERVICIOS EN LA SUB GERENCIA MULTIANUAL DE INVERSIONES</t>
  </si>
  <si>
    <t>09032599</t>
  </si>
  <si>
    <t>RAZURI VERA JOSE ANDRES</t>
  </si>
  <si>
    <t>BRINDAR SERVICIOS EN LA SUB GERENCIA DE SUPERVISION Y LIQUIDACIONES</t>
  </si>
  <si>
    <t>ASPILLAGA DURANGO EDSON</t>
  </si>
  <si>
    <t>CASTILLO RIOS MARIA CRISTHINA</t>
  </si>
  <si>
    <t>COORDINADOR DE OBRAS</t>
  </si>
  <si>
    <t>07835349</t>
  </si>
  <si>
    <t>DE LA CRUZ VIZCARRA ARTURO ESTEBAN</t>
  </si>
  <si>
    <t>HERNANDEZ CHAVARRY JORGE ALFREDO</t>
  </si>
  <si>
    <t>HERNANDEZ SOPLA GREYSI LISBETH</t>
  </si>
  <si>
    <t>JULIAN RODRIGUEZ MELISSA</t>
  </si>
  <si>
    <t>MENDOZA CHUIMES GUIULIANA</t>
  </si>
  <si>
    <t>NUÑEZ CERCADO JOSE WILLIAMS</t>
  </si>
  <si>
    <t xml:space="preserve">ING. CIVIL </t>
  </si>
  <si>
    <t>SANDOVAL ZABARBURU DIEGO ALEXANDER</t>
  </si>
  <si>
    <t>LIC. EN COMERCIO Y NEGOCIOS INTERNACIONALES</t>
  </si>
  <si>
    <t>TAFUR OCAMPO EINSTEIN</t>
  </si>
  <si>
    <t>BRINDAR SERVICIOS EN EL OCI</t>
  </si>
  <si>
    <t xml:space="preserve">CHAVEZ TAFUR HENRRY LUIS </t>
  </si>
  <si>
    <t>BRINDAR SERVICIOS EN LA UNIDAD DE SERVICIOS AUXILIARES</t>
  </si>
  <si>
    <t>SAUCEDO PORTOCARRERO ALEIDA</t>
  </si>
  <si>
    <t>BACH. EN ADMINISTRACION Y NEGOCIOS INTERNACIONALES</t>
  </si>
  <si>
    <t xml:space="preserve">BRINDAR SERVICIOS EN LA UNIDAD DE ALMACEN </t>
  </si>
  <si>
    <t>CASTAÑEDA DIAZ HEYGLIN</t>
  </si>
  <si>
    <t>BRINDAR SERVICIOS EN LA EJECUCION DE LA PROPUESTA PRODUCTIVA</t>
  </si>
  <si>
    <t>PARRILLA AVALOS MARJORIE GERALDINE</t>
  </si>
  <si>
    <t>BACH. EN COMERCIO Y NEGOCIOS INTERNACIONALES</t>
  </si>
  <si>
    <t>BRINDAR SERVICIOS EN LA UNIDAD DE ESTUDIO DE MERCADO</t>
  </si>
  <si>
    <t>ROJAS BUSTAMANTE YONY ALEXANDER</t>
  </si>
  <si>
    <t>BACH. EN ADMINISTRACION</t>
  </si>
  <si>
    <t>BRINDAR SERVICIOS EN LA UNIDAD DEL SEACE</t>
  </si>
  <si>
    <t>SANTA CRUZ CUBAS YUDITH MAELSI</t>
  </si>
  <si>
    <t>DETQUIZAN MORI TOMMY JACK</t>
  </si>
  <si>
    <t>BRINDAR SERVICIOS EN LA SGPI</t>
  </si>
  <si>
    <t>NUÑEZ VILLANUEVA ESTHER</t>
  </si>
  <si>
    <t>ECONOMISTA</t>
  </si>
  <si>
    <t>BRINDAR SERVICIOS EN LA ESCUELA DE BELLAS ARTES</t>
  </si>
  <si>
    <t>VILLANUEVA SOPLIN VILMA ALEJANDRIA</t>
  </si>
  <si>
    <t>BRINDAR SERVICIOS EN LA OFICINA REGIONAL DE AJ</t>
  </si>
  <si>
    <t>DIAZ HERNANDEZ DANY MANUEL</t>
  </si>
  <si>
    <t>BRINDAR SERVICIOS EN LA GERENCIA DE LA ARA</t>
  </si>
  <si>
    <t>JICARO ELERA KEVIN JAIR</t>
  </si>
  <si>
    <t>BRINDAR SERVICIOS EN LA SGPMI</t>
  </si>
  <si>
    <t>CHAVEZ CENTENO FLOR CRISTINA</t>
  </si>
  <si>
    <t>LIC. EN ADMINISTRACION DE NEGOCIOS INTERNACIONALES</t>
  </si>
  <si>
    <t>BRINDAR SERVICIOS EN EL PROYECTO</t>
  </si>
  <si>
    <t>DIAZ TUESTA BETSABETH</t>
  </si>
  <si>
    <t>CATPO GONGORA OTILIA</t>
  </si>
  <si>
    <t>TECNICO EN PRODUCCION AGROPECUARIA</t>
  </si>
  <si>
    <t>BRINDAR SERVICIOS EN LA UNIDAD DE GESTION ADMINISTRATIVA DE CONTRATOS</t>
  </si>
  <si>
    <t>OLIVA REYNA CINTHIA VANESSA</t>
  </si>
  <si>
    <t>BRINDAR SERVICIOS EN LA SGDSEIO</t>
  </si>
  <si>
    <t>TUESTA ALVARADO MARIBEL</t>
  </si>
  <si>
    <t>BRINDAR SERVICIOS EN LA DRTPE</t>
  </si>
  <si>
    <t>LINARES YOPAN CARMEN ROSA</t>
  </si>
  <si>
    <t>MAESTRO DE OBRA</t>
  </si>
  <si>
    <t>PUERTA MUÑOZ SEGUNDO MARCELINO</t>
  </si>
  <si>
    <t>BENAVIDES MALQUI CAROLINA</t>
  </si>
  <si>
    <t>BACH. EN ING. ZOOTECNIA</t>
  </si>
  <si>
    <t>MAS MIRANO EDUARDO CUBILLAS</t>
  </si>
  <si>
    <t>BRINDAR SERVICIOS EN LA SGAATPE</t>
  </si>
  <si>
    <t xml:space="preserve">ANAYA PORTAL LIZARDO ROGELIO </t>
  </si>
  <si>
    <t xml:space="preserve">BRINDAR SERVICIOS EN LA EJECUCIÓN DE LA PROPUESTA PRODUCTIVA </t>
  </si>
  <si>
    <t>TUESTA VILLALOBOS ELIZABETH ANTONIO</t>
  </si>
  <si>
    <t>ESPECIALISTA EN COMERCIALIZACION PARA EL PROYECTO</t>
  </si>
  <si>
    <t xml:space="preserve">TABOADA RUIZ EUSEBIO </t>
  </si>
  <si>
    <t>TECNICO EN AGROPECUARIA</t>
  </si>
  <si>
    <t>NUÑEZ PEZANTES JOHNNY</t>
  </si>
  <si>
    <t xml:space="preserve">RABANAL DEL AGUILA JULIO </t>
  </si>
  <si>
    <t>ING. EN AGRONEGOCIOS</t>
  </si>
  <si>
    <t>MELENDEZ LOPEZ EDGAR MANUEL</t>
  </si>
  <si>
    <t>LIC. EN TURISMO Y HOTELERIA</t>
  </si>
  <si>
    <t>LUCANA ROJAS BEATRIZ</t>
  </si>
  <si>
    <t>BACH. EN ING.AGRONOMICA</t>
  </si>
  <si>
    <t>BRINDAR SERVICIOS EN LA DRVCS</t>
  </si>
  <si>
    <t>MENDOZA TEJADA EDDY LUIS</t>
  </si>
  <si>
    <t>YOPLAC TORREJON CARLOS</t>
  </si>
  <si>
    <t>CARHUAJULCA ALTAMIRANO EDWIN</t>
  </si>
  <si>
    <t>RECURSOS DIRECTAMENTE RECAUDADOS</t>
  </si>
  <si>
    <t>BRINDAR SERVICIOS EN LA DEGBFS</t>
  </si>
  <si>
    <t>VENTURA ARISTA VICTOR HUMBERTO</t>
  </si>
  <si>
    <t>BECERRA MEJIA DORIS ISABEL</t>
  </si>
  <si>
    <t>ING. ZOOTECNIA</t>
  </si>
  <si>
    <t>BRINDAR SERVICIOS EN EL CONSEJO REGIONAL</t>
  </si>
  <si>
    <t xml:space="preserve">TAFUR TAUMA LIZANDRA DEL PILAR </t>
  </si>
  <si>
    <t>COLLANTES LINGAN SEGUNDO VERO</t>
  </si>
  <si>
    <t>PERALTA CASTÑEDA DARWIN EVELIO</t>
  </si>
  <si>
    <t>BRINDAR SERVICIOS EN LA DIRCETUR</t>
  </si>
  <si>
    <t>HERRERA INGA JHONY</t>
  </si>
  <si>
    <t>BRIOSO CHAVEZ DE TEJADA ANTONIA FELIPA</t>
  </si>
  <si>
    <t>SECRETARIADO MEDICO</t>
  </si>
  <si>
    <t>INFANTE FLORES ELLEN ARABELA</t>
  </si>
  <si>
    <t>BRINDAR SERVICIOS EN LA ORAJ</t>
  </si>
  <si>
    <t>MORA VALENCIA KARINA MAGALY</t>
  </si>
  <si>
    <t>MONTERO BENITES VICTOR ANDRE</t>
  </si>
  <si>
    <t>AZABACHE GARCIA JONATHAN ARTURO</t>
  </si>
  <si>
    <t>ADMINISTRADOR DE OBRA PARA EL PROYECTO</t>
  </si>
  <si>
    <t>SILVA DIAZ INGRID MAGALI</t>
  </si>
  <si>
    <t>CHUJANDAMA CHISTAMA LUZ EBELIN</t>
  </si>
  <si>
    <t>BRINDAR SERVICIOS EN LA UNIDAD EJECUTORA DE INVERIONES DEL GARA</t>
  </si>
  <si>
    <t>CHAVEZ CHAVEZ ASUNTITA AMELIA</t>
  </si>
  <si>
    <t>ING. EN INDUSTRIAS ALIMENTARIAS</t>
  </si>
  <si>
    <t>BRINDAR SERVICIOS EN LA GOBERNACION REGIONAL</t>
  </si>
  <si>
    <t>ZUMAETA MONTOYA NATALIE</t>
  </si>
  <si>
    <t>ECHEVARRIA EPIQUIEN GUISSELA</t>
  </si>
  <si>
    <t>BRINDAR SERVICIOS EN EL ÁREA DE CONSERVACIÓN REGIONAL BOSQUES TROPICALES</t>
  </si>
  <si>
    <t>ROSARIO BOYD DAVID RICARDO</t>
  </si>
  <si>
    <t>ESPECIALISTA EN ORGANIZACIÓN, DIRECCION DE PLANES DE NEGOCIO</t>
  </si>
  <si>
    <t>RODAS SANTA CRUZ ALBERTO</t>
  </si>
  <si>
    <t>ING. ZOOTECNISTA</t>
  </si>
  <si>
    <t>BRINDAR SERVICIOS EN LA UNIDAD DE ADQUISICIONES</t>
  </si>
  <si>
    <t>HUMAN MEGO JANETH</t>
  </si>
  <si>
    <t>REATEGUI GARCIA ELIANA LIZET</t>
  </si>
  <si>
    <t xml:space="preserve">BRINDAR SERVICIOS EN LA OFICINA DE COORDINACION LIMA </t>
  </si>
  <si>
    <t xml:space="preserve">CHINCHE TUFINO RONALD </t>
  </si>
  <si>
    <t>VERA CHICOMA ROBERTAYLOR</t>
  </si>
  <si>
    <t>BRINDAR SERVICIOS EN LA UNIDAD DE FISCALIZACIÓN POSTERIOR DE LA OFICINA DE OAP</t>
  </si>
  <si>
    <t>MONTEZA ORTIZ NANCY PAOLA</t>
  </si>
  <si>
    <t>ESPECIALISTA EN EN LEGISLACION FORESTAL PARA EL PROYECTO</t>
  </si>
  <si>
    <t>VIGIL VENTURA MILAGROS DEL ROCIO</t>
  </si>
  <si>
    <t>MANCO PEREZ ALBERT ANTONIO</t>
  </si>
  <si>
    <t>BRINDAR SERVICIOS EN LA OCCRRPP</t>
  </si>
  <si>
    <t>GUEVARA MARIN JOSE FERNANDO</t>
  </si>
  <si>
    <t>CASTAÑEDA DIAZ HAMILTON</t>
  </si>
  <si>
    <t>RESIDENTE DE OBRA EN EL PROYECTO</t>
  </si>
  <si>
    <t xml:space="preserve"> CHAVEZ ARROYO JOSE CARLOS FALEN</t>
  </si>
  <si>
    <t>VALDERRAMA RUIZ MARYORI STEISSY</t>
  </si>
  <si>
    <t>BACH. EN ING.AMBIENTAL</t>
  </si>
  <si>
    <t>ULLOQUE ARBILDO CARLOS MIJAIL</t>
  </si>
  <si>
    <t xml:space="preserve">QUISPE RAMOS JORGE LUIS </t>
  </si>
  <si>
    <t>BACH. EN ING. AGRONOMA</t>
  </si>
  <si>
    <t>BRINDAR SERVICIOS EN LA OFICINA DE DEMARCACION</t>
  </si>
  <si>
    <t>HERRERA VARGAS PERCY</t>
  </si>
  <si>
    <t>GEOGRAFO</t>
  </si>
  <si>
    <t>09539208</t>
  </si>
  <si>
    <t xml:space="preserve">CAVA VERGIU LUIS FELIPE </t>
  </si>
  <si>
    <t>TEJADA BRIOSO FRANK LOUIS</t>
  </si>
  <si>
    <t>BRINDAR SERVICIOS EN LA SGE</t>
  </si>
  <si>
    <t>MALDONADO BECERRA STEFANY ZARAY</t>
  </si>
  <si>
    <t>CRUZ CARO OMER</t>
  </si>
  <si>
    <t>MENDOZA SANTILLAN LUIS MIGUEL</t>
  </si>
  <si>
    <t>CHUQUIZUTA CASTAÑEDA FREDDY</t>
  </si>
  <si>
    <t>UKUNCHAM UGKUM TEOFILO</t>
  </si>
  <si>
    <t>BANCES PUERTA JAQUELIN MILAGROS</t>
  </si>
  <si>
    <t>BRINDAR SERVICIOS EN LA SGSL</t>
  </si>
  <si>
    <t>DAMACEN TORREJON JUANA CELINA</t>
  </si>
  <si>
    <t xml:space="preserve">SANCHEZ VALQUI EGNER </t>
  </si>
  <si>
    <t>DIAZ NOLASCO EILEN JOANNE</t>
  </si>
  <si>
    <t>GONGORA DE CHAPPA BERTILA</t>
  </si>
  <si>
    <t>SANCHEZ ALBERCA GABY</t>
  </si>
  <si>
    <t>IBERICO PORTOCARRERO MARCO ANTONIO</t>
  </si>
  <si>
    <t xml:space="preserve">BRINDAR SERVICIOS EB LA EJECUCION DE LA PROPUESTA PRODUCTIVA </t>
  </si>
  <si>
    <t>MONTEZA SALDAÑA YESSICA LIZBETH</t>
  </si>
  <si>
    <t>MED. VETERINARIO</t>
  </si>
  <si>
    <t>ALBUJAR GAVIDIA CINTHYA HAYDEE</t>
  </si>
  <si>
    <t>BACH. EN CONTABILIDAD</t>
  </si>
  <si>
    <t>CACERES RIOS LLURY CENID</t>
  </si>
  <si>
    <t>BRINDAR SERVICIOS EN LA SGOMP</t>
  </si>
  <si>
    <t>GONZALES GUEVARA EMILIO JAVIER</t>
  </si>
  <si>
    <t>SAUCEDO BARDALES JESSICA CARMENCITA</t>
  </si>
  <si>
    <t>ING. AMBIENTAL</t>
  </si>
  <si>
    <t>VALLE GOMEZ LLONI</t>
  </si>
  <si>
    <t>CUBAS SANCHEZ EDWIN BRANLY</t>
  </si>
  <si>
    <t>CALAMPA MAS EINER</t>
  </si>
  <si>
    <t>LAPIZ PINEDO HERSEN</t>
  </si>
  <si>
    <t>BACH. EN ING. AGROINDUSTRIAL</t>
  </si>
  <si>
    <t>ABANTO ROJAS JHAILER</t>
  </si>
  <si>
    <t>SANCHEZ ALVARADO JHORDY</t>
  </si>
  <si>
    <t>LLAJA COTRINA ALEX MILTON</t>
  </si>
  <si>
    <t>PORTOCARRERO DIAZ LLENER JARLY</t>
  </si>
  <si>
    <t>BACH. EN ING. ZOOTECNISTA</t>
  </si>
  <si>
    <t>VILCHEZ ORTIZ MAX HARRISON</t>
  </si>
  <si>
    <t>RAMIREZ TAPIA LAYNES</t>
  </si>
  <si>
    <t>RUMICHE OBLITAS GUILLERMO DAVID</t>
  </si>
  <si>
    <t>JAVE ESCOBEDO NEILL FRANZ</t>
  </si>
  <si>
    <t>TRIGOSO CHUIMES MARIA SONY</t>
  </si>
  <si>
    <t>ZAVALETA DETQUIZAN JAVIER</t>
  </si>
  <si>
    <t xml:space="preserve">VEGA PORTAL EDINSON </t>
  </si>
  <si>
    <t>09678486</t>
  </si>
  <si>
    <t>TORRES HIDALGO HENRY IVANOV</t>
  </si>
  <si>
    <t xml:space="preserve">CHICHIPE SIGUEÑAS FRANCISCO </t>
  </si>
  <si>
    <t xml:space="preserve">VALQUI GONZALES JULIO CESAR </t>
  </si>
  <si>
    <t>ZELADA GALLARDO ROXANA ELIZABETH</t>
  </si>
  <si>
    <t>QUINTANA VIZCARRA JHOEL ANTONIO</t>
  </si>
  <si>
    <t>MALQUI RIOS JAVIER HERBI</t>
  </si>
  <si>
    <t>MENDOZA VILCA TONY BRADY</t>
  </si>
  <si>
    <t>BALCAZAR LLAQUE LUCIA GUADALUPE</t>
  </si>
  <si>
    <t>TECNICO EN DISEÑO GRAFICO</t>
  </si>
  <si>
    <t>SILVA GOÑAS DARWIN</t>
  </si>
  <si>
    <t>YAGKUG PIJUSHKUN JEREMIAS</t>
  </si>
  <si>
    <t>LLAJA ZELADA ROGER</t>
  </si>
  <si>
    <t>VEGA ZAMORA RICARDO</t>
  </si>
  <si>
    <t>LOPEZ MAS EDWIN JAVIER</t>
  </si>
  <si>
    <t>BARDALES ZABALETA WILLIE FRANK</t>
  </si>
  <si>
    <t xml:space="preserve">LLAJA DIAZ ROMINA DE JESUS </t>
  </si>
  <si>
    <t>HUAMAN REYNOSO BERNARDO ABAD</t>
  </si>
  <si>
    <t>POCLIN TOMANGUILLA MARIELA</t>
  </si>
  <si>
    <t>BACH. EN ARQUITECTURA</t>
  </si>
  <si>
    <t>JIMENEZ ALVARADO EDWIN</t>
  </si>
  <si>
    <t>BRINDAR SERVICIOS EN LA UNIDAD FORMULADORA -SGE</t>
  </si>
  <si>
    <t>ESTELA BARRERA JOSLIN HIPOLITO</t>
  </si>
  <si>
    <t>JARA ROJAS FRANK EDISON</t>
  </si>
  <si>
    <t>BACH. EN ING. EN INDUSTRIAL ALIMENTARIAS</t>
  </si>
  <si>
    <t>DELGADO DELGADO NORVIL ALFONSO</t>
  </si>
  <si>
    <t>BACH. EN EDUCACION</t>
  </si>
  <si>
    <t>CABAÑAS SILVA MAYRA ALEJANDRA</t>
  </si>
  <si>
    <t>LIC. EN PERIODISMO</t>
  </si>
  <si>
    <t>BRINDAR SERVICIOS EN LA ORDNGRD</t>
  </si>
  <si>
    <t>CORONEL BOCANEGRA JUNIOR ALEXANDER</t>
  </si>
  <si>
    <t>RODRIGUEZ CALAMPA NELSON YOHEL</t>
  </si>
  <si>
    <t>GRANDEZ VARGAS KATY ISABEL</t>
  </si>
  <si>
    <t>SALAS CARRANZA ENRIQUE IVAN</t>
  </si>
  <si>
    <t>PUSCAN GUIOP CALIXTO FISHER</t>
  </si>
  <si>
    <t>MIRANDA FALEN LUIS ENRIQUE</t>
  </si>
  <si>
    <t>HOYOS RAMOS KIZZY</t>
  </si>
  <si>
    <t>ING. EN ECOTURISMO</t>
  </si>
  <si>
    <t xml:space="preserve">BRINDAR SERVICIOS EN EL AREA DE BIENESTAR SOCIAL </t>
  </si>
  <si>
    <t>BAZAN OCAMPO CYNTHIA SUZZETTE</t>
  </si>
  <si>
    <t xml:space="preserve">CIRUJANO DENTISTA </t>
  </si>
  <si>
    <t>BRINDAR SERVICIOS EN EL AREA DE CONSERVACION REGIONAL VISTA ALEGRE OMIA</t>
  </si>
  <si>
    <t>CAMPOS FLORES JOEL ALEX</t>
  </si>
  <si>
    <t xml:space="preserve">BRINDAR SERVICIOS EN LA DRP </t>
  </si>
  <si>
    <t>MENDOZA GUERRA JUVER</t>
  </si>
  <si>
    <t>BRINDAR SERVICIOS EN LA OFICINA REGIONAL DE PROCOMPITE</t>
  </si>
  <si>
    <t xml:space="preserve">VASQUEZ GARCIA JHEINER </t>
  </si>
  <si>
    <t>ESPINOZA HORNA DAVID FRANCISCO</t>
  </si>
  <si>
    <t>BRINDAR SERVICIOS EN LA SGDITI</t>
  </si>
  <si>
    <t xml:space="preserve">OCMIN MORI ANDY </t>
  </si>
  <si>
    <t>BRINDAR SERVICIOS EN LA OT</t>
  </si>
  <si>
    <t>FERNANDEZ DIAZ FLOR HERMELINDA</t>
  </si>
  <si>
    <t>BRINDAR SERVICIOS EN LA GRDS</t>
  </si>
  <si>
    <t xml:space="preserve">SANCHEZ SILVA JORGE LUIS </t>
  </si>
  <si>
    <t>HERNANDEZ MARCELO KENY NEYSSER</t>
  </si>
  <si>
    <t xml:space="preserve">GRANDEZ SALDAÑA KARMITA </t>
  </si>
  <si>
    <t>BRINDAR SERVICIOS EN LA OFICINA DE COOPERACION TECNICA INTERNACIONAL</t>
  </si>
  <si>
    <t>CHICHIPE GUABLOCHO ABEL</t>
  </si>
  <si>
    <t>BRINDAR SERVICIOS EN LA GRI</t>
  </si>
  <si>
    <t xml:space="preserve">SANCHEZ MUÑOZ MARICELA DEL CARMEN </t>
  </si>
  <si>
    <t>CRUZADO PUENTE CESAR ARTURO</t>
  </si>
  <si>
    <t>SANCHEZ SANCHEZ JORDY NILSON</t>
  </si>
  <si>
    <t>BACH. EN INGENIERIA AMBIENTAL</t>
  </si>
  <si>
    <t xml:space="preserve">CASTILLO SANCHEZ FELIPE </t>
  </si>
  <si>
    <t>DIAZ CHUQUIPIONDO LOIDI NORIBEL</t>
  </si>
  <si>
    <t>DIAZ CHAVEZ EDDIE SANTIAGO</t>
  </si>
  <si>
    <t xml:space="preserve">VILLEGAS BARRERA OSCAR </t>
  </si>
  <si>
    <t xml:space="preserve">BEJARANO LLAJA WILMER </t>
  </si>
  <si>
    <t xml:space="preserve">BRINDAR SERVICIOS COMO COORDINADOR BINACIONAL PERU - ECUADOR </t>
  </si>
  <si>
    <t>AHUMADA CASTAÑEDA YEUDI</t>
  </si>
  <si>
    <t xml:space="preserve">LIC. EN EDUCACION </t>
  </si>
  <si>
    <t xml:space="preserve">AÑAZCO CHAVEZ HUBER </t>
  </si>
  <si>
    <t xml:space="preserve">COLLANTES CULQUI OLEGARIO </t>
  </si>
  <si>
    <t>LIC. EN ADMINISTRACION DE EMPRESAS</t>
  </si>
  <si>
    <t>LOPEZ HERRERA HELAR OSMER</t>
  </si>
  <si>
    <t>CARRION VILLACREZ DE BARRIOS KARIN TERESA</t>
  </si>
  <si>
    <t>DIAZ CHAVEZ NILTON</t>
  </si>
  <si>
    <t xml:space="preserve">CONTRERAS JUAREZ HENRY VILMAN </t>
  </si>
  <si>
    <t>ING. ELECTROMECANICA</t>
  </si>
  <si>
    <t>MOLLA OCMIN PEDRO</t>
  </si>
  <si>
    <t>TAFUR ROJAS DEYMER ANIBAL</t>
  </si>
  <si>
    <t>BRINDAR SERVICIOS EN LA EX ESCUELA DE BELLAS ARTES</t>
  </si>
  <si>
    <t xml:space="preserve">DIAZ VASQUEZ CLINTON TEDY </t>
  </si>
  <si>
    <t>BRINDAR SERViCIOS EN LA SGOMP</t>
  </si>
  <si>
    <t>LOPEZ SANCHEZ EVERCIO VIRGILIO</t>
  </si>
  <si>
    <t>CHAVEZ VALDIVIA RUDY GINO</t>
  </si>
  <si>
    <t>HUAMAN PADILLA URBANO</t>
  </si>
  <si>
    <t xml:space="preserve">LLAVE SANTILLAN PALMER </t>
  </si>
  <si>
    <t>TARRILLO ZAPATA ELVER</t>
  </si>
  <si>
    <t>LIC. EN ADMINISTRACION Y FINANZAS</t>
  </si>
  <si>
    <t>TAFUR CHAVEZ JULIO ADALICIO</t>
  </si>
  <si>
    <t>MELENDEZ INGA CELSO</t>
  </si>
  <si>
    <t xml:space="preserve">BRINDAR SERVICIOS EN LA ALDEA INFANTIL </t>
  </si>
  <si>
    <t xml:space="preserve">RAMOS GONGORA MIRTA </t>
  </si>
  <si>
    <t xml:space="preserve">REBAZA CHUMACERO LUIS ALEXANDER </t>
  </si>
  <si>
    <t>BRINDAR SERVICIOS EN LA SGPYAT</t>
  </si>
  <si>
    <t xml:space="preserve">DOMINGUEZ BOCANEGRA TITO </t>
  </si>
  <si>
    <t>ARQUITECTO</t>
  </si>
  <si>
    <t xml:space="preserve">ALEJOS ARISTA RAUL </t>
  </si>
  <si>
    <t>CHUQUIZUTA CHUQUIZUTA MEDALIT</t>
  </si>
  <si>
    <t>LIC. EN TURISMO Y ADMINISTRACION</t>
  </si>
  <si>
    <t>MORE TOCTO ANDRES AVELINO</t>
  </si>
  <si>
    <t>TEC. EN PRODUCCION AGROPECUARIA</t>
  </si>
  <si>
    <t>ACUÑA PEDRAZA JORGE RICHAR</t>
  </si>
  <si>
    <t>HERNANDEZ NIMBOMA  NEISER ERIK</t>
  </si>
  <si>
    <t>BRINDAR SERVICIOS EN LA DREM</t>
  </si>
  <si>
    <t>ZAVALETA VELA COSME DAMIAN</t>
  </si>
  <si>
    <t>HUAMAN MEJIA MARIO CRISTIAN</t>
  </si>
  <si>
    <t>ZUMAETA RAMOS STEFANY ROSSELYN</t>
  </si>
  <si>
    <t>CUBAS DIAZ NILCER ORLANDO</t>
  </si>
  <si>
    <t>FLORIANO HURTADO ELKIN ABEL</t>
  </si>
  <si>
    <t>LIC.EN CIENCIAS DE LA COMUNICACIÓN</t>
  </si>
  <si>
    <t xml:space="preserve">REMAICUNA BARBOZA JAIME </t>
  </si>
  <si>
    <t>SANCHEZ CACERES JOSE MILTON</t>
  </si>
  <si>
    <t>BRINDAR SERVICIOS EN LA OF DE COOPERACION TECNICA INTERNACIONAL</t>
  </si>
  <si>
    <t>JULON CENTURION JUAN ELIVELTON</t>
  </si>
  <si>
    <t>BACH. EN TURISMO Y ADMINISTRACION</t>
  </si>
  <si>
    <t>BRINDAR SERVICIOS EN EL CENTRO PISCICOLA MOLINOPAMPA</t>
  </si>
  <si>
    <t>SANCHEZ JARA JUNNIOR ALEXANDER</t>
  </si>
  <si>
    <t>LIC. EN BIOLOGIA</t>
  </si>
  <si>
    <t>SANCHEZ ABANTO LUIS HILDELMARO</t>
  </si>
  <si>
    <t>TAUMA VALQUI SUSSY VANESA</t>
  </si>
  <si>
    <t xml:space="preserve">MUÑOZ YALTA JORGE LUIS </t>
  </si>
  <si>
    <t>06179932</t>
  </si>
  <si>
    <t>TORREJON SANCHEZ GUILLERMO</t>
  </si>
  <si>
    <t>MUÑOZ MARIN MARIO MILER</t>
  </si>
  <si>
    <t>DIAZ TORO KATHERIN JULIANA</t>
  </si>
  <si>
    <t>SERVAN LOPEZ MARLON</t>
  </si>
  <si>
    <t>TERAN REATEGUI ASUNTA VICTORIA</t>
  </si>
  <si>
    <t>PERIODISTA</t>
  </si>
  <si>
    <t>GUTIERREZ TORREJON DELI ISABETH</t>
  </si>
  <si>
    <t>BRINDAR SERVICIOS EN LA SEDE DEL GRA</t>
  </si>
  <si>
    <t>MENDOZA HUAMAN ELFERES</t>
  </si>
  <si>
    <t>OLIVA CRUZ JOSE DEL CARMEN</t>
  </si>
  <si>
    <t>PORTOCARRERO BAZAN EMMER</t>
  </si>
  <si>
    <t>CRUZ HUAMAN LEIDITH</t>
  </si>
  <si>
    <t>BACH. EN ADMINISTRACION DE EMPRESAS</t>
  </si>
  <si>
    <t>HUAMAN REYNA JESUS ESPERANZA</t>
  </si>
  <si>
    <t>VALDIVIA RODRIGUEZ CESAR AUGUSTO</t>
  </si>
  <si>
    <t>CUBAS FUENTES SEGUNDO EDINSSON</t>
  </si>
  <si>
    <t>PORTOCARRERO LABAJOS MAGALY</t>
  </si>
  <si>
    <t>VELASQUEZ PERALTA JUAN FELIX</t>
  </si>
  <si>
    <t>DIAZ CHAVEZ YESSICA NEILIT</t>
  </si>
  <si>
    <t>BACH. EN COMUNICACIÓN SOCIAL</t>
  </si>
  <si>
    <t>CRUZ LOPEZ ALAN</t>
  </si>
  <si>
    <t xml:space="preserve">COORDINADOR AMBIENTALISTA DE OBRAS </t>
  </si>
  <si>
    <t>RIOS DIAZ GABY ARACELI</t>
  </si>
  <si>
    <t>SUPERVISOR EN EL PROYECTO</t>
  </si>
  <si>
    <t>MONDRAGON PUELLES SANTOS</t>
  </si>
  <si>
    <t>SANDOVAL TRUJILLO KATHERINE DIANA</t>
  </si>
  <si>
    <t xml:space="preserve">TEJEDA ACEDO PERCY OMAR </t>
  </si>
  <si>
    <t>09881301</t>
  </si>
  <si>
    <t xml:space="preserve">LOPEZ CALDERON CRUZ MARINA </t>
  </si>
  <si>
    <t xml:space="preserve">CAMAN MENDOZA VICTOR FRANCISCO </t>
  </si>
  <si>
    <t>ALVARADO VARGAS LISBEIDI</t>
  </si>
  <si>
    <t>BRINAR SERVICIOS EN LA DIRECCION DEL AR</t>
  </si>
  <si>
    <t>MACALOPU MARCELO MARIANELA TOMASA</t>
  </si>
  <si>
    <t>MEZA PEZO LADY HARLEY</t>
  </si>
  <si>
    <t>PEREZ CONTRERAS MAGYORI LIZBETT</t>
  </si>
  <si>
    <t xml:space="preserve">DEL AGUILA SABOYA GIANNINA </t>
  </si>
  <si>
    <t>GUEVARA MALQUE CLEMENTINA</t>
  </si>
  <si>
    <t>GUARNIZO MIRANDA BETTY LEONOR</t>
  </si>
  <si>
    <t>LIC. EN EDUCACION</t>
  </si>
  <si>
    <t xml:space="preserve">ROSILLO COTRINA JUAN RAFAEL </t>
  </si>
  <si>
    <t>ING. INFORMATICO Y DE SISTEMAS</t>
  </si>
  <si>
    <t>VASQUEZ VARGAS JENNYFER ANDREA</t>
  </si>
  <si>
    <t>LIC. EN ADMINISTRACION Y NEGOCIOS INTERNACIONALES</t>
  </si>
  <si>
    <t>ZUMAETA HORNA NORI</t>
  </si>
  <si>
    <t>BRINDAR SERVICIOS EN OFICINA DE PROCOMPITE</t>
  </si>
  <si>
    <t>CUBAS SANCHEZ NILSON</t>
  </si>
  <si>
    <t>SALAZAR CIEZA NILDER JAMES</t>
  </si>
  <si>
    <t>CAMPOS DIAZ ELMER ERNAN</t>
  </si>
  <si>
    <t xml:space="preserve">VERA BAZAN ELMER </t>
  </si>
  <si>
    <t>VASQUEZ PEÑA RUBEN EDUARDO</t>
  </si>
  <si>
    <t>ING. QUIMICO</t>
  </si>
  <si>
    <t>TAFUR CALLIRGOS TANIA ELIZABETH</t>
  </si>
  <si>
    <t>ING. DE SISTEMAS</t>
  </si>
  <si>
    <t>TRUJILLO BARRERA MGUEL ANGEL</t>
  </si>
  <si>
    <t>GOÑAS PINEDO OSTERLIN</t>
  </si>
  <si>
    <t>BACH. EN INGENIERIA ZOOTECNISTA</t>
  </si>
  <si>
    <t>LOZADA VALLE WILDER</t>
  </si>
  <si>
    <t>MAS BACALLA AMANCIO</t>
  </si>
  <si>
    <t xml:space="preserve">CASTILLO CASTILLO VICTOR </t>
  </si>
  <si>
    <t>TECNICO AGROPECUARIO</t>
  </si>
  <si>
    <t xml:space="preserve">CAMPOS URTEAGA JOSE VICTOR </t>
  </si>
  <si>
    <t>ING. MECANICO</t>
  </si>
  <si>
    <t>BRINDAR SERVICIOS EN LA UNIDAD DE TECNOLOGIA DE LA INFORMACION</t>
  </si>
  <si>
    <t>COTRINA REAÑO CARLOS ALBERTO</t>
  </si>
  <si>
    <t>INGENIERO DE SISTEMAS</t>
  </si>
  <si>
    <t>MUÑOZ RODRIGUEZ KELITA YANETH</t>
  </si>
  <si>
    <t>HORNA GUIOP ISELDA</t>
  </si>
  <si>
    <t>HUAMAN ORDOÑEZ LUIS ALBERTO</t>
  </si>
  <si>
    <t>DIAZ INFANTE ESMERIA LUISA</t>
  </si>
  <si>
    <t>LEYVA DE RAMIREZ ANITA ROSARIO</t>
  </si>
  <si>
    <t>MORE SALAZAR ROGER ENGELS</t>
  </si>
  <si>
    <t>BACH. EN INGENIERIA INFORMATICA  Y DE SISTEMAS</t>
  </si>
  <si>
    <t>CORTEZ HUMAN JHESI CATERINE</t>
  </si>
  <si>
    <t>DIAZ VILLACORTA ANDERSON</t>
  </si>
  <si>
    <t>CARO MENDOZA DORALI</t>
  </si>
  <si>
    <t>LIC. EN EDUCACION SECUNDARIA</t>
  </si>
  <si>
    <t>COLLAZOS ALARCON FOLGER MAXIMO</t>
  </si>
  <si>
    <t>CACHAY GUELAC ELISA</t>
  </si>
  <si>
    <t>CACERES CRUZ LUIS ANDERSON</t>
  </si>
  <si>
    <t>BACH. EN INGENIERIA EN AGRONEGOCIOS</t>
  </si>
  <si>
    <t>ESCOBEDO AVALOS MICHEL JUNIOR</t>
  </si>
  <si>
    <t>09938682</t>
  </si>
  <si>
    <t>ZORRILLA BRAVO JUAN</t>
  </si>
  <si>
    <t>TUESTA ALBARADO ROYSER MANUEL</t>
  </si>
  <si>
    <t>TECNICO TOPOGRAFO</t>
  </si>
  <si>
    <t>COORDINADOR DEL PROYECTO</t>
  </si>
  <si>
    <t>MURGA VALDERRAMA VICTOR ALAIN</t>
  </si>
  <si>
    <t>ADMINISTRACION DE EMPRESAS</t>
  </si>
  <si>
    <t xml:space="preserve">CARO TUESTA ANITA MERCEDES </t>
  </si>
  <si>
    <t>AREVALO COLLANTES RICARDO</t>
  </si>
  <si>
    <t xml:space="preserve">VILLALOBOS HERNANDEZ RONALD JAMES </t>
  </si>
  <si>
    <t>CHAVEZ ABANTO JUAN SEGUNDO</t>
  </si>
  <si>
    <t xml:space="preserve">RAMOZ ANGULO FIDEL ALEJANDRO </t>
  </si>
  <si>
    <t>BACH. EN INGENIERIA AGROINDUSTRIAL</t>
  </si>
  <si>
    <t>SANCHEZ QUINTANILLA KEVIN XAVIER</t>
  </si>
  <si>
    <t>SANTILLAN PORTOCARRERO JHEFFERSON</t>
  </si>
  <si>
    <t xml:space="preserve">MEJIA CUSMA MONICA YVONNE </t>
  </si>
  <si>
    <t>07618743</t>
  </si>
  <si>
    <t>AMPUERO ARANA ANDERSON ALFONSO</t>
  </si>
  <si>
    <t>BACH. EN CIENCIAS DE LA COMUNICACIÓN</t>
  </si>
  <si>
    <t xml:space="preserve">RAMOS FIGUEROA RONAL </t>
  </si>
  <si>
    <t>JIMENEZ ZELADA LORENA LEONOR</t>
  </si>
  <si>
    <t>BRINDAR SERVICIOS EN LA SGPTO</t>
  </si>
  <si>
    <t>AGUINAGA TORRES LUZ LUCERO</t>
  </si>
  <si>
    <t>SANTISTEBAN SUCLUPE ROXANA</t>
  </si>
  <si>
    <t>TECNICA EN LABORATORIO CLINICO</t>
  </si>
  <si>
    <t>DIAZ ALVA LUIS ANTONIO</t>
  </si>
  <si>
    <t>VILCHEZ MONTENEGRO FRANCISCO JAHIR</t>
  </si>
  <si>
    <t>TUESTA MAGALLAN NILSER ALDAIR</t>
  </si>
  <si>
    <t>MORI VALDIVIA JHENNY BANESA</t>
  </si>
  <si>
    <t>BRINDAR SERVICIOS EN EL TALLER DENOMINADO VACACIONES DIVERTIDAS</t>
  </si>
  <si>
    <t>PIZARRO MENDOZA JORGE LUIS</t>
  </si>
  <si>
    <t>KUNCHIKUI AKUTS JUANITO</t>
  </si>
  <si>
    <t xml:space="preserve">BACH. EN CIENCIAS FORESTALES </t>
  </si>
  <si>
    <t>QUIROZ MENDOZA CESAR WILLAN</t>
  </si>
  <si>
    <t>PORTOCARRERO TAFUR LUCY MARLITH</t>
  </si>
  <si>
    <t>HUAMAN GUERRERO MARLENI</t>
  </si>
  <si>
    <t>GUERRERO RAFAEL VICKY MAGALY</t>
  </si>
  <si>
    <t>BACH. EN TURISMO Y NEGOCIOS</t>
  </si>
  <si>
    <t>MORENO ADRIANZEN EDSON</t>
  </si>
  <si>
    <t>AMPUERO TUESTA JIMMY ALFONSO</t>
  </si>
  <si>
    <t>ING. MECANICO ELECTRICISTA</t>
  </si>
  <si>
    <t>BRINDAR ATLLER DENOMINADO VACACIONES DIVERTIDAS</t>
  </si>
  <si>
    <t>RIVERA PAICO FREDY MAXIMO</t>
  </si>
  <si>
    <t>TEC. EN GASTRONOMIA Y ARTE CULINARIO</t>
  </si>
  <si>
    <t>LOPEZ HIDALGO JOYCE MIRIENNY</t>
  </si>
  <si>
    <t>HUAMAN MAS ROMULO</t>
  </si>
  <si>
    <t>TORRES TELLO GROVER FRANK</t>
  </si>
  <si>
    <t>ROJAS PUERTA LLONI</t>
  </si>
  <si>
    <t xml:space="preserve">MENDOZA MARIN JHOEL </t>
  </si>
  <si>
    <t xml:space="preserve">MORE TOCTO JOSE LUIS </t>
  </si>
  <si>
    <t>SAAVEDRA ORNA JUANA</t>
  </si>
  <si>
    <t xml:space="preserve">BUSTOS GUIOP ALEXANDER </t>
  </si>
  <si>
    <t>BRINDAR SERVICIOS EN LA OFICINA DE OAP</t>
  </si>
  <si>
    <t>CAMAN TORRES MARIBEL</t>
  </si>
  <si>
    <t>BACH. EN CIENCIAS DE LA EDUCACION</t>
  </si>
  <si>
    <t>MIRANO MAS MILTON</t>
  </si>
  <si>
    <t>PROFESOR DE EDUCACION FISICA</t>
  </si>
  <si>
    <t>BRINDAR SERVICIOS EN LA UNIDAD FORMULADORA - GRDE</t>
  </si>
  <si>
    <t>GONZALES SEGURA JUAN GABRIEL</t>
  </si>
  <si>
    <t>BACH. EN INGENIERIA AGRICOLA</t>
  </si>
  <si>
    <t>GOÑAS MENDOZA MIXSY</t>
  </si>
  <si>
    <t>DELGADO TARRILLO MARIA LUZ</t>
  </si>
  <si>
    <t>SALDARRIAGA SAUCEDO SERGIO JAVIER</t>
  </si>
  <si>
    <t>CAMPOS VILCARROMERO JESSICA SARITA</t>
  </si>
  <si>
    <t>ING. ECONOMISTA</t>
  </si>
  <si>
    <t>OCLOCHO MINCHAN GINA MILAGROS</t>
  </si>
  <si>
    <t xml:space="preserve">JIMENEZ ALBERCA ELSER </t>
  </si>
  <si>
    <t>PLASENCIA MERINO SANTOS ENRIQUE</t>
  </si>
  <si>
    <t xml:space="preserve">ASPILLAGA BANCES JOSE ENRIQUE </t>
  </si>
  <si>
    <t>TEC. EN ADMINISTRACION DE PEPRSONAL</t>
  </si>
  <si>
    <t>BRINDAR SERVICIOS EN LA GARA</t>
  </si>
  <si>
    <t>CACERES MEDINA GABY NATALIA</t>
  </si>
  <si>
    <t>PORTOCARRERO TUESTA NAURY YSABEL</t>
  </si>
  <si>
    <t xml:space="preserve">CHUQUIPIONDO MUÑOZ CARMELA </t>
  </si>
  <si>
    <t xml:space="preserve">BRICEÑO MELENDEZ EDINSON </t>
  </si>
  <si>
    <t xml:space="preserve">MENDOZA DIAZ LILIANA </t>
  </si>
  <si>
    <t>CASTRO PIZARRO MARLITA</t>
  </si>
  <si>
    <t>LIC. EN EDUCACION INICIAL</t>
  </si>
  <si>
    <t>ZAGACETA CRUZ MIRTHA LICETH</t>
  </si>
  <si>
    <t>PIEROLA CHUQUIPIONDO ENY</t>
  </si>
  <si>
    <t>TECNICO EN ENFERMERIA</t>
  </si>
  <si>
    <t xml:space="preserve">VALDIVIA MEZA SONIA VICTORIA </t>
  </si>
  <si>
    <t>PROFESOR DE EDUCACION SECUNDARIA</t>
  </si>
  <si>
    <t>PILCO DIAZ PERCY</t>
  </si>
  <si>
    <t xml:space="preserve">GONZALES DIAZ JOSE LUIS </t>
  </si>
  <si>
    <t xml:space="preserve">ROJAS GASCO JOSE LUIS </t>
  </si>
  <si>
    <t xml:space="preserve">COTRINA PASTOR WIDENER </t>
  </si>
  <si>
    <t>HUAMAN VALLE AMPARITO</t>
  </si>
  <si>
    <t>CABOS CARRERA DOMINGO</t>
  </si>
  <si>
    <t>MEJIA TOCTO MILTON</t>
  </si>
  <si>
    <t>BRINDAR SERVICIOS EN LA DEGA</t>
  </si>
  <si>
    <t>LA TORRE VELA LLEYLI MAYGOLITH</t>
  </si>
  <si>
    <t>CHUQUI ZUTA NOEMI</t>
  </si>
  <si>
    <t>PROFESOR DE EDUCACION PRIMARIA</t>
  </si>
  <si>
    <t xml:space="preserve">AGUILAR FARJE EDGAR </t>
  </si>
  <si>
    <t>PROFESOR DE EDUCACION ARTISTICA</t>
  </si>
  <si>
    <t>LULIQUIS HUAMAN OFELIA</t>
  </si>
  <si>
    <t>BACH. COMPLEMENTARIO EN ARTE</t>
  </si>
  <si>
    <t>FRIAS CHAVEZ DAVID EDUARDO</t>
  </si>
  <si>
    <t>ARTISTA PROFESIONAL EN PINTURA</t>
  </si>
  <si>
    <t>VAELLA CARBAJAL JOSE RODRIGO</t>
  </si>
  <si>
    <t>ROBLES OLIVA CARLOS ARTURO</t>
  </si>
  <si>
    <t>GAMONAL FERNANDEZ ANA KARENINA</t>
  </si>
  <si>
    <t>NEIRA CRUZ NELY YOHANA</t>
  </si>
  <si>
    <t xml:space="preserve">EPIQUIEN RODRIGUEZ LENIN </t>
  </si>
  <si>
    <t>CARRASCO OLIVERA LEONCIO</t>
  </si>
  <si>
    <t xml:space="preserve">RESPONSABLE DE LA UNIDAD DE GESTION ADMINISTRATIVA DE CONTRATOS </t>
  </si>
  <si>
    <t>MOREY MIRANO SEGUNDO FRANCISCO</t>
  </si>
  <si>
    <t>COORDINADOR PARA EL PROYECTO</t>
  </si>
  <si>
    <t>SALDAÑA BENAVIDES EXEQUIEL</t>
  </si>
  <si>
    <t>POMPA SILVA DALEMBERT</t>
  </si>
  <si>
    <t>FERNANDEZ CUBAS HENRY OMAR</t>
  </si>
  <si>
    <t>ING.FORESTAL</t>
  </si>
  <si>
    <t>NUÑEZ PASTOR PAUL MARCEL</t>
  </si>
  <si>
    <t>BACH. EN CIENCIAS FORESTALES</t>
  </si>
  <si>
    <t>SALAS PEREZ KENNY YOSMITH</t>
  </si>
  <si>
    <t>TAFUR BARDALES LILIANA MERCEDES</t>
  </si>
  <si>
    <t>NERIA CRUZ NELLY YOHANA</t>
  </si>
  <si>
    <t>TEC. EN COMPUTACION E INFORMATICA</t>
  </si>
  <si>
    <t>BECERRA URIARTE MERLY NOEMI</t>
  </si>
  <si>
    <t>CARHUATOCTO CHULLY EFRAIN</t>
  </si>
  <si>
    <t>COTRINA SANCHEZ DANY ALEXANDER</t>
  </si>
  <si>
    <t>GAMARRA NIETO JOSE EMILIO</t>
  </si>
  <si>
    <t>ODAR ANCAJIMA CHRISTIAN ANTHONY</t>
  </si>
  <si>
    <t>BACH. EN ING.CIVIL</t>
  </si>
  <si>
    <t xml:space="preserve">GOMEZ ECHAIZ ELITA MERCEDES </t>
  </si>
  <si>
    <t>PEREYRA DEL CASTILLO MAX JONATHAN</t>
  </si>
  <si>
    <t xml:space="preserve">SALDAÑA NUÑEZ JOHN HILMER </t>
  </si>
  <si>
    <t>RABANAL CHAVEZ ARROYO LAINES</t>
  </si>
  <si>
    <t>MEDINA FERNANDEZ GABRIEL EDUARDO</t>
  </si>
  <si>
    <t>TACILLA MEGO MIRTON</t>
  </si>
  <si>
    <t>BRINDAR SERVICIOS EN LA OFICINA DESCENTRALIZADA DE LA SGE</t>
  </si>
  <si>
    <t xml:space="preserve">VASQUEZ CIEZA JOSE EDERLI </t>
  </si>
  <si>
    <t>MOLOCHO AGUILAR ALEX FRANCISCO</t>
  </si>
  <si>
    <t>CARRANZA ALARCON NILSON</t>
  </si>
  <si>
    <t>FLORES HUAMAN INNGRID LIUSETH</t>
  </si>
  <si>
    <t>ARQUITECTA</t>
  </si>
  <si>
    <t>BRINDAR SERVICIOS EN LA VICE GOBERBACION</t>
  </si>
  <si>
    <t>FERNANDEZ CENTURION EDUARD</t>
  </si>
  <si>
    <t>LOZANO CORVERA VICTOR ANDRES</t>
  </si>
  <si>
    <t>PEREZ TORRES ALEX</t>
  </si>
  <si>
    <t xml:space="preserve">SEGURIDAD Y PROTECCION PERSONAL AL GOBERNADOR </t>
  </si>
  <si>
    <t>REATEGUI MELENDEZ ELVIS JOSUE</t>
  </si>
  <si>
    <t>BRINDAR SERVICIOS EN LA OFICINA REGIONAL DE ASESORIA JURIDICA</t>
  </si>
  <si>
    <t>VASQUEZ VELASQUEZ JANINA ANGELITA</t>
  </si>
  <si>
    <t>DAVILA VILLANUEVA RUBEN</t>
  </si>
  <si>
    <t>BRINDAR SERVICIOS EN LA EJECUCIO DE LA PROPUESTA PRODUCTIVA</t>
  </si>
  <si>
    <t>CORDOVA QUINDE WALTER</t>
  </si>
  <si>
    <t>PROFESIONAL TECNICO EN AGROPECUARIA</t>
  </si>
  <si>
    <t>VARGAS CHICANA JOHANNI ELIDA</t>
  </si>
  <si>
    <t>JULON RODRIGUEZ CYNTHIA MISHEL</t>
  </si>
  <si>
    <t>SANCHEZ DELGADO JHASELY</t>
  </si>
  <si>
    <t>SILVA ROJAS BILMA FLOR</t>
  </si>
  <si>
    <t>BACH. EN ING. CIVIL AMBIENTAL</t>
  </si>
  <si>
    <t>VILCA HUAMAN HUMBERTO</t>
  </si>
  <si>
    <t>ROJAS CHAPPA KENNY ROYER</t>
  </si>
  <si>
    <t>CRIOLLO CRUZ CARLOS CESAR</t>
  </si>
  <si>
    <t>BRINDAR SERVICIOS EN LA PPR</t>
  </si>
  <si>
    <t>BARANDIARAN JARA CARLOS ISIDRO</t>
  </si>
  <si>
    <t>PORTOCARRERO ARISTA ELDER FRANCISCO</t>
  </si>
  <si>
    <t>BRINDAR SERVICIOS EN LA OPMI</t>
  </si>
  <si>
    <t>GRANADOS ESPINOZA HAYDE</t>
  </si>
  <si>
    <t>ARANGO RODRIGUEZ JASON ERICK</t>
  </si>
  <si>
    <t>CHICCHON ALVA ZULY SELENE</t>
  </si>
  <si>
    <t>BRINDAR SERVICIOS EN DREM</t>
  </si>
  <si>
    <t>TOMANGUILLA ALVIS MAYLIT</t>
  </si>
  <si>
    <t>FERNANDEZ JERI JUAN ANTONIO</t>
  </si>
  <si>
    <t>GUERRERO PINEDO KATHERIN DEL PILAR</t>
  </si>
  <si>
    <t>CORDOVA SAAVEDRA LARISA</t>
  </si>
  <si>
    <t>BARDALES EPIQUIEN SUKER</t>
  </si>
  <si>
    <t>RUIZ LA TORRE JOVANI</t>
  </si>
  <si>
    <t xml:space="preserve">HORNA TAFUR EUGENIO </t>
  </si>
  <si>
    <t>HUAMAN SOPLA WILIAM CESAR</t>
  </si>
  <si>
    <t>CUBAS PEREZ SHELSEN JOEL</t>
  </si>
  <si>
    <t>BACH. EN ING. AMBIENTAL</t>
  </si>
  <si>
    <t>CHICANA GOMEZ LUIS</t>
  </si>
  <si>
    <t>ZUMAETA VASQUEZ LESLY MELISSA</t>
  </si>
  <si>
    <t>IN. EN INDUSTRIAS ALIMENTARIAS</t>
  </si>
  <si>
    <t>AGUILAR ALVARADO ROGER</t>
  </si>
  <si>
    <t>BRINDAR SERVICIOS EN LA OFICINA DE ASESORIA JURIDICA</t>
  </si>
  <si>
    <t xml:space="preserve">FERNANDEZ DAVILA ALFREDO VICTOR </t>
  </si>
  <si>
    <t>CARUAJULCA BERNAL HEDER OSBETH</t>
  </si>
  <si>
    <t>ESCALANTE ORTIZ LUCIA EMPERATRIZ</t>
  </si>
  <si>
    <t>CHAVEZ CHUQUIPIONDO LLESI YOBANA</t>
  </si>
  <si>
    <t>LICENCIADO EN ENFERMERIA</t>
  </si>
  <si>
    <t>QUINTANA ARISTA MIGUEL</t>
  </si>
  <si>
    <t>BUSTAMANTE BRENIS MELISA MEDALI DEL ROSARIO</t>
  </si>
  <si>
    <t>JIMENEZ GARCIA ALEXANDER</t>
  </si>
  <si>
    <t>ROJAS CARRASCO EVER</t>
  </si>
  <si>
    <t>LOZADA DIAZ CARLOS ALBERTO</t>
  </si>
  <si>
    <t>CONTRERAS CHAVEZ WILLIAM CIRO</t>
  </si>
  <si>
    <t>RONCEROS ACEVEDO ADOLFO ANDRE</t>
  </si>
  <si>
    <t>BACH. EN ECONOMIA</t>
  </si>
  <si>
    <t>CORNETERO MENDOZA MOISES ANTONIO</t>
  </si>
  <si>
    <t>ING. DE SISTEMAS Y COMPUTACION</t>
  </si>
  <si>
    <t>SOPLA VILCA LOIDI</t>
  </si>
  <si>
    <t>BACH. EN ENFERMERIA</t>
  </si>
  <si>
    <t>ESCOBEDO LEON SABY PILAR</t>
  </si>
  <si>
    <t>LIC. EN HOTELERIA Y TURISMO</t>
  </si>
  <si>
    <t>ORTIZ ROJAS VICTOR GUILLERMO</t>
  </si>
  <si>
    <t>ALVAREZ OCC JHONY ALEXANDER</t>
  </si>
  <si>
    <t>MILLONES CUMPA DAVID CHRIST</t>
  </si>
  <si>
    <t>ALTAMIRANO TORRES WILSON MERCEDES</t>
  </si>
  <si>
    <t>MORI PEREZ ARMANDO</t>
  </si>
  <si>
    <t xml:space="preserve">INGA GALOC RICHARD </t>
  </si>
  <si>
    <t>COORDINADOR PARA LA GRDS</t>
  </si>
  <si>
    <t>VASQUEZ MONTENEGRO SEGUNDO HERMINIO</t>
  </si>
  <si>
    <t>LIC. EN SOCIOLOGIA</t>
  </si>
  <si>
    <t xml:space="preserve">TORREJON CHAVEZ CARMILA MILAGROS </t>
  </si>
  <si>
    <t>ING. INDUSTRIAL</t>
  </si>
  <si>
    <t>LOPEZ DEL AGUILA CARMINA</t>
  </si>
  <si>
    <t xml:space="preserve">BACALLA CHAVEZ KLEYBER ALYN </t>
  </si>
  <si>
    <t>SAAVEDRA LLAMO FRESIA</t>
  </si>
  <si>
    <t xml:space="preserve">PAISIG PEREZ SAMUEL </t>
  </si>
  <si>
    <t>MALDONADO VILLANUEVA JHEISON PAOLO</t>
  </si>
  <si>
    <t>MARIN DAZA VICTOR HUGO</t>
  </si>
  <si>
    <t>VELASQUEZ RUMAY FATIMA CAROLINA</t>
  </si>
  <si>
    <t>INGA MUÑOZ JOSELITO JAMES</t>
  </si>
  <si>
    <t>BRINDAR SERVICIOS EN LA GGR</t>
  </si>
  <si>
    <t>RAMOS CARRASCO MARIA ROSA</t>
  </si>
  <si>
    <t>LIC. EN ADMINISTRACION PUBLICA</t>
  </si>
  <si>
    <t>LLUMPO CUMPA RUBEN</t>
  </si>
  <si>
    <t>ROMAN FLORES MARCIA ALEJANDRA</t>
  </si>
  <si>
    <t>YAHUARA ARREVALO ELSER</t>
  </si>
  <si>
    <t>RIVERA GUEVARA HANDER IVAN</t>
  </si>
  <si>
    <t>CHAPA GRANDEZ SALLY PATRICIA</t>
  </si>
  <si>
    <t>VILCHEZ PALOMINO JENNY ROCIO</t>
  </si>
  <si>
    <t>BACH. EN ING. AGRONOMICA</t>
  </si>
  <si>
    <t xml:space="preserve">CHUQUIMBALQUI BORBOR JHORDY </t>
  </si>
  <si>
    <t xml:space="preserve">QUINTANA JARAMILLO ERICSON ENFRAIM </t>
  </si>
  <si>
    <t>LEON MARTINEZ EVER ALEXANDER</t>
  </si>
  <si>
    <t>LINARES TARRILLO NEIDELINA</t>
  </si>
  <si>
    <t>DIAZ PORTOCARRERO DANNY MIRELY</t>
  </si>
  <si>
    <t xml:space="preserve">DIAZ URBINA LUIS ARTURO </t>
  </si>
  <si>
    <t>DURANGO CHAVEZ MANUEL ENRIQUE</t>
  </si>
  <si>
    <t>SILVA DIAZ JOSE JHAMPIERE</t>
  </si>
  <si>
    <t>BUSTAMANTE CHICHIPE SILER ANTONIO</t>
  </si>
  <si>
    <t>CASTAÑEDA QUIROZ ARMANDO</t>
  </si>
  <si>
    <t>CARRASCO ROJAS JHONATTAN JHAMPIER</t>
  </si>
  <si>
    <t xml:space="preserve">DIAZ MUÑOZ ASUNTA MILAGROS </t>
  </si>
  <si>
    <t>VEGA CHUQUIMBALQUI JHEYSON</t>
  </si>
  <si>
    <t xml:space="preserve">HERNANDEZ GONGORA LUZ MARINA </t>
  </si>
  <si>
    <t>CRUZADO YLATOMA LILIS CAMILO</t>
  </si>
  <si>
    <t>ARAUJO ALVARADO KAREN ELIZABETH</t>
  </si>
  <si>
    <t>DIAZ ESTELA TOMAS</t>
  </si>
  <si>
    <t xml:space="preserve">GUADALUPE VARGAS FLOR DE MARIA </t>
  </si>
  <si>
    <t>TEC. EN CONTABILIDAD</t>
  </si>
  <si>
    <t>ZUMAETA BARDALES LUIS ALEX</t>
  </si>
  <si>
    <t>VIGO ZUMAETA FELIX EDUARDO</t>
  </si>
  <si>
    <t>VERA JULON LEANDRO ALEXANDER</t>
  </si>
  <si>
    <t>SILVA AGAPITO DANILO</t>
  </si>
  <si>
    <t>BACH. EN MEDICINA VETERINARIA</t>
  </si>
  <si>
    <t>BENITES VELA EDSON RICARDO</t>
  </si>
  <si>
    <t>CHAVEZ DIAZ DANTE ORLANDO</t>
  </si>
  <si>
    <t>CONDUCTOR</t>
  </si>
  <si>
    <t>VEGA MIO TANILO YASNANI</t>
  </si>
  <si>
    <t>YRIGOIN DELGADO JORGE LUIS</t>
  </si>
  <si>
    <t>DIAZ MORI GAVINIA LILI</t>
  </si>
  <si>
    <t>SANCHEZ DELGADO JORGE ENRIQUE</t>
  </si>
  <si>
    <t>BACH. EN ING. DE SISTEMAS E INFORMATICA</t>
  </si>
  <si>
    <t>GUERRERO HERRERA JOSE MARIO</t>
  </si>
  <si>
    <t>TEC. EN AGROPECUARIA</t>
  </si>
  <si>
    <t xml:space="preserve">CHERO TARRILLO MARIA CLEMENCIA </t>
  </si>
  <si>
    <t>GARCIA VASQUEZ OLIVERES</t>
  </si>
  <si>
    <t>ALVARADO VILLARINO LIZ KAROL</t>
  </si>
  <si>
    <t>SECRETARIADO EJECUTIVO</t>
  </si>
  <si>
    <t>CABANILLAS GUERRA FERNANDO IVAN</t>
  </si>
  <si>
    <t>RAMOS RODRIGUEZ ROGER EDUARDO</t>
  </si>
  <si>
    <t>VELES CGUQUIMBALQUI LESLI YESENIA</t>
  </si>
  <si>
    <t>BACH. EN ING. DE AGRONEGOCIOS</t>
  </si>
  <si>
    <t>DIAZ AGUILAR MARKY ROMAN</t>
  </si>
  <si>
    <t>BRINDAR SERVICIOS EN EL AREA DE LOGISTICA DE LA ORDNGRD</t>
  </si>
  <si>
    <t>DAVILA BAUTISTA LLYSELA TRINIDAD</t>
  </si>
  <si>
    <t>LIC. EN MARKETING Y NEGOCIOS INTERNACIONALES</t>
  </si>
  <si>
    <t>CHAVEZ DAMACEN DORIZA</t>
  </si>
  <si>
    <t>VARGAS MELENDEZ KELY</t>
  </si>
  <si>
    <t>HERRERA LAURENCIO JOSE FELICIANO</t>
  </si>
  <si>
    <t>ING. DE MINAS</t>
  </si>
  <si>
    <t xml:space="preserve">SAAVEDRA GUZMAN LUIS ALONZO </t>
  </si>
  <si>
    <t>CABANILLAS RABANAL EDELIA YULIANA</t>
  </si>
  <si>
    <t xml:space="preserve">ALARCON DIAZ DIEGO ISMAEL </t>
  </si>
  <si>
    <t xml:space="preserve">CULQUI INGA LLENEL DAVID </t>
  </si>
  <si>
    <t>MARTINEZ PANTA JESUS OMAR</t>
  </si>
  <si>
    <t>MANTILLA VIGO MARJHURI ANALI</t>
  </si>
  <si>
    <t>AGUILAR VELA ELVER MICHEL</t>
  </si>
  <si>
    <t>DAVALOS COSAVALENTE RAFAEL EDGARDO</t>
  </si>
  <si>
    <t>GORDILLO VASQUEZ NILBER</t>
  </si>
  <si>
    <t>TEJADA BRIOSO NICOLAI ALVIN</t>
  </si>
  <si>
    <t>BRINDAR SERVICIOS EN LA GRPPYAT</t>
  </si>
  <si>
    <t>YOPLAC TORREJON DEYSI</t>
  </si>
  <si>
    <t>BACH. EN MARKETING Y DIRECCION DE EMPRESAS</t>
  </si>
  <si>
    <t>BAZAN RABANAL GINELA YESEBEL</t>
  </si>
  <si>
    <t xml:space="preserve">BRINDAR SERVICIOS EN LA DREM </t>
  </si>
  <si>
    <t>OLANO HIDALGO MILY CRISTINA</t>
  </si>
  <si>
    <t>DAMACEN VARGAS KAREN JANNINA</t>
  </si>
  <si>
    <t>USQUIZA CRUZ EISEN CARLOS</t>
  </si>
  <si>
    <t>VERA RAMOS MIGUEL ANGEL</t>
  </si>
  <si>
    <t>ZABALETA LOPEZ FARLEY</t>
  </si>
  <si>
    <t>YALTA CHAPPA MERBELITA</t>
  </si>
  <si>
    <t>GUEVARA ESCOBAR JOSE SANTOS</t>
  </si>
  <si>
    <t>BACH. EN ING. Y AGRONEGOCIOS</t>
  </si>
  <si>
    <t>VEGA MUÑOZ YULI</t>
  </si>
  <si>
    <t>CHAPPA GONGORA ANABELL</t>
  </si>
  <si>
    <t>DE LA CRUZ HURTADO AYDA</t>
  </si>
  <si>
    <t>LIMO APAGUEÑO PEDRO MARTIN</t>
  </si>
  <si>
    <t>SERVAN REYNA LLOMAR</t>
  </si>
  <si>
    <t>JIMENEZ LABAJOS RICHARD ISMAEL</t>
  </si>
  <si>
    <t xml:space="preserve">CASTRO LOZANO JESSICA PILAR </t>
  </si>
  <si>
    <t>FARROÑAN SANTISTEBAN VICTOR ALFONSO</t>
  </si>
  <si>
    <t>HUABLOCHO MAICELO KEYNER</t>
  </si>
  <si>
    <t>VASQUEZ NUÑEZ JOSE MIGUEL</t>
  </si>
  <si>
    <t>PRORROGA DEL PLAZO DEL CONTRATO</t>
  </si>
  <si>
    <t>VALLE AGUILAR CARLOS</t>
  </si>
  <si>
    <t>ARANA BAZAN CHRISTIAN LAURENCE</t>
  </si>
  <si>
    <t>ESCOBAR ARANA LUIS KARIM YUVAN</t>
  </si>
  <si>
    <t>BOCANEGRA RODRIGUEZ JUANA MARIA</t>
  </si>
  <si>
    <t>VARGAS QUINTANA JORGE ANIBAL</t>
  </si>
  <si>
    <t>GALAN SANCHEZ JOSE WILSON</t>
  </si>
  <si>
    <t>MONTENEGRO TORRES ANA ROSA</t>
  </si>
  <si>
    <t>TEC. EN SECRETARIADO EJECUTIVO</t>
  </si>
  <si>
    <t>VALLE CHICANA LIMBER EXEQUEL</t>
  </si>
  <si>
    <t>DAVILA NUNCEBAY SEGUNDO ELBERT</t>
  </si>
  <si>
    <t>VELARDE FERRE SHIRLEY YANINA</t>
  </si>
  <si>
    <t>PIEROLA MORI NICOLE ARIANA</t>
  </si>
  <si>
    <t>BACH. EN CIENCIAS ING. AMBIENTAL</t>
  </si>
  <si>
    <t>PORTOCARRERO AGUINAGA FRANKLIN EDILBERTO</t>
  </si>
  <si>
    <t>MONTOYA GOÑAZ GHERARD JAVIER</t>
  </si>
  <si>
    <t>BACH. EN COMUNICACIÓN</t>
  </si>
  <si>
    <t>RESIDENTE DE OBRA</t>
  </si>
  <si>
    <t xml:space="preserve">RAMOS CALDERON ANTONIO DE JESUS </t>
  </si>
  <si>
    <t>CARHUAJULCA DELGADO YANER EDICSON</t>
  </si>
  <si>
    <t>DE LA CRUZ SANCHEZ DIONICIO ISIDRO</t>
  </si>
  <si>
    <t>ING.MEC.ELECTRICISTA</t>
  </si>
  <si>
    <t>VEGA VASQUEZ SEGUNDO MANUEL</t>
  </si>
  <si>
    <t>ABAD ABAD GILBERT ESTID</t>
  </si>
  <si>
    <t>NATALIE ZUMAETA MONTOYA</t>
  </si>
  <si>
    <t>GUISSELA ECHEVERRIA EPIQUIEN</t>
  </si>
  <si>
    <t>SEGURIDAD - GOBERNACION</t>
  </si>
  <si>
    <t>ELVIS JOSUE REATEGUI MELENDEZ</t>
  </si>
  <si>
    <t>PNP</t>
  </si>
  <si>
    <t>CESAR ARTURO CRUZADO PUENTE</t>
  </si>
  <si>
    <t>INGENIERO</t>
  </si>
  <si>
    <t>BRINDAR SERVICIOS EN VICE GOBERNACION</t>
  </si>
  <si>
    <t>GROVER FRANK TORRES TELLO</t>
  </si>
  <si>
    <t>BRINDAR SERVICIOS EN SECRETARIA GENERAL</t>
  </si>
  <si>
    <t>KATTY LORENA HUAMAN URQUIA</t>
  </si>
  <si>
    <t>BRINDAR SERVICIOS EN OF. TRAMITE DOC. - SECRETARIA GENERAL</t>
  </si>
  <si>
    <t>CARLOS ALBERTO VENTURA RAMIREZ</t>
  </si>
  <si>
    <t>CARMELA  CHUQUIPIONDO MUÑOZ</t>
  </si>
  <si>
    <t>FANNY YUBITZA ANDUAGA ROJAS</t>
  </si>
  <si>
    <t>GHIAND RUSSWELD MORI CASTILLO</t>
  </si>
  <si>
    <t>NILDER JAMES SALAZAR CIEZA</t>
  </si>
  <si>
    <t>JANETH YONELI RUIZ COLUNCHE</t>
  </si>
  <si>
    <t>JEAN CARLOS MALCA FLORES</t>
  </si>
  <si>
    <t>BRINDAR SERVICIO EN GERENCIA GENERAL REGIONAL</t>
  </si>
  <si>
    <t>SHERLEY HEREDIA MONTENEGRO</t>
  </si>
  <si>
    <t>BACH. DERECHO</t>
  </si>
  <si>
    <t>BRINDAR SERVICIO EN ASESORIA II DE GERENCIA GENERAL</t>
  </si>
  <si>
    <t>FRANCESCA VERONICA VALLE POZO</t>
  </si>
  <si>
    <t>LIC. ADMINISTRACION</t>
  </si>
  <si>
    <t>MARIA ROSA RAMOS CARRASCO</t>
  </si>
  <si>
    <t>EMANUEL ALEXANDER JIMENEZ CASTAÑEDA</t>
  </si>
  <si>
    <t>BRINDAR SERVICIO EN COORDINADOR BINACIONAL - GERENCIA GENERAL</t>
  </si>
  <si>
    <t>YEUDI AHUMADA CASTAÑEDA</t>
  </si>
  <si>
    <t>LIC. EDUCACION</t>
  </si>
  <si>
    <t>JAIME GIOVANNY GOICOCHEA RIOJA</t>
  </si>
  <si>
    <t>CONTADOR</t>
  </si>
  <si>
    <t>ARTURO ESTEBAN DE LA CRUZ VIZCARRA</t>
  </si>
  <si>
    <t>072841714</t>
  </si>
  <si>
    <t>LORENA LEONOR JIMENEZ ZELADA</t>
  </si>
  <si>
    <t>BACHILLER CONTABILIDAD</t>
  </si>
  <si>
    <t>BRINDAR SERVICIOS EN LA COORDINACION DE LIMA</t>
  </si>
  <si>
    <t>RONALD CHINCHE TUFINIO</t>
  </si>
  <si>
    <t>LUIS FELIPE CAVA VERGIU</t>
  </si>
  <si>
    <t>046631111</t>
  </si>
  <si>
    <t>ADOLFO ANDRE RONCEROS ACEVEDO</t>
  </si>
  <si>
    <t>BACH. ECONOMIA</t>
  </si>
  <si>
    <t>BRINDAR SERVICIOS EN RECURSOS HUMANOS</t>
  </si>
  <si>
    <t>KARINA OCLOCHO VALQUI</t>
  </si>
  <si>
    <t>KATHERINE WILLANA VASQUEZ TORRES</t>
  </si>
  <si>
    <t xml:space="preserve">JENRY FRANCISCO HUAMAN REYNA </t>
  </si>
  <si>
    <t>BRINDAR SERVICIOS EN ADMINISTRACIÓN</t>
  </si>
  <si>
    <t>BERTHA DAYANA AMPUERO SAAVEDRA</t>
  </si>
  <si>
    <t>TEC. EGRESADA</t>
  </si>
  <si>
    <t>JENNY CINTHIA COLLANTES SALAS</t>
  </si>
  <si>
    <t>LIC. TURISMO Y ADMINISTRACION</t>
  </si>
  <si>
    <t>BRINDAR SERVICIOS EN TESORERIA - ADMINISTRACION</t>
  </si>
  <si>
    <t>FLOR HERMELINDA FERNANDEZ DIAZ</t>
  </si>
  <si>
    <t>VICTOR ALIZ CASTRO ARCE</t>
  </si>
  <si>
    <t>MIRTHA SUSANA VILCHEZ GUERRA</t>
  </si>
  <si>
    <t>JHEISON PAOLO MALDONADO VILLANUEVA</t>
  </si>
  <si>
    <t>ESTUDIANTE UNIVERSITARIO</t>
  </si>
  <si>
    <t>BRINDAR SERVICIOS EN CAJA - TESORERIA - ADMINISTRACION</t>
  </si>
  <si>
    <t xml:space="preserve">JOSÉ TAFUR BACALLA </t>
  </si>
  <si>
    <t xml:space="preserve">LEIDI ENITH ORTIZ APAESTEGUI </t>
  </si>
  <si>
    <t>BRINDAR SERVICIOS EN CONTABILIDAD - ADMINISTRACION</t>
  </si>
  <si>
    <t>BETHSY MENDOZA INGA</t>
  </si>
  <si>
    <t>SORAIDA CHUECHA TRAUCO</t>
  </si>
  <si>
    <t>KATHERIN ZAABINCY SAUCEDO BARDALES</t>
  </si>
  <si>
    <t>CONTADORA</t>
  </si>
  <si>
    <t>OLGA LILIANA SUAREZ SIFUENTES</t>
  </si>
  <si>
    <t>ERICK ANTONIO CORONEL SALAZAR</t>
  </si>
  <si>
    <t xml:space="preserve">JHEYSON VEGA CHUQUIMBALQUI </t>
  </si>
  <si>
    <t>MARIA DORIS TAFUR HERRERA</t>
  </si>
  <si>
    <t>ROBERTO FRANCISCO FANNING BALAREZO</t>
  </si>
  <si>
    <t>ALDO SOPLA MASLUCAN</t>
  </si>
  <si>
    <t xml:space="preserve">BRINDAR SERVICIOS EN UNIDAD DE ALMACEN </t>
  </si>
  <si>
    <t>HEYGLIN CASTAÑEDA DIAZ</t>
  </si>
  <si>
    <t xml:space="preserve">BRINDAR SERVICIOS EN UNIDAD DE PATRIMONIO </t>
  </si>
  <si>
    <t>WUILLIAM ALFONSO FERNANDEZ LOZANO</t>
  </si>
  <si>
    <t>BRINDAR SERVICIOS EN UNIDAD DE PATRIMONIO</t>
  </si>
  <si>
    <t>ANABELL CHAPPA GONGORA</t>
  </si>
  <si>
    <t>ESTUDIANTE UNIV.</t>
  </si>
  <si>
    <t>TANIA HERRERA IBERICO</t>
  </si>
  <si>
    <t xml:space="preserve">BRINDAR SERVICIOS EN O. E. CONTRATACIONES </t>
  </si>
  <si>
    <t>DEYMER ANIBAL TAFUR ROJAS</t>
  </si>
  <si>
    <t>VEYMER HUAMAN LINARES</t>
  </si>
  <si>
    <t>VICTOR FRANCISCO CAMAN MENDOZA</t>
  </si>
  <si>
    <t>BRINDAR SERVICIOS EN GESTION DE CONTRATOS</t>
  </si>
  <si>
    <t>SEGUNDO FRANCISCO MOREY MIRANO</t>
  </si>
  <si>
    <t>CINTHIA VANESSA OLIVA REYNA</t>
  </si>
  <si>
    <t xml:space="preserve">BRINDAR SERVICIOS EN GESTION DE CONTRATOS </t>
  </si>
  <si>
    <t>SEGUNDO MANUEL VEGA VASQUEZ</t>
  </si>
  <si>
    <t xml:space="preserve">BRINDAR SERVICIOS EN ESTUDIO DE MERCADO </t>
  </si>
  <si>
    <t>LUIS HUMBERTO FALLA ODAR</t>
  </si>
  <si>
    <t xml:space="preserve">BRINDAR SERVICIOS EN UNIDAD DE SEACE </t>
  </si>
  <si>
    <t>DORALI CARO MENDOZA</t>
  </si>
  <si>
    <t xml:space="preserve">BRINDAR SERVICIOS EN CONTROL POSTERIOR </t>
  </si>
  <si>
    <t>ALEXANDER BUSTOS GUIOP</t>
  </si>
  <si>
    <t>BACH. ADMINISTRACION</t>
  </si>
  <si>
    <t>MARIA JOSE SARMIENTO DIAZ</t>
  </si>
  <si>
    <t>YONY ALEXANDER ROJAS BUSTAMANTE</t>
  </si>
  <si>
    <t>ARMANDO CASTAÑEDA QUIROZ</t>
  </si>
  <si>
    <t xml:space="preserve">BRINDAR SERVICIOS EN MANTENIMIENTO </t>
  </si>
  <si>
    <t>WAGNER ALVA REINA</t>
  </si>
  <si>
    <t>BRINDAR SERVICIOS EN MANTENIMIENTO</t>
  </si>
  <si>
    <t>CARLOS ALBERTO ZUMAETA LOPEZ</t>
  </si>
  <si>
    <t xml:space="preserve">BRINDAR SERVICIOS EN SERVICIOS AUXILIARES </t>
  </si>
  <si>
    <t>LILI ROXANA ALTAMIRANO ROJAS</t>
  </si>
  <si>
    <t>ALEIDA SAUCEDO PORTOCARRERO</t>
  </si>
  <si>
    <t>BACHILLER ADMINISTRACION</t>
  </si>
  <si>
    <t>KATHERINE LISSETH JARA REYNA</t>
  </si>
  <si>
    <t>BACH. INGENIERIA</t>
  </si>
  <si>
    <t>BRINDAR SERVICIOS EN ADQUISICIONES</t>
  </si>
  <si>
    <t>JHANET HUMAN MEGO</t>
  </si>
  <si>
    <t xml:space="preserve">BRINDAR SERVICIOS EN ADQUISICIONES </t>
  </si>
  <si>
    <t>JOSE LUIS MORE TOCTO</t>
  </si>
  <si>
    <t>MICHEL JUNIOR ESCOBEDO AVALOS</t>
  </si>
  <si>
    <t>BACH. ING. AGRONEGOCIOS</t>
  </si>
  <si>
    <t xml:space="preserve">BRINDAR SERVICIOS EN SECRETARIA </t>
  </si>
  <si>
    <t>MARIBEL CAMAN TORRES</t>
  </si>
  <si>
    <t xml:space="preserve">BRINDAR SERVICIOS EN PERSONAL LIMPIEZA </t>
  </si>
  <si>
    <t>JUANA SAAVEDRA ORNA</t>
  </si>
  <si>
    <t>BERTILA GONGORA DE CHAPPA</t>
  </si>
  <si>
    <t>BRINDAR SERVICIOS EN VIGILANTE</t>
  </si>
  <si>
    <t>CARLOS ARTURO ROBLES OLIVA</t>
  </si>
  <si>
    <t>LIMBER EXEQUIEL VALLE CHICANA</t>
  </si>
  <si>
    <t xml:space="preserve">BRINDAR SERVICIOS EN VIGILANTE </t>
  </si>
  <si>
    <t>LENIN EPIQUIEN RODRIGUEZ</t>
  </si>
  <si>
    <t>GUILLERMINA HUAMAN RIMACHI</t>
  </si>
  <si>
    <t>MARCO ANTONIO ULLILEN SANTILLAN</t>
  </si>
  <si>
    <t>EGRESADO UNIV.</t>
  </si>
  <si>
    <t>JORGE LUIS NUÑEZ DIAZ</t>
  </si>
  <si>
    <t>CEIDY VERONICA VILCHEZ ZUTA</t>
  </si>
  <si>
    <t>EDGAR MANUEL MELENDEZ LOPEZ</t>
  </si>
  <si>
    <t>BRINDAR SERVICIOS EN ABASTECIMIENTO</t>
  </si>
  <si>
    <t>GIORDAN ALEKINE RAMIREZ NUÑEZ</t>
  </si>
  <si>
    <t>JUVITZA MELENDEZ SERVAN</t>
  </si>
  <si>
    <t>LUZ ANGELICA RAMOS SANTAMARIA</t>
  </si>
  <si>
    <t>BRINDAR SERVICIOS EN COMUNICACIONES Y RELACIONES PÚBLICAS</t>
  </si>
  <si>
    <t>ANDERSON ALFONSO AMPUERO ARANA</t>
  </si>
  <si>
    <t>BACH. CIENCIAS COMUNICACION</t>
  </si>
  <si>
    <t>GHERARD JAVIER MONTOYA GOÑAZ</t>
  </si>
  <si>
    <t>JESUS ESPERANZA HUAMAN REYNA</t>
  </si>
  <si>
    <t>MIRTHA LIZETH ZAGACETA CRUZ</t>
  </si>
  <si>
    <t>LUIS ANTONIO DIAZ ALVA</t>
  </si>
  <si>
    <t>LIC. CIENCIAS COMUNICACIÓN</t>
  </si>
  <si>
    <t>LUIS MIGUEL MENDOZA SANTILLAN</t>
  </si>
  <si>
    <t>LUIS YANQUI LOJA</t>
  </si>
  <si>
    <t>FREDY CHUQUIZUTA CASTAÑEDA</t>
  </si>
  <si>
    <t>BRINDAR SERVICIOS EN LA PROCURADURIA PUBLICA REGIONAL</t>
  </si>
  <si>
    <t>NERI ALFREDO NIETO PECHE</t>
  </si>
  <si>
    <t>RONAL RAMOS FIGUEROA</t>
  </si>
  <si>
    <t>JOSE EMILIO GAMARRA NIETO</t>
  </si>
  <si>
    <t>MAGYORI LIZBETT PEREZ CONTRERAS</t>
  </si>
  <si>
    <t>MARCIA ALEJANDRA ROMAN FLORES</t>
  </si>
  <si>
    <t>BACH. HUMANIDADES</t>
  </si>
  <si>
    <t>ARIUS ALIGHIERI ALTAMIRANO ARTEAGA</t>
  </si>
  <si>
    <t>FLOR DE BELEN OBLITAS SIESQUEN</t>
  </si>
  <si>
    <t>DANY  MANUEL DIAZ HERNANDEZ</t>
  </si>
  <si>
    <t>CARLOS VALLE AGUILAR</t>
  </si>
  <si>
    <t>GINELA YESEBEL BAZAN RABANAL</t>
  </si>
  <si>
    <t>JACKELINE VANESSA ALAMO BALDERA</t>
  </si>
  <si>
    <t>WILLIAM CIRO CONTRERAS CHAVEZ</t>
  </si>
  <si>
    <t xml:space="preserve">ABOGADO </t>
  </si>
  <si>
    <t>LILIANA MENDOZA DIAZ</t>
  </si>
  <si>
    <t>BETTY LEONOR GUARNIZO MIRANDA</t>
  </si>
  <si>
    <t>CINTHIA DJANIRA BOCANEGRA MENDOZA</t>
  </si>
  <si>
    <t>ELIANA LIZET REATEGUI GARCIA</t>
  </si>
  <si>
    <t>BACHILLER EN DERECHO</t>
  </si>
  <si>
    <t>EULER MARQ'S ROJAS MENDOZA</t>
  </si>
  <si>
    <t>LLERIS FLORITA MALDONADO PEREA</t>
  </si>
  <si>
    <t>BRINDAR SERVICIOS EN SECRETARIA TECNICA</t>
  </si>
  <si>
    <t>PERCY OMAR RUIZ IDROGO</t>
  </si>
  <si>
    <t>ARTURO CACHI BARDALES</t>
  </si>
  <si>
    <t>FEDERICO DANIEL PERALTA LUI</t>
  </si>
  <si>
    <t>BACHILLER DERECHO</t>
  </si>
  <si>
    <t>BRINDAR SERVICIOS EN ASESORIA JURIDICA</t>
  </si>
  <si>
    <t>ALFREDO VICTOR FERNÁNDEZ DAVILA AVILA</t>
  </si>
  <si>
    <t>CHRISTIAN LAURENCE ARANA BAZAN</t>
  </si>
  <si>
    <t>KATHERIN DEL PILAR GUERRERO PINEDO</t>
  </si>
  <si>
    <t>KARINA MAGALY MORA VALENCIA</t>
  </si>
  <si>
    <t>ROCIO MARILU ROJAS TRIGOSO</t>
  </si>
  <si>
    <t>BRINDAR SERVICIOS EN CONSEJO REGIONAL</t>
  </si>
  <si>
    <t>LIZANDRA DEL PILAR TAFUR</t>
  </si>
  <si>
    <t>ESTERCITA YOPLAC BAZAN</t>
  </si>
  <si>
    <t>JOSE FERNANDO GUEVARA MARIN</t>
  </si>
  <si>
    <t>BRINDAR SERVICIOS EN LA G.R.PLANEAMIENTO Y A.T</t>
  </si>
  <si>
    <t xml:space="preserve">FANNY DEL PILAR YOPAN RAMIREZ </t>
  </si>
  <si>
    <t>DEYSI YOPLAC TORREJON</t>
  </si>
  <si>
    <t>KAROL JOHANNA RAMIREZ LOPEZ</t>
  </si>
  <si>
    <t xml:space="preserve">BRINDAR SERVICIOS EN LA S.G.D.I. Y TECNOLOGIAS DE LA INFORMACION </t>
  </si>
  <si>
    <t>CARLOS ALBERTO COTRINA REAÑO</t>
  </si>
  <si>
    <t>ANDY OCMIN MORI</t>
  </si>
  <si>
    <t>HEIDI ROSELI VARGAS MELENDEZ</t>
  </si>
  <si>
    <t>LADY HARLEY MEZA PEZO</t>
  </si>
  <si>
    <t>JUAN FELIX VELASQUEZ PERALTA</t>
  </si>
  <si>
    <t>LOOT ANIBAL NUÑEZ CHAMBA</t>
  </si>
  <si>
    <t>MOISES ANTONIO CORNETERO MENDOZA</t>
  </si>
  <si>
    <t>LUIS CHICANA GÓMEZ</t>
  </si>
  <si>
    <t>LLULISA VALLEJOS SAAVEDRA</t>
  </si>
  <si>
    <t xml:space="preserve">BRINDAR SERVICIOS EN LA SUB GERENCIA DE PRESUPUESTO Y TRIBUTACION </t>
  </si>
  <si>
    <t xml:space="preserve">VANESSA LLANTO SERVAN </t>
  </si>
  <si>
    <t xml:space="preserve">WILLINTON NOE TICLLA ROSALES </t>
  </si>
  <si>
    <t>LUCY VENTURA QUINTANA</t>
  </si>
  <si>
    <t>DIANNA ARACELI FERNANDEZ VILCHEZ</t>
  </si>
  <si>
    <t>MARIA JOSE ALBAN AGUILAR</t>
  </si>
  <si>
    <t>EGRESADA UNIVERSIDAD</t>
  </si>
  <si>
    <t>BRINDAR SERVICIOS EN LA S.G.PROGRAMACION  MULTIANUAL DE INV.</t>
  </si>
  <si>
    <t xml:space="preserve">JOSE ANDRES RAZURI VERA </t>
  </si>
  <si>
    <t xml:space="preserve">NORI ZUMAETA HORNA </t>
  </si>
  <si>
    <t xml:space="preserve">HAYDE GRANADOS ESPINOZA </t>
  </si>
  <si>
    <t xml:space="preserve">BRINDAR SERVICIOS EN LA OFICINA DE DEMARCACION TERRITORIAL </t>
  </si>
  <si>
    <t xml:space="preserve">DAVID FRANCISCO ESPINOZA HORNA </t>
  </si>
  <si>
    <t>YAJAHIRA ZURIT HOYOS VASQUEZ</t>
  </si>
  <si>
    <t>TECNICA</t>
  </si>
  <si>
    <t>BRINDAR SERVICIOS EN LA S.G.PLANEAMIENTO Y ACONDIC. TERRITORIAL</t>
  </si>
  <si>
    <t xml:space="preserve">LUCY MARLITH PORTOCARRERO TAFUR </t>
  </si>
  <si>
    <t>LIC. AMINISTRACION</t>
  </si>
  <si>
    <t>TITO DOMINGUEZ BOCANEGRA</t>
  </si>
  <si>
    <t>BRINDAR SERVICIOS EN LA S.G.ADMINISTRACION Y ADJ. DE TERRENOS</t>
  </si>
  <si>
    <t>MILITZA CLARIBEL ANGULO CHUIMES</t>
  </si>
  <si>
    <t xml:space="preserve">DELI ISABETH GUTIERREZ TORREJON </t>
  </si>
  <si>
    <t>SAMUEL PAISIG PEREZ</t>
  </si>
  <si>
    <t>HEINNER DANIEL SANCHEZ CARRION</t>
  </si>
  <si>
    <t>BRINDAR SERVICIOS EN LA COOPERACION INTERNACIONAL</t>
  </si>
  <si>
    <t>JUAN ELIVELTON JULON CENTURION</t>
  </si>
  <si>
    <t>LIC. TURISMO Y ADM.</t>
  </si>
  <si>
    <t>ABEL CHICHIPE GUABLOCHO</t>
  </si>
  <si>
    <t>LEANDRO ALEXANDER VERA JULON 2253618</t>
  </si>
  <si>
    <t>BRINDAR SERVICIOS EN EL ORGANO DE CONTROL INSTITUCIONAL</t>
  </si>
  <si>
    <t xml:space="preserve">LESLI YESENIA VELES CHUQUIMBALQUI </t>
  </si>
  <si>
    <t>JHONY ALEXANDER ALVAREZ OCC</t>
  </si>
  <si>
    <t>MILTON MEJIA TOCTO</t>
  </si>
  <si>
    <t>MILAGROS DEL PILAR TORRES GOÑAS</t>
  </si>
  <si>
    <t>WILMER ISAC TAFUR CAMPOS</t>
  </si>
  <si>
    <t>NANCY ANITA ALCANTARA LOPEZ</t>
  </si>
  <si>
    <t>BRINDAR SERVICIOS EN LA G.R.DESARROLLO SOCIAL</t>
  </si>
  <si>
    <t>LILIANA MERCEDES TAFUR BARDALES</t>
  </si>
  <si>
    <t>LIC. ENFERMERIA</t>
  </si>
  <si>
    <t>IVIS DEL ROCIO GOSGOT VALLEJOS</t>
  </si>
  <si>
    <t>LIC, ADMINISTRACION</t>
  </si>
  <si>
    <t>JOSLIN HIPOLITO ESTELA BARRERA</t>
  </si>
  <si>
    <t>INGLI MELIZA AÑAZCO ROSALES</t>
  </si>
  <si>
    <t>BRINDAR SERVICIOS EN BELLAS ARTES - G.R.DESARROLLO SOCIAL</t>
  </si>
  <si>
    <t>VILMA ALEJANDRINA VILLANUEVA SOPLIN</t>
  </si>
  <si>
    <t>BRINDAR SERVICIOS EN LA S.G.DESARROLLO SOCIAL E IGUALDAD DE OPORT.</t>
  </si>
  <si>
    <t>MARIBEL TUESTA ALVARADO</t>
  </si>
  <si>
    <t>GRACE DELICIA ACOPAICO RAMIREZ</t>
  </si>
  <si>
    <t>BRINDAR SERVICIOS EN LA ALDEA INFANTIL</t>
  </si>
  <si>
    <t xml:space="preserve">CRUZ MARINA LOPEZ CALDERON </t>
  </si>
  <si>
    <t>LLOANI LUCIA OCAMPO ALVA</t>
  </si>
  <si>
    <t>TECNICO ENFERMERIA</t>
  </si>
  <si>
    <t>CARLOS MARINO TUESTA ZUMAETA</t>
  </si>
  <si>
    <t>BRINDAR SERVICIOS EN LA D. R. TRABAJO Y PROMOCION DEL EMPLEO</t>
  </si>
  <si>
    <t>WILMER IRIGOIN APAESTEGUI</t>
  </si>
  <si>
    <t>BEIMER MERCEDES LOPEZ MUÑOZ</t>
  </si>
  <si>
    <t xml:space="preserve">JHANETH MARLITA CUBAS SANCHEZ </t>
  </si>
  <si>
    <t>BACH. COMUNICACIÓN SOCIAL</t>
  </si>
  <si>
    <t>ROCIO ELIZABETH SANCHEZ PINEDO</t>
  </si>
  <si>
    <t>ANA ROSA MONTENEGRO TORRES</t>
  </si>
  <si>
    <t>JHORDY CHUQUIMBALQUI BORBOR</t>
  </si>
  <si>
    <t>ESTUDIANTE TECNOLOGICO</t>
  </si>
  <si>
    <t>AYDA DE LA CRUZ HURTADO</t>
  </si>
  <si>
    <t>SEGUNDARIA COMPLETA</t>
  </si>
  <si>
    <t xml:space="preserve">JOSE ALBERTO CHINCHAYAN SACA </t>
  </si>
  <si>
    <t>LIC. ESTADISTICA</t>
  </si>
  <si>
    <t>DEYSI JULISSA PRADA PISFIL</t>
  </si>
  <si>
    <t>PSICOLOGA</t>
  </si>
  <si>
    <t xml:space="preserve">DIEGO ALEXANDER SEGURA GUERRA </t>
  </si>
  <si>
    <t>MARLITA JHANETH CUBAS SANCHEZ</t>
  </si>
  <si>
    <t>BRINDAR SERVICIOS EN EL ARCHIVO REGIONAL AMAZONAS</t>
  </si>
  <si>
    <t>NEIDELINA LINARES TARRILLO</t>
  </si>
  <si>
    <t>GUILLERMO SANCHEZ TORREJON</t>
  </si>
  <si>
    <t>MICHAEL ANTONY GUEVARA LINARES</t>
  </si>
  <si>
    <t>KENY NEYSSER HERNANDEZ MARCELO</t>
  </si>
  <si>
    <t>CARLOS ALBERTO RAMIREZ VENTURA</t>
  </si>
  <si>
    <t>DALMA MILAGROS PILCO MACHUCA</t>
  </si>
  <si>
    <t>BRINDAR SERVICIOS EN LA DIRECCION DE VIVIENDA</t>
  </si>
  <si>
    <t>EDDY LUIS MENDOZA TEJADA</t>
  </si>
  <si>
    <t>JHOEL MENDOZA MARIN</t>
  </si>
  <si>
    <t>MIXSY GOÑAS MENDOZA</t>
  </si>
  <si>
    <t>RUBEN EDUARDO VASQUEZ PEÑA</t>
  </si>
  <si>
    <t>LEIDITH  CRUZ HUAMAN</t>
  </si>
  <si>
    <t>TANIA ELIZABETH TAFUR CALLIRGOS</t>
  </si>
  <si>
    <t>JOSE LUIS GONZALES DIAZ</t>
  </si>
  <si>
    <t>ADA MARIA CULQUIMBOZ GOMEZ</t>
  </si>
  <si>
    <t>ALAN FERNANDO RODRIGUEZ VASQUEZ</t>
  </si>
  <si>
    <t>EDITH MONTOYA LOPEZ</t>
  </si>
  <si>
    <t>BRINDAR SERVICIOS EN LA G.R. DESARROLLO ECONOMICO</t>
  </si>
  <si>
    <t>KETTY VALDEZ RODAS</t>
  </si>
  <si>
    <t>JUAN GABRIEL GONZALES SEGURA</t>
  </si>
  <si>
    <t>BRINDAR SERVICIOS EN LA SGPIP - DESARROLLO ECONOMICO</t>
  </si>
  <si>
    <t>ESTHER NUÑEZ VILLANUEVA</t>
  </si>
  <si>
    <t>YDANI IGNACIO CUEVA</t>
  </si>
  <si>
    <t>RUTH MARGARITA BALCAZAR VIGIL</t>
  </si>
  <si>
    <t>BRINDAR SERVICIOS EN ENERGIA Y MINAS</t>
  </si>
  <si>
    <t>KENNY YOSMITH SALAS PEREZ</t>
  </si>
  <si>
    <t>KATHERINE DIANA SANDOVAL TRUJILLO</t>
  </si>
  <si>
    <t>JOSE FELICIANO HERRERA LAURENCIO</t>
  </si>
  <si>
    <t>LUIS ALEX ZUMAETA BARDALES</t>
  </si>
  <si>
    <t>HANDER IVAN RIVERA GUEVARA</t>
  </si>
  <si>
    <t>WALTER ALEXIS CABREJOS ZAVALETA</t>
  </si>
  <si>
    <t>FRANKLIN HERNAN CHAVEZ VELA</t>
  </si>
  <si>
    <t xml:space="preserve">MAYLIT TOMANGUILLA ALVIS </t>
  </si>
  <si>
    <t>COSME DAMIAN ZAVALETA VELA</t>
  </si>
  <si>
    <t>FLOR ESMERITA MANOSALVA CIEZA</t>
  </si>
  <si>
    <t>ANTHONY SPENCER DIAZ CHIRA</t>
  </si>
  <si>
    <t>CLAUDIA MINELLY HIDALGO MUÑOZ</t>
  </si>
  <si>
    <t>ROGER EDUARDO RAMOS RODRÍGUEZ</t>
  </si>
  <si>
    <t>JANETH OCMIN VALLE</t>
  </si>
  <si>
    <t>DAVID DAVID TINEO</t>
  </si>
  <si>
    <t>JUNELLY MARIN VASQUEZ</t>
  </si>
  <si>
    <t>JUVER MENDOZA GUERRA</t>
  </si>
  <si>
    <t>JIMMY JESUS CACERES CRUZ</t>
  </si>
  <si>
    <t>JULIO CESAR VALQUI GONZALES</t>
  </si>
  <si>
    <t>EGRESADO TECNOLOGICO</t>
  </si>
  <si>
    <t>LUIS MAGALLAN MASLUCAN</t>
  </si>
  <si>
    <t>ANITA MERCEDES CARO TUESTA</t>
  </si>
  <si>
    <t>LIC. TURISMO Y HOTELERIA</t>
  </si>
  <si>
    <t>GINA MILAGROS OCLOCHO MINCHAN</t>
  </si>
  <si>
    <t>JAIME REMAICUNA BARBOZA</t>
  </si>
  <si>
    <t>LUCIA GUADALUPE BALCAZAR LLAQUE</t>
  </si>
  <si>
    <t>MAYRA ALEJANDRA CABAÑAS SILVA</t>
  </si>
  <si>
    <t>LIC. PERIODISMO</t>
  </si>
  <si>
    <t>PEDRO MOLLA OCMIN</t>
  </si>
  <si>
    <t>FRANK LOUIS TEJADA BRIOSO</t>
  </si>
  <si>
    <t>BACH. CONTABILIDAD</t>
  </si>
  <si>
    <t xml:space="preserve">MIRTON TACILLA MEGO </t>
  </si>
  <si>
    <t>VICTOR ANDRES LOZANO CORVERA</t>
  </si>
  <si>
    <t>ELI LLIMER TORO GONZALES</t>
  </si>
  <si>
    <t>LIC. COMERCIO Y NEG. INTERN.</t>
  </si>
  <si>
    <t>JHONY HERRERA INGA</t>
  </si>
  <si>
    <t>MILTON MIRANO MAS</t>
  </si>
  <si>
    <t>ANTONIA FELIPA BRIOSO CHAVEZ</t>
  </si>
  <si>
    <t>MONICA ROSALIA MASGO HUAMAN</t>
  </si>
  <si>
    <t>JOSE MILTON SANCHEZ CACERES</t>
  </si>
  <si>
    <t>VICTOR HUGO MARIN DAZA</t>
  </si>
  <si>
    <t>CESAR ALBERTO URTEAGA AMPUERO</t>
  </si>
  <si>
    <t>BRINDAR SERVICIO EN CETUR - BAGUA</t>
  </si>
  <si>
    <t>CHARLES ROY DIAZ CRUZADO</t>
  </si>
  <si>
    <t>JARLY ROISTEN CHUMBE RAMIREZ</t>
  </si>
  <si>
    <t>BRINDAR SERVICIO EN PROCOMPITE</t>
  </si>
  <si>
    <t>CARMINA LOPEZ DEL AGUILA</t>
  </si>
  <si>
    <t xml:space="preserve">EDGAR MANUEL MELENDEZ LOPEZ </t>
  </si>
  <si>
    <t>HAROLD ANTONIO CACERES TORREJON</t>
  </si>
  <si>
    <t>BACH. ADMINISTRACIO</t>
  </si>
  <si>
    <t>IVAN MARIO ESCRIBANO CAJO</t>
  </si>
  <si>
    <t>JOSE SANTOS GUEVARA ESCOBAR</t>
  </si>
  <si>
    <t>KAREN MELANYTH NUÑEZ VILLANUEVA</t>
  </si>
  <si>
    <t>LILIANA PEREZ HIDALGO</t>
  </si>
  <si>
    <t>LUZBEDY QUIROZ CABAÑAS</t>
  </si>
  <si>
    <t>NELSON YOHEL RODRIGUEZ CALAMPA</t>
  </si>
  <si>
    <t>NILSON CARRANZA ALARCON</t>
  </si>
  <si>
    <t>OLIVERES GARCIA VASQUEZ</t>
  </si>
  <si>
    <t>ROBERTAYLOR VERA CHICOMA</t>
  </si>
  <si>
    <t>ROSA MARIA TAFUR VALQUI</t>
  </si>
  <si>
    <t>SEGUNDO VERO COLLANTES LINGAN</t>
  </si>
  <si>
    <t xml:space="preserve">SHELSEN JOEL CUBAS PEREZ </t>
  </si>
  <si>
    <t>SHERLAY FIORELA COMECA MAS</t>
  </si>
  <si>
    <t>BRINDAR SERVICIOS EN DEFENSA NACIONAL</t>
  </si>
  <si>
    <t>ELDER FRANCISCO PORTOCARRERO ARISTA</t>
  </si>
  <si>
    <t>GILBERT ESTID ABAD ABAD</t>
  </si>
  <si>
    <t>HANZ VICTOR TORRES COLLANTES</t>
  </si>
  <si>
    <t>JUNIOR ALEXANDER CORONEL BOCANEGRA</t>
  </si>
  <si>
    <t>LLOMAR SERVAN REYNA</t>
  </si>
  <si>
    <t>O9938682</t>
  </si>
  <si>
    <t>JUAN ZORRILLA BRAVO</t>
  </si>
  <si>
    <t>ROGER ENGELS MORE SALAZAR</t>
  </si>
  <si>
    <t xml:space="preserve">JHESI CATERINE CORTEZ HUAMAN </t>
  </si>
  <si>
    <t>LIC. ADMINISTRACIÓN</t>
  </si>
  <si>
    <t>RONALD JAMES VILLALOBOS HERNANDEZ</t>
  </si>
  <si>
    <t>RAFAEL EDGARDO DAVALOS COSAVALENTE</t>
  </si>
  <si>
    <t>FRESIA SAAVEDRA LLAMO</t>
  </si>
  <si>
    <t>MARY GRISSELA CALCINA GRANDEZ</t>
  </si>
  <si>
    <t>KARINA JANETH CHAVEZ CHAVEZ</t>
  </si>
  <si>
    <t>HANS ANTONY CARRIL VALDIVIA</t>
  </si>
  <si>
    <t>JHEYSON VEGA CHUQUIMBALQUI</t>
  </si>
  <si>
    <t>BRINDAR SERVICIOS EN ARA</t>
  </si>
  <si>
    <t>ASUNTITA AMELIA CHAVEZ CHAVEZ</t>
  </si>
  <si>
    <t>ELMER SANCHEZ FERNANDEZ</t>
  </si>
  <si>
    <t>BRINDAR SERVICIOS EN LA DIRECCION EJEC. GESTION DE BOSQUES - ARA</t>
  </si>
  <si>
    <t>VICTOR HUMBERTO VENTURA ARISTA</t>
  </si>
  <si>
    <t>LUIS ALEXANDER REBAZA CHUMACERO</t>
  </si>
  <si>
    <t>EDSON MORENO ADRIANZEN</t>
  </si>
  <si>
    <t>1.200.00</t>
  </si>
  <si>
    <t>NELLY YOHANA NEIRA CRUZ</t>
  </si>
  <si>
    <t>VICKY MAGALI GUERRERO RAFAEL</t>
  </si>
  <si>
    <t>ROGER LLAJA ZELADA</t>
  </si>
  <si>
    <t>JESSICA PILAR CASTRO LOZANO</t>
  </si>
  <si>
    <t>CESAR WILLAN QUIROZ MENDOZA</t>
  </si>
  <si>
    <t>NILCER ORLANDO CUBAS DIAZ</t>
  </si>
  <si>
    <t xml:space="preserve">LLURY CENID CACERES RIOS </t>
  </si>
  <si>
    <t>BRINDAR SERVICIOS EN LA DIRECCION EJEC. RECURSOS NATURALES - ARA</t>
  </si>
  <si>
    <t>JOSE MIGUEL VASQUEZ NUÑEZ</t>
  </si>
  <si>
    <t>BRINDAR SERVICIOS EN PROYECTO CENTRO POBLADO OLLEROS - ARA</t>
  </si>
  <si>
    <t>AUBER SILVA ALVA</t>
  </si>
  <si>
    <t>BACH. ADMINI</t>
  </si>
  <si>
    <t>WALTER HUAMAN VARGAS</t>
  </si>
  <si>
    <t>VICTOR ALFONSO FARROÑAN SANTISTEBAN</t>
  </si>
  <si>
    <t>KEVIN JAIR JICARO ELERA</t>
  </si>
  <si>
    <t>MARTIN ALEMBERT OYARCE HERNANDEZ</t>
  </si>
  <si>
    <t>JOSE DEL CARMEN OLIVA CRUZ</t>
  </si>
  <si>
    <t>ANDRES AVELINO MORE TOCTO</t>
  </si>
  <si>
    <t>NILTON DIAZ CHAVEZ</t>
  </si>
  <si>
    <t>LINO MERCEDES LLANOS CHUQUIZUTA</t>
  </si>
  <si>
    <t>JOAN ENRIQUE PARDO PINEDO</t>
  </si>
  <si>
    <t>ISELDA HORNA GUIOP</t>
  </si>
  <si>
    <t>JORGE RICHAR ACUÑA PEDRAZA</t>
  </si>
  <si>
    <t>KEYNER HUABLOCHO MAICELO</t>
  </si>
  <si>
    <t>FIDEL ALEJANDRO RAMOZ ANGULO</t>
  </si>
  <si>
    <t xml:space="preserve">NAURY YSABEL PORTOCARRERO TUESTA </t>
  </si>
  <si>
    <t>EDELIA YULIANA CABANILLAS RABANAL</t>
  </si>
  <si>
    <t>RICARDO AREVALO COLLANTES</t>
  </si>
  <si>
    <t>MARJHURI ANALI MANTILLA VIGO</t>
  </si>
  <si>
    <t>SEINER YOPLAC VALQUI</t>
  </si>
  <si>
    <t>EDWIN JAVIER LOPEZ MAS</t>
  </si>
  <si>
    <t>ERICSON PIZARRO GRANDEZ</t>
  </si>
  <si>
    <t>JOSE LUIS CUBAS CONTRERAS</t>
  </si>
  <si>
    <t>HIDALGO TORRES TELLO</t>
  </si>
  <si>
    <t>LLURY CENID CACERES RIOS</t>
  </si>
  <si>
    <t>BRINDAR SERVICIOS EN EL PROYECTO BAMBU - ARA</t>
  </si>
  <si>
    <t>AMANCIO MAS BACALLA</t>
  </si>
  <si>
    <t>ANITA ROSARIO LEYVA DE RAMIREZ</t>
  </si>
  <si>
    <t>EXEQUIEL SALDAÑA BENAVIDES</t>
  </si>
  <si>
    <t>HAMILTON CASTAÑEDA DIAZ</t>
  </si>
  <si>
    <t>WILDER LOZADA VALLE</t>
  </si>
  <si>
    <t>KENNY ROYER ROJAS CHAPPA</t>
  </si>
  <si>
    <t>BRINDAR SERVICIOS EN EL PROYECTO SISTEMAS DE INFORMACION - ARA</t>
  </si>
  <si>
    <t>ANDERSON RICHARD DIAZ GARCIA</t>
  </si>
  <si>
    <t>ANNY ISABEL ABANTO MELENDEZ</t>
  </si>
  <si>
    <t>TECNICA ENFERMERIA</t>
  </si>
  <si>
    <t>CARLOS CESAR CRIOLLO CRUZ</t>
  </si>
  <si>
    <t>CRISTOBAL TORRES GUZMAN</t>
  </si>
  <si>
    <t>DANY ALEXANDER COTRINA SANCHEZ</t>
  </si>
  <si>
    <t>DIANA YUVITHZA SERVAN ALVARADO</t>
  </si>
  <si>
    <t xml:space="preserve">TECNICA </t>
  </si>
  <si>
    <t>EDGAR TORREJON TAFUR</t>
  </si>
  <si>
    <t>EFRAIN CARHUATOCTO CHULLY</t>
  </si>
  <si>
    <t>EIDER JAROLD MARIN JULCA</t>
  </si>
  <si>
    <t>ELMER ERNAN CAMPOS DIAZ</t>
  </si>
  <si>
    <t>FRANKLIN EDILBERTO PORTOCARRERO AGUINAGA</t>
  </si>
  <si>
    <t>HENRY OMAR FERNANDEZ CUBAS</t>
  </si>
  <si>
    <t>HUGO DIAZ VARGAS</t>
  </si>
  <si>
    <t>HUMBERTO VILCA HUAMAN</t>
  </si>
  <si>
    <t>ILIA MAGALY PERALTA ARISTA</t>
  </si>
  <si>
    <t>INGRID MAGALI SILVA DIAZ</t>
  </si>
  <si>
    <t>JHANGNER TSUNGKY LIRIO JINTASH</t>
  </si>
  <si>
    <t>JORGE ENRIQUE SANCHEZ DELGADO</t>
  </si>
  <si>
    <t>JOSE DEL CARMEN RUBIO LATORRE</t>
  </si>
  <si>
    <t>O5284706</t>
  </si>
  <si>
    <t>JOSE ORLANDO CASTRO PEREIRA</t>
  </si>
  <si>
    <t>JUAN RAFAEL ROSILLO COTRINA</t>
  </si>
  <si>
    <t>JUANITO KUNCHIKUI AKUTS</t>
  </si>
  <si>
    <t>LILIS CAMILO CRUZADO YLATOMA</t>
  </si>
  <si>
    <t>LIZ KAROL ALVARADO VILLARINO</t>
  </si>
  <si>
    <t>LLEYLI MAYGOLITH LA TORRE VELA</t>
  </si>
  <si>
    <t>MARIA ELVIRA MEJIA TERRONES</t>
  </si>
  <si>
    <t>MERLY NOEMI BECERRA URIARTE</t>
  </si>
  <si>
    <t>NICOLE ARIANA PIEROLA MORI</t>
  </si>
  <si>
    <t>NILTON BELTRAN ROJAS BRICEÑO</t>
  </si>
  <si>
    <t>OSCAR JIMENEZ MELENDREZ</t>
  </si>
  <si>
    <t>PAUL MARCEL NUÑEZ PASTOR</t>
  </si>
  <si>
    <t xml:space="preserve">SANTIAGO CORTEZ NEIRA </t>
  </si>
  <si>
    <t>SHEILA KATHERINE AVALOS DELGADO</t>
  </si>
  <si>
    <t>STEFANY ROSSELYN ZUMAETA RAMOS</t>
  </si>
  <si>
    <t>VICKY MAGALY GUERRERO RAFAEL</t>
  </si>
  <si>
    <t>BACH. ADMINISTRACIÓN</t>
  </si>
  <si>
    <t>ZULY SELENE CHICCHON ALVA</t>
  </si>
  <si>
    <t>BACH. CIENCIAS COMUNICACIÓN</t>
  </si>
  <si>
    <t>BRINDAR SERVICIOS EN LA GERENCIA REGIONAL INFRAESTRUCTURA</t>
  </si>
  <si>
    <t>ALEIDA ZUMAETA YNGA</t>
  </si>
  <si>
    <t>MARICELA DEL CARMEN SANCHEZ MUÑOZ</t>
  </si>
  <si>
    <t>MARIA PILAR TRUJILLO TAFUR</t>
  </si>
  <si>
    <t>JULIO CESAR SANCHEZ MONTEZA</t>
  </si>
  <si>
    <t>BRINDAR SERVICIOS EN LA U.EJEC. INVERSIONES - GRI</t>
  </si>
  <si>
    <t>KELITA YANETH MUÑOZ RODRIGUEZ</t>
  </si>
  <si>
    <t>CESAR AUGUSTO VALDIVIA RODRIGUEZ</t>
  </si>
  <si>
    <t>BRINDAR SERVICIOS EN UF - SUB GERENCIA ESTUDIOS</t>
  </si>
  <si>
    <t>JHAILER ABANTO ROJAS</t>
  </si>
  <si>
    <t>JOSE VICTOR CAMPOS URTEAGA</t>
  </si>
  <si>
    <t>BRINDAR SERVICIOS EN LA SUB GERENCIA ESTUDIOS</t>
  </si>
  <si>
    <t>ANGEL ALBERTO CULLAMPE SERVAN</t>
  </si>
  <si>
    <t>BILMA FLOR SILVA ROJAS</t>
  </si>
  <si>
    <t>INGENIERA</t>
  </si>
  <si>
    <t>CESAR AUGUSTO PORTAL MIDEROS</t>
  </si>
  <si>
    <t>DYANGELO MARIANO ROBLES OLIVA</t>
  </si>
  <si>
    <t>JAVIER DEL AGUILA GRANDEZ</t>
  </si>
  <si>
    <t>JESSICA CARMENCITA SAUCEDO BARDALES</t>
  </si>
  <si>
    <t xml:space="preserve">JHOANS ARCENIO COTRINA RENGIFO </t>
  </si>
  <si>
    <t>JHONATAN HUMBERTO GARCIA COSTA</t>
  </si>
  <si>
    <t>JIMMY ALFONSO AMPUERO TUESTA</t>
  </si>
  <si>
    <t>JOHN HILMER SALDAÑA NUÑEZ</t>
  </si>
  <si>
    <t>KARINA ROJAS HERRERA</t>
  </si>
  <si>
    <t>KAIRA ALEJANDRA LOZADA SALDAÑA</t>
  </si>
  <si>
    <t>LELIS FERNANDEZ CAMPOS</t>
  </si>
  <si>
    <t xml:space="preserve">LEONCIO CARRASCO OLIVERA </t>
  </si>
  <si>
    <t>LUIS ANDERSON CACERES CRUZ</t>
  </si>
  <si>
    <t>LUZ NEILA MARTINEZ FLORES</t>
  </si>
  <si>
    <t>MARIELA TOMANGUILLA POCLIN</t>
  </si>
  <si>
    <t>BACH. ARQUITECTURA</t>
  </si>
  <si>
    <t>RICARDO VEGA ZAMORA</t>
  </si>
  <si>
    <t>ROGER AGUILAR ALVARADO</t>
  </si>
  <si>
    <t>ROXANA ELIZABETH ZELADA GALLARDO</t>
  </si>
  <si>
    <t>SERGIO JAVIER SALDARRIAGA SAUCEDO</t>
  </si>
  <si>
    <t>STEFANY ZARAY MALDONADO BECERRA</t>
  </si>
  <si>
    <t>TANIA GERALDINI JARA SAMPEN</t>
  </si>
  <si>
    <t>HERBERT CHRISTIAN ALCANTARA HEREDIA</t>
  </si>
  <si>
    <t>DALTON HENRY BUSTAMANTE DUAREZ</t>
  </si>
  <si>
    <t>GABRIEL EDUARDO MEDINA FERNANDEZ</t>
  </si>
  <si>
    <t>RICHARD TAFUR CAGALLAZA</t>
  </si>
  <si>
    <t>JUAN PABLO GONZALES RIOJA</t>
  </si>
  <si>
    <t>COLIN KEIN CORONEL TORRES</t>
  </si>
  <si>
    <t>EGNER SANCHEZ VALQUI</t>
  </si>
  <si>
    <t>BRINDAR SERVICIOS EN LA SUB GERENCIA OBRAS Y MP</t>
  </si>
  <si>
    <t>ASUNTA MILAGROS DIAZ MUÑOZ</t>
  </si>
  <si>
    <t>DANNY MIRELY DIAZ PORTOCARRERO</t>
  </si>
  <si>
    <t>EGRESADA TECNOLOGICO</t>
  </si>
  <si>
    <t>EDINSON VEGA PORTAL</t>
  </si>
  <si>
    <t xml:space="preserve">EMMER PORTOCARRERO BAZAN </t>
  </si>
  <si>
    <t>JOSE JAVIER COLCHADO BUSTILLOS</t>
  </si>
  <si>
    <t>LAINES RABANAL CHAVEZ ARROYO</t>
  </si>
  <si>
    <t>PALMER LLAVE SANTILLAN</t>
  </si>
  <si>
    <t>ROBERT ROJAS TORREJON</t>
  </si>
  <si>
    <t>ROMINA DE JESUS LLAJA DIAZ</t>
  </si>
  <si>
    <t>SUSSY VANESSA TAUMA VALQUI</t>
  </si>
  <si>
    <t>WILDER AMBROSIO MALDONADO PIZARRO</t>
  </si>
  <si>
    <t>WILMER BEJARANO LLAJA</t>
  </si>
  <si>
    <t xml:space="preserve">EUGENIO HORNA TAFUR </t>
  </si>
  <si>
    <t>HUBER AÑAZCO CHAVEZ</t>
  </si>
  <si>
    <t>TOMAS DIAZ ESTELA</t>
  </si>
  <si>
    <t>02802053</t>
  </si>
  <si>
    <t xml:space="preserve">ALEXANDER JIMENEZ GARCIA </t>
  </si>
  <si>
    <t>EMILIO JAVIER GONZALES GUEVARA</t>
  </si>
  <si>
    <t>EVERCIO VIRGILIO LOPEZ SANCHEZ</t>
  </si>
  <si>
    <t>FELIX EDUARDO VIGO ZUMAETA</t>
  </si>
  <si>
    <t>06137474</t>
  </si>
  <si>
    <t>FERNANDO IVAN CABANILLAS GUERRA</t>
  </si>
  <si>
    <t>ANTONIO DE JESUS RAMOS CALDERON</t>
  </si>
  <si>
    <t>DIONICIO ISIDORO DE LA CRUZ SANCHEZ</t>
  </si>
  <si>
    <t>DARWIN SILVA GOÑAS</t>
  </si>
  <si>
    <t xml:space="preserve">EDGAR VASQUEZ MONDRAGON </t>
  </si>
  <si>
    <t>ELFERES MENDOZA HUAMAN</t>
  </si>
  <si>
    <t>EVELYN YULIARY ARROYO ULLOA</t>
  </si>
  <si>
    <t>JOSELITO JAMES INGA MUÑOZ</t>
  </si>
  <si>
    <t>KAREN ELIZABETH ARAUJO ALVARADO</t>
  </si>
  <si>
    <t>KAREN JANINA DAMACEN VARGAS</t>
  </si>
  <si>
    <t>LOIDI SOPLA VILCA</t>
  </si>
  <si>
    <t>LUIS ALBERTO ARAUJO PORTILLA</t>
  </si>
  <si>
    <t>MARIO CRISTIAN HUAMAN MEJIA</t>
  </si>
  <si>
    <t>OSCAR VILLEGAS BARRERA</t>
  </si>
  <si>
    <t>YULI VEGA MUÑOZ</t>
  </si>
  <si>
    <t>SUKER BARDALES EPIQUIEN</t>
  </si>
  <si>
    <t>ELI CHAVARRI ARAUJO</t>
  </si>
  <si>
    <t>JESSICA IRENE CASAS AGUILAR</t>
  </si>
  <si>
    <t>AKEMY GRETEL AREVALO CACHAY</t>
  </si>
  <si>
    <t>O6137474</t>
  </si>
  <si>
    <t>CARLOS ENRIQUE RODRIGUEZ VASQUEZ</t>
  </si>
  <si>
    <t>DEYSI MARTINEZ PERALTA</t>
  </si>
  <si>
    <t>EDWIN GONZALES VICENTE</t>
  </si>
  <si>
    <t>HITSCLIFF CARRASCO ORTIZ</t>
  </si>
  <si>
    <t>JOSE CARLOS FALEN CHAVEZ ARROYO</t>
  </si>
  <si>
    <t>LENIN GONATHAN ZEÑA TINEO</t>
  </si>
  <si>
    <t>BRINDAR SERVICIOS EN LA SUB GERENCIA SUPERVISION Y LIQ</t>
  </si>
  <si>
    <t>CALIXTO FISHER PUSCAN GUIOP</t>
  </si>
  <si>
    <t>EDDIE SANTIAGO DIAZ CHAVEZ</t>
  </si>
  <si>
    <t>EDSON ASPILLAGA DURANGO</t>
  </si>
  <si>
    <t>EGRESADO UNIVERSIDAD</t>
  </si>
  <si>
    <t>ERICK SANCHEZ CABAÑAS</t>
  </si>
  <si>
    <t>EINSTEIN TAFUR OCAMPO</t>
  </si>
  <si>
    <t>FLOR CRISTINA  CHAVEZ CENTENO</t>
  </si>
  <si>
    <t>FLOR DE MARIA GUADALUPE VARGAS</t>
  </si>
  <si>
    <t>GUIULIANA MENDOZA CHUIMES</t>
  </si>
  <si>
    <t>INNGRID LIUSETH FLORES HUAMAN</t>
  </si>
  <si>
    <t>JHOEL ANTONIO QUINTANA VIZCARRA</t>
  </si>
  <si>
    <t>JORGE ALFREDO HERNANDEZ CHAVARRY</t>
  </si>
  <si>
    <t>JUANA CELINA DAMACEN TORREJON</t>
  </si>
  <si>
    <t>LUIS ALONSO SAAVEDRA GUZMAN</t>
  </si>
  <si>
    <t>MELISSA JULIAN RODRIGUEZ</t>
  </si>
  <si>
    <t>OLEGARIO COLLANTES CULQUI</t>
  </si>
  <si>
    <t>RUBEN DAVILA VILLANUEVA</t>
  </si>
  <si>
    <t>ENRIQUE IVAN SALAS CARRANZA</t>
  </si>
  <si>
    <t>GABY ARACELI RIOS DIAZ</t>
  </si>
  <si>
    <t>JHON STALYN MACO TUESTA</t>
  </si>
  <si>
    <t>SANTOS ENRIQUE PLASENCIA MERINO</t>
  </si>
  <si>
    <t>TANILO YASNANI VEGA MIO</t>
  </si>
  <si>
    <t>NICOLAI ALVIN TEJADA BRIOSO</t>
  </si>
  <si>
    <t>SAMUEL MACARIO GUIMARAY BUSTOS</t>
  </si>
  <si>
    <t>CRISTHIAN ANDRE YUMPO BRUNO</t>
  </si>
  <si>
    <t>MIGUEL ANGEL TRUJILLO BARRERA</t>
  </si>
  <si>
    <t>BILL JORDAN FRANZ ARAUJO CACHAY</t>
  </si>
  <si>
    <t xml:space="preserve">SEGUNDO RUIZ REATEGUI </t>
  </si>
  <si>
    <t>MARIA CRISTHINA CASTILLO RIOS</t>
  </si>
  <si>
    <t>DABIAN HUMBERTO DIAZ SANCHEZ</t>
  </si>
  <si>
    <t>FAUSTINO VICTOR ESCALANTE QUISIVERDE</t>
  </si>
  <si>
    <t>MABEL CRISTINA ABANTO PERALTA</t>
  </si>
  <si>
    <t>LUIS MIGUEL LOPEZ RIPALDA</t>
  </si>
  <si>
    <t>LUIS ALBERTO DELGADO SUAREZ</t>
  </si>
  <si>
    <t>JAIME ABSALON VASQUEZ SALON</t>
  </si>
  <si>
    <t>TOPOGRAFO</t>
  </si>
  <si>
    <t>EDUARDO MONTERO GOMEZ</t>
  </si>
  <si>
    <t>ANDERSON DIAZ VILLACORTA</t>
  </si>
  <si>
    <t>MARIO YEFERSON DIAZ VELA</t>
  </si>
  <si>
    <t>ALIN ELI RAMIREZ TORRES</t>
  </si>
  <si>
    <t>CARMEN ROSMERY DAGA IZQUIERDO</t>
  </si>
  <si>
    <t>DARLENI SALAZAR BELTRAN</t>
  </si>
  <si>
    <t>GARDEL GRANDEZ VELA</t>
  </si>
  <si>
    <t>JAMES BACALLA CHAVEZ</t>
  </si>
  <si>
    <t>002 - 953 GERENCIA SUB REGIONAL BAGUA</t>
  </si>
  <si>
    <t>GERENTE</t>
  </si>
  <si>
    <t>JULON IRIGOIN LADY MARILET</t>
  </si>
  <si>
    <t>LICENCIADA EN ADMINISTRACION</t>
  </si>
  <si>
    <t xml:space="preserve">TITULO </t>
  </si>
  <si>
    <t>TITULO PROFESIONAL</t>
  </si>
  <si>
    <t xml:space="preserve">FERNANDEZ ROJAS JORGE ERNESTO </t>
  </si>
  <si>
    <t>LICENCIAS EN NEGOCIOS INTER.</t>
  </si>
  <si>
    <t>LABAN NAVARRO BERNAL</t>
  </si>
  <si>
    <t>DIRECTOR</t>
  </si>
  <si>
    <t xml:space="preserve">RODRIGUEZ URBINA VLADYMIR TEOFILO </t>
  </si>
  <si>
    <t>LICENCIADO EN ADMINISTRACION</t>
  </si>
  <si>
    <t xml:space="preserve">SEGURA HUAMAN AVILA KARIN </t>
  </si>
  <si>
    <t xml:space="preserve">ROJAS FERNANDEZ JOSE WALDEMAR </t>
  </si>
  <si>
    <t>TITULO</t>
  </si>
  <si>
    <t xml:space="preserve">PEREZ TERRONES ATILIO HENRY </t>
  </si>
  <si>
    <t xml:space="preserve">BALDERA SERRANO CARLOS ALBERTO </t>
  </si>
  <si>
    <t xml:space="preserve">FERNANDEZ JULON JIMMY LEVINGS </t>
  </si>
  <si>
    <t>SALAZAR MERA EVER</t>
  </si>
  <si>
    <t>BECERRA AREVALO EULER</t>
  </si>
  <si>
    <t>ASESOR LEGAL</t>
  </si>
  <si>
    <t>SORALUZ SALDAÑA CARLOS ALBERTO</t>
  </si>
  <si>
    <t>VELASQUEZ MORALES EDWIN ELBERTH</t>
  </si>
  <si>
    <t>SEC. TECNICA</t>
  </si>
  <si>
    <t>CALDERON BARDALES MARIA DEL PILAR</t>
  </si>
  <si>
    <t>JEFE LOGISTICA</t>
  </si>
  <si>
    <t>SANCHEZ BUSTAMANTE EVER</t>
  </si>
  <si>
    <t>SECRETARIA</t>
  </si>
  <si>
    <t>ARCELIA CRUZ MENA</t>
  </si>
  <si>
    <t>PAULA AURORA NUÑEZ OBLITAS</t>
  </si>
  <si>
    <t>VIGILANTE</t>
  </si>
  <si>
    <t>08677181</t>
  </si>
  <si>
    <t xml:space="preserve">CORNEJO PASACHE ERICK MANUEL  </t>
  </si>
  <si>
    <t>SECUNDARIA</t>
  </si>
  <si>
    <t>GIL GARCIA GILMAR</t>
  </si>
  <si>
    <t>RAMIREZ GOICOCHEA MARIA</t>
  </si>
  <si>
    <t>INSPECTOR</t>
  </si>
  <si>
    <t>ESPINAL CRUZ JAIRO ANTONY</t>
  </si>
  <si>
    <t>LOCACIÓN DE SERVICIOS</t>
  </si>
  <si>
    <t>NINAQUISPE DELGADO MARLENI</t>
  </si>
  <si>
    <t>154</t>
  </si>
  <si>
    <t>ADMINISTRATITO</t>
  </si>
  <si>
    <t>ROJAS CHAVARRY FRANCISCO</t>
  </si>
  <si>
    <t>86</t>
  </si>
  <si>
    <t>___</t>
  </si>
  <si>
    <t>VIGO GALVEZ EDWIN</t>
  </si>
  <si>
    <t>76</t>
  </si>
  <si>
    <t>ENCARGADA DE LA UEI</t>
  </si>
  <si>
    <t>TINEO BARBOZA MARLYN FIORELLA</t>
  </si>
  <si>
    <t>UNIVERSITARIO</t>
  </si>
  <si>
    <t>596</t>
  </si>
  <si>
    <t>AUXILIAR ADMINISTRATIVO</t>
  </si>
  <si>
    <t>VENTURA RUFASTO TATIANA ANALY</t>
  </si>
  <si>
    <t>68</t>
  </si>
  <si>
    <t>ASESOR LEGAL EXTERNO</t>
  </si>
  <si>
    <t>PASAPERA BARDALES PRAXEDES JR</t>
  </si>
  <si>
    <t>45</t>
  </si>
  <si>
    <t>VILLEGAS YGNACIO DARLY JANNETH</t>
  </si>
  <si>
    <t>75</t>
  </si>
  <si>
    <t>RESPONSABLE DE LA UNIDAD FORMULADORA</t>
  </si>
  <si>
    <t>CATEDRA MACO LUCIO EXALTACION</t>
  </si>
  <si>
    <t>51</t>
  </si>
  <si>
    <t>BOLAÑOS SANTA CRUZ MARIA NELLY</t>
  </si>
  <si>
    <t>__</t>
  </si>
  <si>
    <t>SOTOMAYOR ORTEGA JUAN PABLO</t>
  </si>
  <si>
    <t>ASISTENTE ADMINISTRATIVO</t>
  </si>
  <si>
    <t>NAIRA HERNANDEZ MIRIAM JUDITH</t>
  </si>
  <si>
    <t>77</t>
  </si>
  <si>
    <t>RAMOS RAMÍREZ AURIA LIZ</t>
  </si>
  <si>
    <t>BACHILLER</t>
  </si>
  <si>
    <t>420</t>
  </si>
  <si>
    <t>32</t>
  </si>
  <si>
    <t>VALDEZ CHOMBA HECTOR MIGUEL</t>
  </si>
  <si>
    <t>98</t>
  </si>
  <si>
    <t>40</t>
  </si>
  <si>
    <t>ULLILEN SANTILLAN MARCO ANTONIO</t>
  </si>
  <si>
    <t xml:space="preserve">BACHILLER </t>
  </si>
  <si>
    <t>738</t>
  </si>
  <si>
    <t>82</t>
  </si>
  <si>
    <t>HERRERA CIEZA ERLIN DARWIN</t>
  </si>
  <si>
    <t>873</t>
  </si>
  <si>
    <t>186</t>
  </si>
  <si>
    <t>FISCALIZADOR</t>
  </si>
  <si>
    <t>QUIROZ RAMOS SHEYLA BELISSA</t>
  </si>
  <si>
    <t>30</t>
  </si>
  <si>
    <t>69</t>
  </si>
  <si>
    <t>JEFE DE LOGISTICA</t>
  </si>
  <si>
    <t>775</t>
  </si>
  <si>
    <t>TECNICO ADMINISTRATIVO</t>
  </si>
  <si>
    <t>CRUZ CRUZ ENILO</t>
  </si>
  <si>
    <t>261</t>
  </si>
  <si>
    <t>130</t>
  </si>
  <si>
    <t>ALARCON HERNANDEZ SERVANDO</t>
  </si>
  <si>
    <t>300</t>
  </si>
  <si>
    <t>223</t>
  </si>
  <si>
    <t>HERIBERTO ALTAMIRANO GONZALES</t>
  </si>
  <si>
    <t>AUXILIAR</t>
  </si>
  <si>
    <t>301</t>
  </si>
  <si>
    <t>224</t>
  </si>
  <si>
    <t>ACUÑA LA TORRE LUIS</t>
  </si>
  <si>
    <t>302</t>
  </si>
  <si>
    <t>225</t>
  </si>
  <si>
    <t>LLATAS TERAN DELTER ANTHONY</t>
  </si>
  <si>
    <t>303</t>
  </si>
  <si>
    <t>226</t>
  </si>
  <si>
    <t>GAVIDIA REQUEJO CESAR</t>
  </si>
  <si>
    <t>304</t>
  </si>
  <si>
    <t>227</t>
  </si>
  <si>
    <t>SECRETARIA TECNICA</t>
  </si>
  <si>
    <t xml:space="preserve"> TELLO SANTA CRUZ MAGALY</t>
  </si>
  <si>
    <t>740</t>
  </si>
  <si>
    <t>211</t>
  </si>
  <si>
    <t>APOYO EN SECRETARIA TECNICA</t>
  </si>
  <si>
    <t>MENDOZA ROJAS WALTER</t>
  </si>
  <si>
    <t>PERALTA BURGOS STEFANNY</t>
  </si>
  <si>
    <t>09</t>
  </si>
  <si>
    <t>RAMÍREZ LLATAS RONAL</t>
  </si>
  <si>
    <t>290</t>
  </si>
  <si>
    <t>JEFE DE LIQUIDACION DE OBRAS</t>
  </si>
  <si>
    <t>512</t>
  </si>
  <si>
    <t>ASISTENTE DE LA UEI</t>
  </si>
  <si>
    <t>ALTAMIRANO RAMIREZ JHON MARLON</t>
  </si>
  <si>
    <t>564</t>
  </si>
  <si>
    <t>EVALUADORA DE PROYECTOS DE LA UF</t>
  </si>
  <si>
    <t>MEGO SAAVEDRA FIORELA LILIANA</t>
  </si>
  <si>
    <t>387</t>
  </si>
  <si>
    <t>209</t>
  </si>
  <si>
    <t>ASISTENTE DEL JEFE DE SUPERVISION Y LIQUIDACION DE OBRA</t>
  </si>
  <si>
    <t>NUÑEZ PORTILLA JOSE IRVING</t>
  </si>
  <si>
    <t>563</t>
  </si>
  <si>
    <t>120</t>
  </si>
  <si>
    <t>RELACIONISTA PUBLICA</t>
  </si>
  <si>
    <t>VERGARA MONTALVAN LUCIA THAIS</t>
  </si>
  <si>
    <t>LICENCIADA</t>
  </si>
  <si>
    <t>203</t>
  </si>
  <si>
    <t>185</t>
  </si>
  <si>
    <t>PÈREZ UGAZ IMER JOUNER</t>
  </si>
  <si>
    <t>618</t>
  </si>
  <si>
    <t>288</t>
  </si>
  <si>
    <t>ENCARGADO DE TRAMITE DOCUMENTARIO</t>
  </si>
  <si>
    <t>VIGO GALVEZ DAVID</t>
  </si>
  <si>
    <t>452</t>
  </si>
  <si>
    <t>ENCARGADO DE PATRIMONIO</t>
  </si>
  <si>
    <t>NUÑEZ DIAZ JORGE LUIS</t>
  </si>
  <si>
    <t>485</t>
  </si>
  <si>
    <t>ASISTENTE DE LA OFICINA DE LOGISTICA</t>
  </si>
  <si>
    <t>SANTISTEBAN ALAMO YSABEL MAGALI</t>
  </si>
  <si>
    <t>333</t>
  </si>
  <si>
    <t>43</t>
  </si>
  <si>
    <t>PINTADO RAMOS JHEINY KELLY</t>
  </si>
  <si>
    <t>291</t>
  </si>
  <si>
    <t>SECRETARIA DE GERENCIA</t>
  </si>
  <si>
    <t>CHASQUIBOL MAS LUZ DORITH</t>
  </si>
  <si>
    <t>92</t>
  </si>
  <si>
    <t>386</t>
  </si>
  <si>
    <t>RAMOS CUZQUE GORKY LUIS</t>
  </si>
  <si>
    <t xml:space="preserve">TECNICO </t>
  </si>
  <si>
    <t>115</t>
  </si>
  <si>
    <t>513</t>
  </si>
  <si>
    <t>PERSONAL DE LIMPIEZA</t>
  </si>
  <si>
    <t>GAMONAL FLORES GLADYS</t>
  </si>
  <si>
    <t>202</t>
  </si>
  <si>
    <t>434</t>
  </si>
  <si>
    <t>PERSONAL DE VIGILANCIA</t>
  </si>
  <si>
    <t>PAICO CRISANTO TEODOMIRO</t>
  </si>
  <si>
    <t>352</t>
  </si>
  <si>
    <t>158</t>
  </si>
  <si>
    <t>CORNEJO PASACHE ERICK MANUEL</t>
  </si>
  <si>
    <t>320</t>
  </si>
  <si>
    <t>215</t>
  </si>
  <si>
    <t>GILMAR GIL GARCIA</t>
  </si>
  <si>
    <t>736</t>
  </si>
  <si>
    <t>RESPONSABLE DE LA OFICINA DE SUPERVISION Y LIQUIDACIONES</t>
  </si>
  <si>
    <t>199</t>
  </si>
  <si>
    <t>ASISTENTE DE ASESORIA LEGAL</t>
  </si>
  <si>
    <t>MEJÍA CÓRDOVA LORENA CRISTINA</t>
  </si>
  <si>
    <t>587</t>
  </si>
  <si>
    <t>RELACIONISTA PUBLICO</t>
  </si>
  <si>
    <t>PURIHUAMAN JUARES JOSE</t>
  </si>
  <si>
    <t>525</t>
  </si>
  <si>
    <t xml:space="preserve">ASESOR LEGAL </t>
  </si>
  <si>
    <t xml:space="preserve"> DIAZ GONZALES JIMER WILLIAM</t>
  </si>
  <si>
    <t>505</t>
  </si>
  <si>
    <t>CERNA GUERRERO NAYRA LIZETH</t>
  </si>
  <si>
    <t>508</t>
  </si>
  <si>
    <t>BECERRA SANTILLAN SANTOS ORLANDO</t>
  </si>
  <si>
    <t>195</t>
  </si>
  <si>
    <t>MUÑOZ TELLO LELIS ELMER</t>
  </si>
  <si>
    <t>494</t>
  </si>
  <si>
    <t>PERSONAL DE SALUD</t>
  </si>
  <si>
    <t>CORONEL URBINA AMALIA SHERYL</t>
  </si>
  <si>
    <t>TECNICA EN ENFERMERIA</t>
  </si>
  <si>
    <t>524</t>
  </si>
  <si>
    <t xml:space="preserve"> SUAREZ SUXE JORGE LUIS</t>
  </si>
  <si>
    <t>91</t>
  </si>
  <si>
    <t>SANCHEZ RIOJA DIANA</t>
  </si>
  <si>
    <t>484</t>
  </si>
  <si>
    <t>JIMENEZ CARRASCO DANNY MARIELA</t>
  </si>
  <si>
    <t>365</t>
  </si>
  <si>
    <t>VIGILANTE DEL CIRCUITO DE MANEJO</t>
  </si>
  <si>
    <t>GUTIERREZ MENDOZA MILTON IROITO</t>
  </si>
  <si>
    <t>553</t>
  </si>
  <si>
    <t>ASESORA LEGAL DE TRANSPORTES</t>
  </si>
  <si>
    <t xml:space="preserve"> LEON MONTENEGRO LOURDES NATALY</t>
  </si>
  <si>
    <t>551</t>
  </si>
  <si>
    <t xml:space="preserve">RESPONSABLE DE EMITIR </t>
  </si>
  <si>
    <t>AREVALO FRIAS YENINSON</t>
  </si>
  <si>
    <t>479</t>
  </si>
  <si>
    <t>ENCARGADO DE LA UNIDAD FORMULADORA</t>
  </si>
  <si>
    <t>ROMAN BALLADARES FRANKLIN</t>
  </si>
  <si>
    <t>497</t>
  </si>
  <si>
    <t>ASISTENTE DE LA UF</t>
  </si>
  <si>
    <t>NUÑEZ ARANA ADRIANA ADAMARY</t>
  </si>
  <si>
    <t>102</t>
  </si>
  <si>
    <t>DELGADO LEYVA MARIBEL SUSANA</t>
  </si>
  <si>
    <t>375</t>
  </si>
  <si>
    <t>RESPONSABLE DE LA UEI</t>
  </si>
  <si>
    <t>DIAZ MARIÑO DALTON GUSTAVO</t>
  </si>
  <si>
    <t>306</t>
  </si>
  <si>
    <t>INSPECTOR DE TRANSPORTES</t>
  </si>
  <si>
    <t xml:space="preserve"> ESPINAL CRUZ JAIRO ANTONY</t>
  </si>
  <si>
    <t>454</t>
  </si>
  <si>
    <t>MONITOR DE OBRA</t>
  </si>
  <si>
    <t>JARA ALBERCA EMER NILO</t>
  </si>
  <si>
    <t>206</t>
  </si>
  <si>
    <t>MALCA KAÑAS YOVANNY</t>
  </si>
  <si>
    <t>435</t>
  </si>
  <si>
    <t>ASISTENTE DE LOGISTICA</t>
  </si>
  <si>
    <t>MALCA TAMAY JHOSELY GRACIELA</t>
  </si>
  <si>
    <t>370</t>
  </si>
  <si>
    <t>ASESOR LEGAL DE LA GSRB</t>
  </si>
  <si>
    <t>MALCA REYES JOSE MARTIN</t>
  </si>
  <si>
    <t>382</t>
  </si>
  <si>
    <t>JEFE DE LA OFICINA DE LOGISTICA</t>
  </si>
  <si>
    <t>SUAREZ CHINCHAY LUIS FABRICIANO</t>
  </si>
  <si>
    <t>ASISTENTE DE INFRAESTRUCTURA</t>
  </si>
  <si>
    <t>PEREZ LALANGUI LULI SANDIBEL</t>
  </si>
  <si>
    <t>460</t>
  </si>
  <si>
    <t>LIQUIDADORA FINANCIERA</t>
  </si>
  <si>
    <t>HERNANDEZ ARCE MARIA PERPETUA</t>
  </si>
  <si>
    <t>ESPECIALISTA EN ADMINISTRACION</t>
  </si>
  <si>
    <t>357</t>
  </si>
  <si>
    <t>293</t>
  </si>
  <si>
    <t xml:space="preserve"> DELGADO AGUILAR CESIL RICARTE</t>
  </si>
  <si>
    <t>64</t>
  </si>
  <si>
    <t xml:space="preserve"> PROAÑO BRIONES ROSANGELLA LALESCHKA</t>
  </si>
  <si>
    <t>297</t>
  </si>
  <si>
    <t>003 - 1023 GERENCIA SUB REGIONAL CONDORCANQUI</t>
  </si>
  <si>
    <t xml:space="preserve">JEFE DE LA OFICINA DE RECURSOS HUMANOS </t>
  </si>
  <si>
    <t xml:space="preserve">GONZALES PARRAGUEZ LUIS ALBERTO </t>
  </si>
  <si>
    <t>TITULADO</t>
  </si>
  <si>
    <t xml:space="preserve">TITULADO </t>
  </si>
  <si>
    <t>01/01/2020 AL 28/02/2020</t>
  </si>
  <si>
    <t>RESPONSABLE DE LA OFICINA DE LOGISTICA</t>
  </si>
  <si>
    <t>GOMEZ REQUEJO CALASANCIO</t>
  </si>
  <si>
    <t xml:space="preserve">TECNICO EN CONTABILIDAD </t>
  </si>
  <si>
    <t>002-2020</t>
  </si>
  <si>
    <t>01/01/2020 AL 31/12/2020</t>
  </si>
  <si>
    <t xml:space="preserve">PERSONAL DE LIMPIEZA </t>
  </si>
  <si>
    <t xml:space="preserve">TAIJIN HUAJUSH HERMINIA </t>
  </si>
  <si>
    <t xml:space="preserve">SECUNDARIA COMPLETA </t>
  </si>
  <si>
    <t>TAISH CARDENAS GIL</t>
  </si>
  <si>
    <t>LOPEZ PEÑA REYNALDO</t>
  </si>
  <si>
    <t>03338883</t>
  </si>
  <si>
    <t xml:space="preserve">LOPEZ CALLE ANGEL BENITO </t>
  </si>
  <si>
    <t xml:space="preserve">DIRECTOR SUB REGIONAL DE ADMINISTRACION </t>
  </si>
  <si>
    <t xml:space="preserve">CHAFLOQUE BARRAGAN ANGEL YERALDO </t>
  </si>
  <si>
    <t>SOCIOLOGO</t>
  </si>
  <si>
    <t>SECRETARIA DE LA DIRECCION SUB REGIONAL DE ADMINISTRACION</t>
  </si>
  <si>
    <t>TORRES BARBOZA FABIOLA ARACELY</t>
  </si>
  <si>
    <t>TECNICA EN SECRETARIA EJECUTIVA</t>
  </si>
  <si>
    <t xml:space="preserve">RESPONSABLE DE LA OFICINA DE TESORERIA </t>
  </si>
  <si>
    <t>LEVEAU RUIZ JEMIN</t>
  </si>
  <si>
    <t xml:space="preserve">RESPONSABLE DE LA OFICINA DE RELACIONES PUBLICA </t>
  </si>
  <si>
    <t xml:space="preserve">SAMANIEGO GUTIERREZ HUGO </t>
  </si>
  <si>
    <t xml:space="preserve">DOCENTE </t>
  </si>
  <si>
    <t>010-2020</t>
  </si>
  <si>
    <t xml:space="preserve">ASISTENTE DE LA OFICINA DE RELACIONES PUBLICACIONES </t>
  </si>
  <si>
    <t xml:space="preserve">REATEGUI RAMIREZ MIRIAM ANGELY </t>
  </si>
  <si>
    <t xml:space="preserve">BACHILLER EN COMUNICACIONES </t>
  </si>
  <si>
    <t>011-2020</t>
  </si>
  <si>
    <t>GUERRERO MOROCHO DEYSI CIELO</t>
  </si>
  <si>
    <t>CHOFER II</t>
  </si>
  <si>
    <t xml:space="preserve">JIMENEZ GOYCOCHEA ARTURO </t>
  </si>
  <si>
    <t xml:space="preserve">SECRETARIA DE LA DIRECCION SUB REGIONAL DE PLANEMIENTO Y PRESUPUESTO </t>
  </si>
  <si>
    <t>ARZUBIALDES BARRERA VIOLETA JACQUELINE</t>
  </si>
  <si>
    <t xml:space="preserve">SUAMUT TOLEDO ROLDAN </t>
  </si>
  <si>
    <t xml:space="preserve">CHICOMA PALACIOS DIEGO ALFONSO </t>
  </si>
  <si>
    <t xml:space="preserve">LICENCIADO EN ADMINISTRACION </t>
  </si>
  <si>
    <t>02/03/2020 AL 31/05/2020</t>
  </si>
  <si>
    <t>RESPONSABLE DE OBRA</t>
  </si>
  <si>
    <t xml:space="preserve">CAJO MARTINEZ OMAR JAVIER </t>
  </si>
  <si>
    <t xml:space="preserve">INGENIERO CIVIL </t>
  </si>
  <si>
    <t>017-2020</t>
  </si>
  <si>
    <t>01/06/2020 AL 30/06/2020</t>
  </si>
  <si>
    <t>27/07/2020 AL 31/10/2020</t>
  </si>
  <si>
    <t>02/11/2020 AL 31/12/2020</t>
  </si>
  <si>
    <t>01/01/2021 AL 31/12/2021</t>
  </si>
  <si>
    <t>008-2021</t>
  </si>
  <si>
    <t>01/01/2021 AL 31/12/2022</t>
  </si>
  <si>
    <t>01/01/2021 AL 31/12/2023</t>
  </si>
  <si>
    <t>01/01/2021 AL 31/12/2024</t>
  </si>
  <si>
    <t>01/01/2021 AL 31/12/2025</t>
  </si>
  <si>
    <t>01/01/2021 AL 31/12/2026</t>
  </si>
  <si>
    <t>01/01/2021 AL 31/12/2027</t>
  </si>
  <si>
    <t>01/01/2021 AL 31/12/2028</t>
  </si>
  <si>
    <t xml:space="preserve">RESPOSABLE DE RECURSOS HUMANOS </t>
  </si>
  <si>
    <t>01/01/2021 AL 31/12/2031</t>
  </si>
  <si>
    <t>01/01/2021 AL 31/12/2032</t>
  </si>
  <si>
    <t>01/01/2021 AL 31/12/2033</t>
  </si>
  <si>
    <t xml:space="preserve">RECURSOS ORDINARIOS </t>
  </si>
  <si>
    <t>ASISTENTE ADMINISTRATIVO EN LA OFICINA DE RECURSOS HUMANOS DE LA GERENCIA SUB REGIONAL DE CONDORCANQUI</t>
  </si>
  <si>
    <t>CUBAS CORDOBA BLANCA AYDE</t>
  </si>
  <si>
    <t>TECNICA EN CONTABILIDAD</t>
  </si>
  <si>
    <t>001; 096; 106; 118, 130, 166, 199, 241,267B, 324</t>
  </si>
  <si>
    <t>RESPONSABLE DE LA OFICINA DE ALMACEN CENTRAL  GSRC</t>
  </si>
  <si>
    <t xml:space="preserve">PUANCHA CHIJIAP ROMER </t>
  </si>
  <si>
    <t>EGRESADO TECNICO EN ADMINISTRACION DE EMPRESAS</t>
  </si>
  <si>
    <t xml:space="preserve">EGRESADO </t>
  </si>
  <si>
    <t>002;151, 176, , 258, 270</t>
  </si>
  <si>
    <t>ASISTENTE ADMINISTRATIVO EN LA OFICINA DE CONTROL PATRIMONIAL DE LA GSRC</t>
  </si>
  <si>
    <t>LOPEZ LIZAMA ELMER OLEMAR</t>
  </si>
  <si>
    <t xml:space="preserve">INGENIERO CIVIL DE INDUSTRIAS ALIMENTARIAS </t>
  </si>
  <si>
    <t>003,</t>
  </si>
  <si>
    <t>3</t>
  </si>
  <si>
    <t>ASISTENTE ADMINISTRATIVO EN LA OFICINA DE CONTABILIDAD</t>
  </si>
  <si>
    <t>DURAN ZAMUDIO RONALD MARTIN</t>
  </si>
  <si>
    <t>004,070, 179</t>
  </si>
  <si>
    <t>ASISTENTE ADMINISTRATIVO DE LA OFICINA DE LA UNIDAD FORMULADORA</t>
  </si>
  <si>
    <t>FLORIAN CERCADO HUMBERTO LUIS</t>
  </si>
  <si>
    <t>BACHILLER EN INGENIERIA MECANICA</t>
  </si>
  <si>
    <t>005, 148, 158, 192, 259</t>
  </si>
  <si>
    <t>SECRETARIA DE LA OFICINA DE LOGISTICA Y RESPONSABLE DEL MODULO SEACE  - GSRC</t>
  </si>
  <si>
    <t xml:space="preserve">CHILCON REAÑO MILLY MIRTHA </t>
  </si>
  <si>
    <t xml:space="preserve">TECNICA EN SECRETARIADO EJECUTIVO </t>
  </si>
  <si>
    <t>006,</t>
  </si>
  <si>
    <t xml:space="preserve">ASISTENTE ADMINISTRATIVO EN LA DIRECION SUB REGIONAL DE DESARROLLO ECONOMICO </t>
  </si>
  <si>
    <t>JAAMANCH NANCHI DEVY</t>
  </si>
  <si>
    <t xml:space="preserve">TECNICO EN AGROPECUARIA </t>
  </si>
  <si>
    <t>007, 047, 071; 165, 198 , 257, 281, 312</t>
  </si>
  <si>
    <t>ASISTENTE ADMINISTRATIVO DE LA OFICINA DE LIQUIDACION DE OBRAS</t>
  </si>
  <si>
    <t xml:space="preserve">PUMARICRA QUISPE DULCE PERLA </t>
  </si>
  <si>
    <t xml:space="preserve">INGENIERO CIVIL  </t>
  </si>
  <si>
    <t>008,063, 072</t>
  </si>
  <si>
    <t>ASISTENTE ADMINISTRATIVO DEL MÓDULO DE PROCESO PRESUPUESTARIO</t>
  </si>
  <si>
    <t>WALTER CHINGUEL LLANOS</t>
  </si>
  <si>
    <t xml:space="preserve">TEC. COMPUTACION E INFORMATICA </t>
  </si>
  <si>
    <t>009;093; 103; 115, 126, 154,258</t>
  </si>
  <si>
    <t>APOYO EN LA OFICINA DE LA UNIDAD FORMULADORA</t>
  </si>
  <si>
    <t>CATAN HUANICO MARISOL</t>
  </si>
  <si>
    <t xml:space="preserve">TECNICO EN CORTE Y CONFECCION </t>
  </si>
  <si>
    <t>10;073</t>
  </si>
  <si>
    <t xml:space="preserve">ASISTENTE ADMINISTRATIVVO EN LA OFICINA DE ASESORIA LEGAL </t>
  </si>
  <si>
    <t xml:space="preserve">MENDOZA VILLANUEVA PABLO </t>
  </si>
  <si>
    <t xml:space="preserve">BACHILLER EN DERECHO </t>
  </si>
  <si>
    <t>011,074. 092; 105; 117, 129</t>
  </si>
  <si>
    <t xml:space="preserve">ASISTENTE ADMINISTRATIVO DE LA SECRETARIA DE GERENCIA SUB REGIONAL DE CONDORCANQUI </t>
  </si>
  <si>
    <t xml:space="preserve">VILLANUEVA LOPEZ ANTONIA </t>
  </si>
  <si>
    <t xml:space="preserve">ESTUDIANTE UNIVERSITARIO DE INGENERIA CIVIL </t>
  </si>
  <si>
    <t xml:space="preserve">ESTUDIANTE </t>
  </si>
  <si>
    <t>ESTUDIANTE</t>
  </si>
  <si>
    <t>012,</t>
  </si>
  <si>
    <t>RESPONSABLE DE MESA DE PARTES DE LA GSRC</t>
  </si>
  <si>
    <t>ANTUASH CHIGKIM JUANITA</t>
  </si>
  <si>
    <t>013,</t>
  </si>
  <si>
    <t xml:space="preserve">VIGILANTE DE LA GSRC </t>
  </si>
  <si>
    <t xml:space="preserve">HERRERA WIPIO CARLOS HUMBERTO </t>
  </si>
  <si>
    <t>014,048</t>
  </si>
  <si>
    <t>2</t>
  </si>
  <si>
    <t xml:space="preserve">MOTORISTA DEL MOTOR 60 HP YAMAHA DE LA GSRC </t>
  </si>
  <si>
    <t xml:space="preserve">TUYAS NAYAP GERARDO </t>
  </si>
  <si>
    <t>015; 095, 234, 273A</t>
  </si>
  <si>
    <t xml:space="preserve">RESPONSABLE DE LA OFICINA DE SOPORTE TECNICO DE LA GSRC </t>
  </si>
  <si>
    <t>BERMEO ASAGKAI EULER</t>
  </si>
  <si>
    <t xml:space="preserve">TECNICO EN COMPUTACION E INFORMATICA </t>
  </si>
  <si>
    <t>016; 094; 104, 116, 128, 156, 190</t>
  </si>
  <si>
    <t>RESPONSABLE DE LA OFICINA DE PATRIMONIO DE LA GSRC</t>
  </si>
  <si>
    <t xml:space="preserve">TARRILLO CIEZA MARKO LUIS </t>
  </si>
  <si>
    <t>LICENCIADO EN ADMINISTRACION DE EMPRESAS</t>
  </si>
  <si>
    <t xml:space="preserve">017, 150, 173, 203, 252, 260B, </t>
  </si>
  <si>
    <t>PERSONAL DE LIMPIEZA DE LA GSRC</t>
  </si>
  <si>
    <t xml:space="preserve">SAUKAI MACAHUACHI VIRGINIA </t>
  </si>
  <si>
    <t>018,075; 109, 127, 226</t>
  </si>
  <si>
    <t xml:space="preserve">SECRETARIA DE LA DIRECCION SUB REGIONAL DE INFRESTRUCTURA Y MEDIO AMBIENTE </t>
  </si>
  <si>
    <t xml:space="preserve">NAZARIO MARIANO LADY </t>
  </si>
  <si>
    <t>019,049; 100, 113, 122, 147, 201, 243,268, 329</t>
  </si>
  <si>
    <t xml:space="preserve">ASISTENTE ADMINISTRATIVO DE LA SECRETARIA DE LA DIRECCION SUB REGIONAL DE INFRAESTRUCTURA Y MEDIO AMBIENTE </t>
  </si>
  <si>
    <t xml:space="preserve">SHACAMAJO MASHIAN TANIA </t>
  </si>
  <si>
    <t>020,050</t>
  </si>
  <si>
    <t xml:space="preserve">ASISTENTE ADMINISTRATIVO DE LA SECRETARIA DE LA DIRECCION SUB REGIONAL DE ADMINISTRACION DE LA GSRC </t>
  </si>
  <si>
    <t xml:space="preserve">JEMPETS RAMIREZ ERIKA </t>
  </si>
  <si>
    <t>021, 217, 240, 279, 310</t>
  </si>
  <si>
    <t>ASISTENTE ADMINISTRATIVO DE LA SECRETARIA DE GSRC</t>
  </si>
  <si>
    <t xml:space="preserve">TSUIG MARIAKU CARLOS </t>
  </si>
  <si>
    <t>022, 051. 076</t>
  </si>
  <si>
    <t>ASISTENTE DEL MECANICO DE LA GSRC</t>
  </si>
  <si>
    <t xml:space="preserve">CHIGKUM MAYAN GRIMALDO </t>
  </si>
  <si>
    <t>023.052, 077</t>
  </si>
  <si>
    <t xml:space="preserve">TOMAS KIAK RUTH </t>
  </si>
  <si>
    <t>024,053, 087; 097 ; 102</t>
  </si>
  <si>
    <t>5</t>
  </si>
  <si>
    <t xml:space="preserve">ESPEJO TAISH ROEMEL DARWIN </t>
  </si>
  <si>
    <t xml:space="preserve">ESTUDIANTE TECNICO DE ADMINISTRACION DE EMPRESAS </t>
  </si>
  <si>
    <t>025, 054</t>
  </si>
  <si>
    <t>ASISTENTE ADMINISTRATIVO DE LA OFICINA DE LOGISTICA</t>
  </si>
  <si>
    <t xml:space="preserve">MENDOZA SANCHUM MARCOLENY </t>
  </si>
  <si>
    <t>026.055, 232, 271, 283, 314</t>
  </si>
  <si>
    <t>ASISTENTE DE LA DIRECCION SUB REGIONAL DE DESARROLLO ECONOMICO</t>
  </si>
  <si>
    <t xml:space="preserve">TAIJIN TORRES PAQUITA </t>
  </si>
  <si>
    <t>027</t>
  </si>
  <si>
    <t>1</t>
  </si>
  <si>
    <t xml:space="preserve">SANDOVAL NAVAS LOURDES ODALIA </t>
  </si>
  <si>
    <t>028</t>
  </si>
  <si>
    <t xml:space="preserve">MARIANO TAISH CARLA ERICKA </t>
  </si>
  <si>
    <t>029, 056. 078; 108, 119, 131 ,157,191</t>
  </si>
  <si>
    <t>ASISTENTE ADMIINISTRATIVO DE LA OFCINA DE SOPORTE TECNICO</t>
  </si>
  <si>
    <t xml:space="preserve">REYES ANICETO ANGHELO JAHIR </t>
  </si>
  <si>
    <t xml:space="preserve">030 </t>
  </si>
  <si>
    <t xml:space="preserve">RESPONSABLE DE ARCHIVO GENERAL </t>
  </si>
  <si>
    <t xml:space="preserve">DEKENTAI SHAWIT GILVER </t>
  </si>
  <si>
    <t xml:space="preserve">DOCENTE BILINGÜE </t>
  </si>
  <si>
    <t>031, 057</t>
  </si>
  <si>
    <t>ASISTENTE ADMINISTRATIVO EN LA OFICINA DE LOGISTICA</t>
  </si>
  <si>
    <t xml:space="preserve">ARROBO CENEPO LOURDES GIOVANNA </t>
  </si>
  <si>
    <t>ESTUDIANTE UNIVERSITARIO DE ADMINISTRACION DE EMPRESAS</t>
  </si>
  <si>
    <t>032</t>
  </si>
  <si>
    <t xml:space="preserve">ASISTENTE ADMINISTRATIVO DE LA OFICINA DE ALMACEN CENTRAL </t>
  </si>
  <si>
    <t xml:space="preserve">ASHHAS GONZALES JAMES ALEXANDER </t>
  </si>
  <si>
    <t>033</t>
  </si>
  <si>
    <t xml:space="preserve">ASISTENTE ADMINISTRATIVO DE LA OFICNA DE ALMACEN CENTRAL </t>
  </si>
  <si>
    <t xml:space="preserve">WACHAPA IMPI CASILDA </t>
  </si>
  <si>
    <t>034</t>
  </si>
  <si>
    <t xml:space="preserve">ASISTENTE ADMINISTRATIVO DE ARCHIVO GENERAL </t>
  </si>
  <si>
    <t xml:space="preserve">DIAZ KAJEKUI MARIBEL </t>
  </si>
  <si>
    <t xml:space="preserve">035 </t>
  </si>
  <si>
    <t xml:space="preserve">ASISTENTE ADMINISTRATIVO DE LA OFICNA DE TESORERIA </t>
  </si>
  <si>
    <t xml:space="preserve">WISUM VALERA LEIDI </t>
  </si>
  <si>
    <t>036, 135, 163, 196</t>
  </si>
  <si>
    <t>ASISTENTE ADMINISTRATIVO DE LA OFICINA DE UNIDAD FORMULADORA</t>
  </si>
  <si>
    <t xml:space="preserve">RIVERA RODRIGUEZ LUIS FERNADO </t>
  </si>
  <si>
    <t xml:space="preserve">ESTUDIANTE UNIVERSITARIO </t>
  </si>
  <si>
    <t>037; 059</t>
  </si>
  <si>
    <t xml:space="preserve">AUXILIAR EN LA OFICINA DE ASESORIA LEGAL </t>
  </si>
  <si>
    <t>WAMPAGKIT BUSTAMENTE CARLA LOISA</t>
  </si>
  <si>
    <t>038</t>
  </si>
  <si>
    <t xml:space="preserve">ASISTENTE ADMINISTRATIVO DE PLANEAMIENTO Y PRESUPUESTO </t>
  </si>
  <si>
    <t xml:space="preserve">ALVARADO MENDOZA EDWIN MIGDONIO </t>
  </si>
  <si>
    <t>039, 069</t>
  </si>
  <si>
    <t xml:space="preserve">ASISTENTE ADMINISTRATIVO DE LA DIRECCION SUB REGIONAL DE INFRAESTRUCTURA Y MEDIO AMBIENTE </t>
  </si>
  <si>
    <t>MENDOZA GUERRA OSCAR JOHAO</t>
  </si>
  <si>
    <t>ESTUDIANTE DE INGENIERIA CIVIL</t>
  </si>
  <si>
    <t>040</t>
  </si>
  <si>
    <t xml:space="preserve">ASISTENTE DE LA OFICINA DE ARCHIVO GENERAL </t>
  </si>
  <si>
    <t xml:space="preserve">CHIJIP AWATIAG ZILA </t>
  </si>
  <si>
    <t>041</t>
  </si>
  <si>
    <t xml:space="preserve">ASISTENTE DE LA OFICINA DE RELACIONES PUBLICAS </t>
  </si>
  <si>
    <t>TIWI CHIMPA JESSICA</t>
  </si>
  <si>
    <t>042</t>
  </si>
  <si>
    <t xml:space="preserve">EVALUADOR TECNICO EN LA DIRECCION SUB REGIONAL DE INFRAESTRUCTURA Y MEDIO AMBIENTE </t>
  </si>
  <si>
    <t>LIVAQUE ROSAS VICTOR ANDRES</t>
  </si>
  <si>
    <t>BACHILLER EN INGENIERIA CIVIL</t>
  </si>
  <si>
    <t>043, 062</t>
  </si>
  <si>
    <t xml:space="preserve">ASISTENTE DE LA OFICINA DE RECURSOS HUMANOS </t>
  </si>
  <si>
    <t xml:space="preserve">NUÑEZ CANCINO ANTIA YAJAIRA </t>
  </si>
  <si>
    <t xml:space="preserve">ESTUDIANTE DE CONTABILIDAD </t>
  </si>
  <si>
    <t>044, 060,080 ,149; 164</t>
  </si>
  <si>
    <t xml:space="preserve">SECRETARIA DE LA AGENCIA AGRARIA DE CONDORCANQUI </t>
  </si>
  <si>
    <t xml:space="preserve">PETSAIN PUANCHA KENYA MASTINA </t>
  </si>
  <si>
    <t>045; 101 ; 107 ,125, 200, 323</t>
  </si>
  <si>
    <t xml:space="preserve">ASISTENTE ADMINISTRATIVO DE INFRAESTRUCTURA Y MEDIO AMBIENTE </t>
  </si>
  <si>
    <t xml:space="preserve">VALLEJOS DAICHAP DANIEL BLADIMIR </t>
  </si>
  <si>
    <t>046, 061</t>
  </si>
  <si>
    <t xml:space="preserve">ASISTENTE ADMINISTRATIVO DE LA DIRECCION SUB REGIONAL DE DESARROLLO ECOMOMICO </t>
  </si>
  <si>
    <t>058</t>
  </si>
  <si>
    <t xml:space="preserve">ASISTENTE ADMINISTRATIVO DE LA OFICINA DE CONTROL PATRIMONIAL </t>
  </si>
  <si>
    <t>CHOQUEHUANCA CATAN MATILDE HAYDEE</t>
  </si>
  <si>
    <t>064</t>
  </si>
  <si>
    <t xml:space="preserve">ASISTENTE EN LA OFICINA DE LIQUIDACION DE OBRAS </t>
  </si>
  <si>
    <t xml:space="preserve">ASHAGKEA TSUIG CORNELIO </t>
  </si>
  <si>
    <t>065,083</t>
  </si>
  <si>
    <t xml:space="preserve">HUAMAN REYES DANI ANGEL </t>
  </si>
  <si>
    <t xml:space="preserve">BACHILLER EN MECANICA </t>
  </si>
  <si>
    <t>066</t>
  </si>
  <si>
    <t xml:space="preserve">ASISTENTE DE LA OFICINA DE ALMACEN CENTRAL </t>
  </si>
  <si>
    <t xml:space="preserve">JUWAU UNTSUMAK FRANCISCO </t>
  </si>
  <si>
    <t>067, 082</t>
  </si>
  <si>
    <t xml:space="preserve">ASISTENTE EN LA OFICINA DE RELACIONES PUBLICAS </t>
  </si>
  <si>
    <t>PUMARICRA QUISPE JHON LENIN</t>
  </si>
  <si>
    <t>068, 081, 180, 210, 238, 278, 308</t>
  </si>
  <si>
    <t>ASISTENTE EN LA OFICINA DE ARCHIVO GENERAL</t>
  </si>
  <si>
    <t>079</t>
  </si>
  <si>
    <t xml:space="preserve">ASISTENTE ADMINISTRATIVO EN LA DIRECCION  SUB REGIONAL DE PLANEAMIENTO Y PRESUPUESTO </t>
  </si>
  <si>
    <t>SEMBRERA PEÑA YRIAN</t>
  </si>
  <si>
    <t>085</t>
  </si>
  <si>
    <t>ASISTENTE ADMINISTRATIVO DE LA OFICINA DE CONTABILIDAD</t>
  </si>
  <si>
    <t xml:space="preserve">AGUILAR TUYAS MARIA DEL PILAR </t>
  </si>
  <si>
    <t>ESTUDIANTE TECNICO DE CONTABILIDAD</t>
  </si>
  <si>
    <t>086</t>
  </si>
  <si>
    <t xml:space="preserve">HUAMAN AGURTO ARMANDO </t>
  </si>
  <si>
    <t>088; 098</t>
  </si>
  <si>
    <t xml:space="preserve">ASISTENTE DE LA OFICINA DE LOGISTICA </t>
  </si>
  <si>
    <t>MEGO MONTENEGRO CARLOS ENRIQUE</t>
  </si>
  <si>
    <t>BACHILLER EN ADMINISTRACION DE EMPRESAS</t>
  </si>
  <si>
    <t>89; 099 ; 112; 123, 137</t>
  </si>
  <si>
    <t xml:space="preserve">ASISTENTE ADMINISTRATIVO EN DESARROLLO ECONOMICO </t>
  </si>
  <si>
    <t xml:space="preserve">NUÑEZ SAUKAI HUGO </t>
  </si>
  <si>
    <t>90, 91</t>
  </si>
  <si>
    <t xml:space="preserve">PUANCHA MAYAC EFRAIN </t>
  </si>
  <si>
    <t>ARROBO MENDOZA HENRY</t>
  </si>
  <si>
    <t>114, 167</t>
  </si>
  <si>
    <t xml:space="preserve">SHIMPU AUGUSTO GERSON </t>
  </si>
  <si>
    <t>120;</t>
  </si>
  <si>
    <t xml:space="preserve">MECANICO DE LA GSRC </t>
  </si>
  <si>
    <t xml:space="preserve">ARROBO SAMANIEGO HERMOGENES </t>
  </si>
  <si>
    <t>121; 134</t>
  </si>
  <si>
    <t xml:space="preserve">BRITO LALANGUI FRANKLIN </t>
  </si>
  <si>
    <t xml:space="preserve">ORREGO WIPIO GEREMIAS </t>
  </si>
  <si>
    <t>133;169</t>
  </si>
  <si>
    <t xml:space="preserve">RESPONSABLE DE LA OFICINA DE ARCHIVO GENERAL </t>
  </si>
  <si>
    <t xml:space="preserve">SAAVEDRA ALBERCA HILBER </t>
  </si>
  <si>
    <t xml:space="preserve">TECNICO EN EDIFICACION </t>
  </si>
  <si>
    <t>136,175, 205, 248, 290, 321</t>
  </si>
  <si>
    <t>MENDOZA SALAZAR JUAN JHAIR</t>
  </si>
  <si>
    <t>ASISTENTE DE LA OFICINA DE PATRIMONIO</t>
  </si>
  <si>
    <t>139, 174, 204, 250</t>
  </si>
  <si>
    <t xml:space="preserve">ASISTENTE DE LA OFICINA DE PLANEAMIENTO Y PRESUPUESTO </t>
  </si>
  <si>
    <t>140, 155</t>
  </si>
  <si>
    <t xml:space="preserve">FLORES GONZALES LILIANA </t>
  </si>
  <si>
    <t>BACHILLER EN PERIODISMO</t>
  </si>
  <si>
    <t>141; 162,195, 237, 265B</t>
  </si>
  <si>
    <t xml:space="preserve">ARIAS BECERRA FERNADO ROGELIO </t>
  </si>
  <si>
    <t>CHAIN DAICHAP SILAS</t>
  </si>
  <si>
    <t>143, 177, 207, 259A, 282, 313</t>
  </si>
  <si>
    <t xml:space="preserve">TOPOGRAFO </t>
  </si>
  <si>
    <t xml:space="preserve">PAUKAI DETEN LENIN </t>
  </si>
  <si>
    <t xml:space="preserve">TECNICO EN TOPOGRAFIA </t>
  </si>
  <si>
    <t>145; 172, 202</t>
  </si>
  <si>
    <t xml:space="preserve">RESPONSABLE DE INFROBRAS </t>
  </si>
  <si>
    <t>CAICAY BARBOZA VICTOR JOELL</t>
  </si>
  <si>
    <t xml:space="preserve">ARQUITECTO </t>
  </si>
  <si>
    <t xml:space="preserve">ASISTENTE DE LA DIRECCION SUB REGIONAL DE INFRESTRUCTURA Y MEDIO AMBIENTE </t>
  </si>
  <si>
    <t xml:space="preserve">RIVERA ARROBO JAMES ALEXANDER </t>
  </si>
  <si>
    <t xml:space="preserve">BACHILLER EN CIENCIAS FORESTALES </t>
  </si>
  <si>
    <t>153,170, 268B, 330</t>
  </si>
  <si>
    <t>ASISTENTE ADMINISTRATIVO DE LA OFICINA SUB REGIONAL DE ADMINISTRACIN</t>
  </si>
  <si>
    <t xml:space="preserve">WEEPIU SAMEKASH EDUARDO SEGUNDO </t>
  </si>
  <si>
    <t>ASISTENTE EN LA OFICINA DE LOGISTICA</t>
  </si>
  <si>
    <t xml:space="preserve">ASISTENTE ADMINISTRATIVO EN LA OFICINA DE ASESORIA LEGAL </t>
  </si>
  <si>
    <t xml:space="preserve">DUPIS JEMPEKIT RUFINO </t>
  </si>
  <si>
    <t>161,194, 273B, 299</t>
  </si>
  <si>
    <t>TECNICO ELECTRICISTA</t>
  </si>
  <si>
    <t>GOMEZ CORREA EDUAR</t>
  </si>
  <si>
    <t>178, 208, 287, 316</t>
  </si>
  <si>
    <t xml:space="preserve">ASISTENTE DE TOPORGRAFIA </t>
  </si>
  <si>
    <t>181, 211, 261, 284, 315</t>
  </si>
  <si>
    <t>ASISTENTE DE ARCHIVO</t>
  </si>
  <si>
    <t xml:space="preserve">ENTSAKUA SHIMPU RIDER </t>
  </si>
  <si>
    <t xml:space="preserve">AUXILIAR DE SECRETARIA DE GERENCIA </t>
  </si>
  <si>
    <t xml:space="preserve">REATEGUI SILVA MARIA YAHAIRA </t>
  </si>
  <si>
    <t xml:space="preserve">ESTUDIANTE DE PSICOLOGIA </t>
  </si>
  <si>
    <t>183, 212</t>
  </si>
  <si>
    <t xml:space="preserve">RESPONSABLE DE TRAMITE DOCUMENTARIO </t>
  </si>
  <si>
    <t>UKUMCHAM CHUJAI CAILA</t>
  </si>
  <si>
    <t>185, 214, 262</t>
  </si>
  <si>
    <t xml:space="preserve">TIWI CHIMPA ALEXANDER </t>
  </si>
  <si>
    <t>BACHILLER EN TURISMO Y ADMINISTRACION</t>
  </si>
  <si>
    <t>186, 215</t>
  </si>
  <si>
    <t xml:space="preserve">OPERADOR DEL APLICATIVO DE INVERSIONES UNIDAD FORMULADORA </t>
  </si>
  <si>
    <t>CIEZA IRRABAL MILTON CESAR</t>
  </si>
  <si>
    <t xml:space="preserve">BACHILLER ECONOMIA </t>
  </si>
  <si>
    <t>187, 216, 251, 262</t>
  </si>
  <si>
    <t xml:space="preserve">ASISTENTE ADMINISTRATIVO DE LA DIRECCION DE INFRESTRUCTURA Y MEDIO AMBIENTE </t>
  </si>
  <si>
    <t>189, 245, 285, 306</t>
  </si>
  <si>
    <t xml:space="preserve">ASISTENTE ADMINISTRATIVO DE LA OFICINA DE PATRIMONIO </t>
  </si>
  <si>
    <t>197, 247, 289 , 320</t>
  </si>
  <si>
    <t>209, 260A, 288, 319</t>
  </si>
  <si>
    <t xml:space="preserve">ASISTENTE DE RECURSOS HUMANOS </t>
  </si>
  <si>
    <t>213, 242, 328</t>
  </si>
  <si>
    <t>SAAVEDRA GARCIA ANNY NAYELY</t>
  </si>
  <si>
    <t>218, 266B</t>
  </si>
  <si>
    <t xml:space="preserve">GUARDIAN DE LA PARCELA DE BELLO HORIZONTE DE LA AGENCIA AGRARIA CONDORCANQUI </t>
  </si>
  <si>
    <t xml:space="preserve">LOZANO HERNANDES GERMAN </t>
  </si>
  <si>
    <t>219, 275</t>
  </si>
  <si>
    <t xml:space="preserve">ASISTENTE DE ASESORIA LEGAL </t>
  </si>
  <si>
    <t>KUKUSH CATAN MARCIAL</t>
  </si>
  <si>
    <t>220, 264A, 272B, 300</t>
  </si>
  <si>
    <t xml:space="preserve">ASISTENTE ADMINISTRATIVO DE LA DIREECION SUB REGIONAL DE PLANEAMIENTO Y PRESUPUESTO </t>
  </si>
  <si>
    <t>CHAVEZ MACAHUACHI JESSICA</t>
  </si>
  <si>
    <t xml:space="preserve">TECNICO EN SECRETARIADO EJECUTIVO </t>
  </si>
  <si>
    <t>221, 249, 261, 297</t>
  </si>
  <si>
    <t xml:space="preserve">ASISTENTE EN LA OFICINA DE CONTABILIDAD </t>
  </si>
  <si>
    <t>222, 265A, 276, 304</t>
  </si>
  <si>
    <t>ASISTENTE EN LA OFICINA DE SOPORTE TECNICO</t>
  </si>
  <si>
    <t xml:space="preserve">OJEDA NEYRA FRANKLIN THEY MILER </t>
  </si>
  <si>
    <t xml:space="preserve">ASISTENTE ADMINISTRATIVO DE DESARROLLO ECONOMICO </t>
  </si>
  <si>
    <t xml:space="preserve">NUÑEZ LONGINOTE VILVA SARAI </t>
  </si>
  <si>
    <t xml:space="preserve">ESTUDIANTE DE ENFERMERIA </t>
  </si>
  <si>
    <t xml:space="preserve">ASISTENTE DE MEDIO AMBIENTE </t>
  </si>
  <si>
    <t>AGUILAR LABAN LISBET</t>
  </si>
  <si>
    <t xml:space="preserve">BACHILLER EN INGENERIA AMBIENTAL </t>
  </si>
  <si>
    <t>225, 246, 286, 317</t>
  </si>
  <si>
    <t>CHIJIAP ESACH YANINA</t>
  </si>
  <si>
    <t>ASISTENTE DE TESORERIA</t>
  </si>
  <si>
    <t xml:space="preserve">ASISTENDE ALMACEN CENTRAL </t>
  </si>
  <si>
    <t xml:space="preserve">QUIACO PUANCHA ANETH </t>
  </si>
  <si>
    <t>230, 269,280, 311</t>
  </si>
  <si>
    <t xml:space="preserve">NEYRA CRUZ ROSITA MARIBEL </t>
  </si>
  <si>
    <t>231, 270, 271</t>
  </si>
  <si>
    <t xml:space="preserve">CASTILLO CHANTA BLADIMIRO </t>
  </si>
  <si>
    <t xml:space="preserve">TECNICO EN ASISTENCIA COMERCIAL </t>
  </si>
  <si>
    <t>233, 272A, 293, 332</t>
  </si>
  <si>
    <t xml:space="preserve">ASISTENTE DE LA OFICINA DE SOPORTE TECNICO </t>
  </si>
  <si>
    <t>PAKURAI WAJAJAI NEBEL</t>
  </si>
  <si>
    <t xml:space="preserve">TARRILLO GUEVARA IRMA JOHANA </t>
  </si>
  <si>
    <t xml:space="preserve">AUXILIAR DE ASISTENTE ADMINISTRACION </t>
  </si>
  <si>
    <t xml:space="preserve">VILLANUEVA LOPEZ RUTH NOEMI </t>
  </si>
  <si>
    <t>239, 264B, 298</t>
  </si>
  <si>
    <t xml:space="preserve">ASISTENTE DE LA SECRETARIA DE LA DIRECCION SUB REGIONAL DE INFRAESTRUCTURA Y MEDIO AMBIENTE </t>
  </si>
  <si>
    <t>MARIACO JEMPEKIT DANIA LUZ</t>
  </si>
  <si>
    <t xml:space="preserve">ASISTENTE DE LA OFICINA DE CONTABILIDAD </t>
  </si>
  <si>
    <t xml:space="preserve">RIOS CHAVEZ MAYKER ANGEL </t>
  </si>
  <si>
    <t xml:space="preserve">ESTUDIANTE DE ADMINISTRACION </t>
  </si>
  <si>
    <t>253, 275, 303</t>
  </si>
  <si>
    <t>ASISTENTE DE LA OFICINA DE LA UNIDAD FORMULADORA</t>
  </si>
  <si>
    <t xml:space="preserve">CHANCHARI PEREZ ROBERT MACCLIM </t>
  </si>
  <si>
    <t>255, 277, 305</t>
  </si>
  <si>
    <t xml:space="preserve">ASISTENTE DE LA OFICINA DE TESORERIA </t>
  </si>
  <si>
    <t>JEMPETS MACAHUACHI DE ESAMAT MELICITA</t>
  </si>
  <si>
    <t xml:space="preserve">JAAMANCH KANTUASH NERIO </t>
  </si>
  <si>
    <t>263A</t>
  </si>
  <si>
    <t xml:space="preserve">ASISTENTE DE SECRETARIA DE GERENCIA </t>
  </si>
  <si>
    <t>263B</t>
  </si>
  <si>
    <t>REATEGUI PANDO KINDIA YUCE</t>
  </si>
  <si>
    <t>267B</t>
  </si>
  <si>
    <t xml:space="preserve">AUXILIAR DE LA OFICINA DE ALMANCEN </t>
  </si>
  <si>
    <t>ORREGO UJUKAM ADRIAN</t>
  </si>
  <si>
    <t>268A</t>
  </si>
  <si>
    <t xml:space="preserve">AUXILIAR DE LA OFICINA DE ARCHIVO </t>
  </si>
  <si>
    <t xml:space="preserve">SHAWIT CHUIN LINO </t>
  </si>
  <si>
    <t>274A</t>
  </si>
  <si>
    <t xml:space="preserve">TUESTA AQUITUARI MARLON ALDO </t>
  </si>
  <si>
    <t>274B, 301</t>
  </si>
  <si>
    <t xml:space="preserve">AUXILIAR DE LA OFICINA DE TESORERIA </t>
  </si>
  <si>
    <t xml:space="preserve">TUCHIA WACHAPA JUAN LUIS </t>
  </si>
  <si>
    <t>292, 309</t>
  </si>
  <si>
    <t xml:space="preserve">TII JEMPEKIT WAMPUTSAG ERICK </t>
  </si>
  <si>
    <t>294, 302</t>
  </si>
  <si>
    <t xml:space="preserve">ASISTENTE EN SALUD Y SEGURIDAD OCUPACIONAL Y MEDIO AMBIENTE </t>
  </si>
  <si>
    <t xml:space="preserve">CALVO YU EFRAIN </t>
  </si>
  <si>
    <t xml:space="preserve">BACHILLER EN INGENIERIA AMBIENTAL </t>
  </si>
  <si>
    <t>295, 318</t>
  </si>
  <si>
    <t xml:space="preserve">AUXILIAR DE LA OFICINA DE LA UNIDAD FORMULADORA </t>
  </si>
  <si>
    <t xml:space="preserve">WAJACH YUU GLIMER </t>
  </si>
  <si>
    <t>296, 307</t>
  </si>
  <si>
    <t xml:space="preserve">VILLAIZAN HERRERA EDSON JULIO </t>
  </si>
  <si>
    <t>325, 331</t>
  </si>
  <si>
    <t xml:space="preserve">TIJIAS CHUIN LLOEL </t>
  </si>
  <si>
    <t xml:space="preserve">OPERADOR DEL CARGADOR FRONTAL DE LA GSRC </t>
  </si>
  <si>
    <t xml:space="preserve">CAJUSOL HEREDIA LUIS HENRY </t>
  </si>
  <si>
    <t xml:space="preserve">TECNICO EN MAQUINARIA </t>
  </si>
  <si>
    <t>001- 2021</t>
  </si>
  <si>
    <t>002, 174, 197</t>
  </si>
  <si>
    <t xml:space="preserve">RECURSOS DETERMINADOS </t>
  </si>
  <si>
    <t>003, 043, 085</t>
  </si>
  <si>
    <t>004, 045</t>
  </si>
  <si>
    <t>005, 046; 174,177, 217</t>
  </si>
  <si>
    <t xml:space="preserve">CHINGUEL LLANOS WALTER </t>
  </si>
  <si>
    <t>006, 047, 086, 126, 156, 179, 205</t>
  </si>
  <si>
    <t xml:space="preserve">007, 048 </t>
  </si>
  <si>
    <t>008, 072,089, 129, 159, 181, 206</t>
  </si>
  <si>
    <t>009, 050,090 , 130, 160, 182, 208</t>
  </si>
  <si>
    <t>010, 051</t>
  </si>
  <si>
    <t xml:space="preserve">RECURSOS DETERMINADOS / RECURSOS ORDINARIOS </t>
  </si>
  <si>
    <t>011, 096, 128, 158, 180, 207</t>
  </si>
  <si>
    <t>013, 053, 093, 131, 162, 184, 210</t>
  </si>
  <si>
    <t>014, 054, 095, 153, 203</t>
  </si>
  <si>
    <t xml:space="preserve">RECUSOS DETERMINADOS </t>
  </si>
  <si>
    <t>015, 057</t>
  </si>
  <si>
    <t>016, 165, 185, 209</t>
  </si>
  <si>
    <t>017, 61, 100</t>
  </si>
  <si>
    <t>018, 062, 101, 136, 166 , 186, 211</t>
  </si>
  <si>
    <t>019, 064, 102, 152</t>
  </si>
  <si>
    <t>20;065, 103, 144,204</t>
  </si>
  <si>
    <t>ASISTENTE DE ARCHIVO GENERAL</t>
  </si>
  <si>
    <t>021, 066, 132</t>
  </si>
  <si>
    <t xml:space="preserve">ASISTENTE EN LA OFICINA DE RELACIONES PUBLICAS  </t>
  </si>
  <si>
    <t>022, 068, 105, 145, 167, 187, 222</t>
  </si>
  <si>
    <t>023, 069, 106</t>
  </si>
  <si>
    <t>024, 070</t>
  </si>
  <si>
    <t>025, 071, 108</t>
  </si>
  <si>
    <t xml:space="preserve">AUXILIAR DE LA DIRECCION SUB REGIONAL DE INFRAESTRUCTURA Y MEDIO AMBIENTE </t>
  </si>
  <si>
    <t xml:space="preserve">ROJAS PEREZ MERIAM YESABELLA </t>
  </si>
  <si>
    <t>ESTUDIANTE DE INGENERIA CIVIL</t>
  </si>
  <si>
    <t>026, 075, 107</t>
  </si>
  <si>
    <t>027, 049, 088</t>
  </si>
  <si>
    <t>028, 076, 142, 227</t>
  </si>
  <si>
    <t>029, 078, 115+148, 171, 190, 228</t>
  </si>
  <si>
    <t>030, 056</t>
  </si>
  <si>
    <t>CHIJIP AWATIAG</t>
  </si>
  <si>
    <t>031-2021</t>
  </si>
  <si>
    <t xml:space="preserve">QUIÑONES PITA SANDRO </t>
  </si>
  <si>
    <t>032, 074, 151, 225</t>
  </si>
  <si>
    <t xml:space="preserve">AUXILIAR DE DESARROLLO ECOMOMICO </t>
  </si>
  <si>
    <t xml:space="preserve">AUSHUQUI TANQUI ELISABETH </t>
  </si>
  <si>
    <t>033, 080</t>
  </si>
  <si>
    <t>034, 060, 099, 143</t>
  </si>
  <si>
    <t>SHIMPO JUWAU SEGUNDO</t>
  </si>
  <si>
    <t>035, 063</t>
  </si>
  <si>
    <t>037, 073, 191, 226</t>
  </si>
  <si>
    <t>038, 077, 114, 137, 170, 176, 216</t>
  </si>
  <si>
    <t>AUXILIAR DE SECRETARIA DE GERENCIA</t>
  </si>
  <si>
    <t>FERNANDEZ CASTILLO GISELA LUCERO</t>
  </si>
  <si>
    <t xml:space="preserve">TECNICA EN ENFERMERIA </t>
  </si>
  <si>
    <t>039, 044, 122</t>
  </si>
  <si>
    <t>040, 055, 087, 138</t>
  </si>
  <si>
    <t xml:space="preserve">EXTENSIONISTA AGRARIO EN LA DIRECCION SUB REGIONAL DE DESARROLLO ECONOMICO </t>
  </si>
  <si>
    <t xml:space="preserve">VALVERDE CALVO LUIS WAGNER </t>
  </si>
  <si>
    <t xml:space="preserve">BACHILLER EN INGENIERIA AGRIGOLA </t>
  </si>
  <si>
    <t>041, 079</t>
  </si>
  <si>
    <t>ASHAGKAEA TSUIG CORNELIO</t>
  </si>
  <si>
    <t>042-2021</t>
  </si>
  <si>
    <t xml:space="preserve">ASISTENTE DE ADMINISTRACION </t>
  </si>
  <si>
    <t>052, 093, 146, 161, 183, 218</t>
  </si>
  <si>
    <t xml:space="preserve">CHIJIP AWATIAG PETRONILA </t>
  </si>
  <si>
    <t>TECNCIO</t>
  </si>
  <si>
    <t>58, 097, 149, 215</t>
  </si>
  <si>
    <t xml:space="preserve">RECURSOS DETERMINADOS, RECURSOS ORDINARIOS </t>
  </si>
  <si>
    <t>59, 098, 133</t>
  </si>
  <si>
    <t>RESPONSABLE DE IMAGEN INSTITUCIONAL</t>
  </si>
  <si>
    <t>67, 104, 173, 214</t>
  </si>
  <si>
    <t xml:space="preserve">ASISTENTE DE LOS EVALUADORES TECNICOS </t>
  </si>
  <si>
    <t xml:space="preserve">GALLARDO ESQUEN EDUAR GALLARDO </t>
  </si>
  <si>
    <t>081;111</t>
  </si>
  <si>
    <t>ASISTENTE DE LA OFICINA DE UNIDAD FORMULADORA</t>
  </si>
  <si>
    <t xml:space="preserve">CANCINO SAUKAI YOWANA </t>
  </si>
  <si>
    <t>BACHILLER EN ADMINISTRACION</t>
  </si>
  <si>
    <t>82, 091</t>
  </si>
  <si>
    <t>COORDINADOR DE OBRA</t>
  </si>
  <si>
    <t xml:space="preserve">CERCADO LOPEZ MARCO ANTONIO </t>
  </si>
  <si>
    <t>BACHILLER EN INGENERIA CIVL</t>
  </si>
  <si>
    <t>84, 110, 139, 198</t>
  </si>
  <si>
    <t>109, 140 , 199</t>
  </si>
  <si>
    <t>113, 141, 200</t>
  </si>
  <si>
    <t xml:space="preserve">MANSACHI PUANCHA ANABELA </t>
  </si>
  <si>
    <t xml:space="preserve">RECURSOS DETERMINADOS/ RECURSOS ORDINARIOS </t>
  </si>
  <si>
    <t>AUXILIAR DE SECRETARIA DE LA AGENCIA AGRARIA CONDORCANQUI</t>
  </si>
  <si>
    <t>MACAHUACHI TSAJUPUT JENNY CAROLINA</t>
  </si>
  <si>
    <t xml:space="preserve">TECNICA EN PROMOCION CULTURAL </t>
  </si>
  <si>
    <t>118; 172, 196</t>
  </si>
  <si>
    <t xml:space="preserve">RESPONSABLE DE LA OFICINA DE ASUNTOS INDIGENAS </t>
  </si>
  <si>
    <t xml:space="preserve">REATEGUI NAJANTAI JORGE </t>
  </si>
  <si>
    <t>119; 127, 157, 178, 212</t>
  </si>
  <si>
    <t>MIQUEIN CUIMAN INMACULADA</t>
  </si>
  <si>
    <t>120, 134, 163</t>
  </si>
  <si>
    <t xml:space="preserve">BUCUINGO DETEN JOSUE </t>
  </si>
  <si>
    <t>121;147; 169; 189, 224</t>
  </si>
  <si>
    <t>SAJAMI BERMEO JAROL</t>
  </si>
  <si>
    <t xml:space="preserve">ASISTENTE ADMINISTRATIVO DE SECRETARIA DE LA DRIECCION SUB REGIONAL DE DESARROLLO ECONOMICO </t>
  </si>
  <si>
    <t xml:space="preserve">VALLEJOS DAICHAP LISBETH </t>
  </si>
  <si>
    <t>QUIAC TAIJIN LUIS MIGUEL</t>
  </si>
  <si>
    <t>125, 135, 164</t>
  </si>
  <si>
    <t xml:space="preserve">AUXILIAR DE LA OFICINA DE SOPORTE TECNICO </t>
  </si>
  <si>
    <t>RAMON WISUM JEINER</t>
  </si>
  <si>
    <t>150, 168, 188, 223</t>
  </si>
  <si>
    <t>154, 201</t>
  </si>
  <si>
    <t>155, 213</t>
  </si>
  <si>
    <t>166-2021</t>
  </si>
  <si>
    <t>DAECAT MAYAC ODONY</t>
  </si>
  <si>
    <t xml:space="preserve">192, </t>
  </si>
  <si>
    <t>ARZUBIALDEZ DAVILA MARIA IRAIDA</t>
  </si>
  <si>
    <t xml:space="preserve">193, </t>
  </si>
  <si>
    <t xml:space="preserve">ASISTENDE DE LA DIRECCION SUB REGIONAL DE INFRAESTRUCTURA </t>
  </si>
  <si>
    <t>LONGINOTE TAWAN OLIVER EDWARD</t>
  </si>
  <si>
    <t>194, 202</t>
  </si>
  <si>
    <t>ESPEJO TAISH ROEMEL DARWIN</t>
  </si>
  <si>
    <t>ESTUDIANTE TECNICO ADMINISTRACION</t>
  </si>
  <si>
    <t>TOTAL UNIDAD EJECUTORA 003 - 1023 GERENCIA SUB REGIONAL CONDORCANQUI</t>
  </si>
  <si>
    <t>004 - 1429 GERENCIA SUB REGIONAL UTCUBAMBA</t>
  </si>
  <si>
    <t>JEFE DE TESORERIA</t>
  </si>
  <si>
    <t>OSORIO CUEVA LEILA YSABEL</t>
  </si>
  <si>
    <t>CONTADOR PUBLICO COLEGIADO</t>
  </si>
  <si>
    <t>PROFESIONAL TITULADO</t>
  </si>
  <si>
    <t xml:space="preserve">CONTRATO N° 02- ADENDA N° 09, ADENDA N° 08, ADENDA N° 07, ADENDA N° 06, ADENDA N° 05, ADENDA N° 04 </t>
  </si>
  <si>
    <t>CONTRATO N° 02 - ADENDA N° 02-2021</t>
  </si>
  <si>
    <t>TARRILLO CLAVO EDSSON ALBERTO</t>
  </si>
  <si>
    <t>ING. SISTEMAS</t>
  </si>
  <si>
    <t>CONTRATO N° 04, ADENDA N° 01, ADENDA N° 02</t>
  </si>
  <si>
    <t>CONTRATO N° 4 - ADENDA N° 1</t>
  </si>
  <si>
    <t>JEFE DE CONTABILIDAD</t>
  </si>
  <si>
    <t>VENTURA VARGAS FLOR FIORELLA</t>
  </si>
  <si>
    <t>CONTRATO N° 01</t>
  </si>
  <si>
    <t>CONTRATO N° 01 - ADENDA N° 01</t>
  </si>
  <si>
    <t>PANDURO PARIHUAMAN DIANA EVELYN</t>
  </si>
  <si>
    <t>CONTRATO N° 01, ADENDA N° 01</t>
  </si>
  <si>
    <t>CONTRATO N° 3, ADENDA N° 3</t>
  </si>
  <si>
    <t>CONTRATO N° 3 - ADENDA N° 3</t>
  </si>
  <si>
    <t>DIRECTOR E DE LA ZTPE</t>
  </si>
  <si>
    <t>SUAREZ SERRANO MARIO DIEGO</t>
  </si>
  <si>
    <t>ADENDA N° 01 - RENOVACION N° 12</t>
  </si>
  <si>
    <t>CONTRATO N° 4 - ADENDA N° 9</t>
  </si>
  <si>
    <t>ASISTENTE DE LA ZTPE</t>
  </si>
  <si>
    <t>GUERRERO ALTAMIRANO FRANK JHONATAN</t>
  </si>
  <si>
    <t>COMPUTACION E INFORMATICO</t>
  </si>
  <si>
    <t>CONTRATO N° 5 - ADENDA N° 01 - RENOVACION N° 12</t>
  </si>
  <si>
    <t>CONTRATO N° 5 - ADENDA N° 4</t>
  </si>
  <si>
    <t>INSPECTOR DE TRABAJO</t>
  </si>
  <si>
    <t>LOPEZ RAMIREZ SHEYLA</t>
  </si>
  <si>
    <t>CONTRATO N° 16</t>
  </si>
  <si>
    <t xml:space="preserve">                       -   </t>
  </si>
  <si>
    <t>ASISTENTE DE LA OFICINA DE COORDINACIÓN BAGUA</t>
  </si>
  <si>
    <t>VASQUEZ VARGAS DANELY</t>
  </si>
  <si>
    <t>CONTRATO N° 17</t>
  </si>
  <si>
    <t>JIMENEZ DIAS LIMIS EMELY</t>
  </si>
  <si>
    <t>ADENDA N° 01 - RENOVACION N° 13</t>
  </si>
  <si>
    <t>GUEVARA CHOLAN OSWALDO WILFRESO</t>
  </si>
  <si>
    <t>CONTRATO N° 06 - ADENDA N° 01 - RENOVACION N° 14</t>
  </si>
  <si>
    <t>CONTRATO N° 7 - ADENDA N° 6</t>
  </si>
  <si>
    <t>ASISTENTE DE INSPECTORIA</t>
  </si>
  <si>
    <t>HERNANDEZ FONSDECA ALDO</t>
  </si>
  <si>
    <t>ADMINISTRADOR</t>
  </si>
  <si>
    <t>ADENDA N° 01 - CONTRATO N° 15</t>
  </si>
  <si>
    <t>HERRERA CHAMAYA MARIA CLEIDER</t>
  </si>
  <si>
    <t>OCUPACION</t>
  </si>
  <si>
    <t xml:space="preserve">                 -   </t>
  </si>
  <si>
    <t>CONTRATO 10 - ADENDA N° 6</t>
  </si>
  <si>
    <t>PROMOTORA SOCIAL</t>
  </si>
  <si>
    <t>OSORIO REYES ROSA MARGARITA</t>
  </si>
  <si>
    <t>CONTRATO N° 13</t>
  </si>
  <si>
    <t>CONTRATO N° 9 - ADENDA N° 8</t>
  </si>
  <si>
    <t>SECRETARIA DE LA ZTPE</t>
  </si>
  <si>
    <t>BRICEÑO BENAVIDES JILMA LUSDELY</t>
  </si>
  <si>
    <t>CONTRATO N° 04-2020</t>
  </si>
  <si>
    <t xml:space="preserve">CONTRATO N° 7 </t>
  </si>
  <si>
    <t>CONSERJE</t>
  </si>
  <si>
    <t>PEREZ SAUCEDO YORDIN ALBERTO</t>
  </si>
  <si>
    <t>EGRESADO ING SISTEMAS</t>
  </si>
  <si>
    <t>EGRESADO</t>
  </si>
  <si>
    <t>CONTRATO N° 11</t>
  </si>
  <si>
    <t>CONTRATO 11 - ADENDA N° 10</t>
  </si>
  <si>
    <t>VASQUEZ DELGADO JOANNE JHOSILU</t>
  </si>
  <si>
    <t>CONTRATO N° 8 - ADENDA N° 5</t>
  </si>
  <si>
    <t>ASISTENTE DE RR.PP.</t>
  </si>
  <si>
    <t>POZO ZUMAETA JOSE CARLOS</t>
  </si>
  <si>
    <t>EGRESADO EN COMUNICACIÓN</t>
  </si>
  <si>
    <t>CAPACITACIÓN</t>
  </si>
  <si>
    <t>LOCADOR DE SERVICIOS</t>
  </si>
  <si>
    <t xml:space="preserve">ASISTENTE </t>
  </si>
  <si>
    <t>MARTINEZ GUEVARA FLOR MARIANELA</t>
  </si>
  <si>
    <t>TEC. CONTABILIDAD</t>
  </si>
  <si>
    <t>ASISTENTE DE RR.HH</t>
  </si>
  <si>
    <t>QUIROZ FERNANDEZ JUDITH LILIANA</t>
  </si>
  <si>
    <t>TEC.COMPUTACION E INFORMATICA</t>
  </si>
  <si>
    <t>VIGILANCIA</t>
  </si>
  <si>
    <t>UBILLUS COLLANTES RODOLFO WALTEMAR</t>
  </si>
  <si>
    <t>OCUPACIONAL</t>
  </si>
  <si>
    <t>PIÑIN RIVERA JESUS ALBERTO</t>
  </si>
  <si>
    <t>RESPONSABLE  PATRIMONIO</t>
  </si>
  <si>
    <t>MONTALVO COLLANTES ALEXANDER RAUL</t>
  </si>
  <si>
    <t>TEC. EN COMPUT E INFORMATICA</t>
  </si>
  <si>
    <t>ASIST.  INFRAESTRUCTURA</t>
  </si>
  <si>
    <t>GUTIERREZ ARAUJO MILAGRITOS  M.DEL MAR</t>
  </si>
  <si>
    <t>TEC. COMPUTACION E INFORMATICA</t>
  </si>
  <si>
    <t>CHOFER DE OSRIMA</t>
  </si>
  <si>
    <t xml:space="preserve">FERNANDEZ CORONEL HERMINIO </t>
  </si>
  <si>
    <t>SECRETARIA DE OBRAS</t>
  </si>
  <si>
    <t>VASQUEZ PAICO MARICELA KATIXA</t>
  </si>
  <si>
    <t>TEC. COMP.E INFORMATICA</t>
  </si>
  <si>
    <t xml:space="preserve"> SECRETARIA EN LA ZTPE</t>
  </si>
  <si>
    <t>FERNANDEZ DIAZ YECELI</t>
  </si>
  <si>
    <t>ASISTENTE DE RR - HH</t>
  </si>
  <si>
    <t>ZUTA GASTELO BIANCA DEL PILAR</t>
  </si>
  <si>
    <t>ASISTENTE DE OBRAS</t>
  </si>
  <si>
    <t>SOLIS GARCIA CESAR AUGUSTO</t>
  </si>
  <si>
    <t>INGENIERO AGRICOLA</t>
  </si>
  <si>
    <t>ROMAN  CUBAS DE BRAVO GRACE AREZU</t>
  </si>
  <si>
    <t>ASISTENTE DEFENSA CIVIL</t>
  </si>
  <si>
    <t xml:space="preserve">MILIAN VALLE DANIELA </t>
  </si>
  <si>
    <t>TEC. EN COMPUTACION  E INFORMÁTICA</t>
  </si>
  <si>
    <t>CHOFER DE GERENCIA</t>
  </si>
  <si>
    <t>BARDALES GONZALES JEINER</t>
  </si>
  <si>
    <t>CHOFER DE GERENCIA - cisterna</t>
  </si>
  <si>
    <t>DIAZ QUISPE NELSON</t>
  </si>
  <si>
    <t>LIZANA  SANCHEZ HERLESS</t>
  </si>
  <si>
    <t>ASIST. EVALUADOR DE LA U.F</t>
  </si>
  <si>
    <t>LEON GUEVARA JOSE AUDER</t>
  </si>
  <si>
    <t>EGRESADO DE ECONOMIA</t>
  </si>
  <si>
    <t>TRAMITE DOCUMENTARIO</t>
  </si>
  <si>
    <t>CARRASCO BURGA LINDAURA</t>
  </si>
  <si>
    <t>MANUEL GABRIEL MELENDEZ ROJAS</t>
  </si>
  <si>
    <t>BACHILLER . IN. MECANICA</t>
  </si>
  <si>
    <t>SANCHEZ RAFAEL LUIS ALBERTO</t>
  </si>
  <si>
    <t>CHOFER DE MAQUINARIA</t>
  </si>
  <si>
    <t>RAMOS MUÑOS ERIK</t>
  </si>
  <si>
    <t>JEFE DE ASESORIA LEGAL</t>
  </si>
  <si>
    <t xml:space="preserve">CARHUAJULCA GUEVARA NEYLI </t>
  </si>
  <si>
    <t>ABAD CONCHA KEYLA VIVIANA</t>
  </si>
  <si>
    <t xml:space="preserve">ASISTENTE  ASESORIA LEGAL </t>
  </si>
  <si>
    <t>CRUZADO GUEVARA RENATO MARTIN</t>
  </si>
  <si>
    <t>ASISTENTE DE CONTABILIDAD</t>
  </si>
  <si>
    <t xml:space="preserve">LLATAS FLORES YACELI </t>
  </si>
  <si>
    <t>C.P.C CONTADOR</t>
  </si>
  <si>
    <t>ASIST. ADM. TESORERIA</t>
  </si>
  <si>
    <t>CASTILLO FERNANDEZ CECILIA DEL PILAR</t>
  </si>
  <si>
    <t>PAZ OTINIANO CRUZ MARIBEL</t>
  </si>
  <si>
    <t>TEC. EN COMP. E INFORMATICA</t>
  </si>
  <si>
    <t>JEFE DE RR.PP</t>
  </si>
  <si>
    <t>HUAMAN GONZALES EDGAR</t>
  </si>
  <si>
    <t>LIC. MARKETING Y NEGOCIOS INTERNAC</t>
  </si>
  <si>
    <t>JEFE DE PLANES Y SISTEMAS</t>
  </si>
  <si>
    <t xml:space="preserve"> CHUQUIPUL DIAZ  EYNER ABIMAEL</t>
  </si>
  <si>
    <t>BACHILLER ING. SISTEMAS</t>
  </si>
  <si>
    <t>ASISTENTE DE PLANES Y SISTEMAS</t>
  </si>
  <si>
    <t>ATOCHE FRANCISCO  FRANCISCO</t>
  </si>
  <si>
    <t>ESPECIALISTA ADMINISTRATIVO RR.HH</t>
  </si>
  <si>
    <t>CAMUS GONZALEZ ALBERT</t>
  </si>
  <si>
    <t>ASISTENTE DE PRESUPUESTO</t>
  </si>
  <si>
    <t>QUISPE RODRIGUEZ DIANA MELIZA</t>
  </si>
  <si>
    <t>EGRESADA DE CONTABILIDAD</t>
  </si>
  <si>
    <t>JEFE DE DEFENSA CIVIL</t>
  </si>
  <si>
    <t>DELGADO AREVALO JOSE WILDER</t>
  </si>
  <si>
    <t>ASIST. ADM. DEFENSA CIVIL</t>
  </si>
  <si>
    <t>DELGADO SANCHEZ JENIFFER JUDIXA</t>
  </si>
  <si>
    <t>RESPONSABLE OFICINA ARCHIVO.</t>
  </si>
  <si>
    <t>CUEVA JULIAN ROLY</t>
  </si>
  <si>
    <t>ASIST. DE ARCHIVO</t>
  </si>
  <si>
    <t>GARCIA TICLIAHUANCA LEIDY</t>
  </si>
  <si>
    <t>ENCARGADO SERVICIOS AUXILIALES DE LOGISTICA</t>
  </si>
  <si>
    <t>MEDINA ORTIZ ALEXANDER</t>
  </si>
  <si>
    <t>LIC. ADMINISTRACIÓN DE EMPRESAS</t>
  </si>
  <si>
    <t>RESPONSABLE DE ALMACEN</t>
  </si>
  <si>
    <t>TORRES VASQUEZ EVA AGAR</t>
  </si>
  <si>
    <t xml:space="preserve">Bach. CONTABILIDAD Y FINANZAS </t>
  </si>
  <si>
    <t>COTIZADOR DE LOGISTICA</t>
  </si>
  <si>
    <t>IRIGOIN TORRES NORVIL YHELSIN</t>
  </si>
  <si>
    <t>VASQUEZ ALARCON CARLOMAN</t>
  </si>
  <si>
    <t>MARTINEZ CENTURION SAUL</t>
  </si>
  <si>
    <t>PRIMARIA COMPLETA</t>
  </si>
  <si>
    <t>HERRERA CHAMAYA MARIA CLEITER</t>
  </si>
  <si>
    <t>DELGADO GUEVARA THALIA LISBETH</t>
  </si>
  <si>
    <t>UNIVERSITARIA</t>
  </si>
  <si>
    <t>ESTUDIANTE UNIVERSITARIA</t>
  </si>
  <si>
    <t>APOYO EN LA ZONA DE TRABAJO</t>
  </si>
  <si>
    <t>MEGO OBLITAS JOSE ANTONIO</t>
  </si>
  <si>
    <t>ASIST. ADM. DE INFRAESTRUCTURA</t>
  </si>
  <si>
    <t>BAUTISTA GOMEZ DEINER CRISTHIAN</t>
  </si>
  <si>
    <t>APOYO EN INFRAESTRUCTURA</t>
  </si>
  <si>
    <t>FRANCO QUIROZ JASMIN</t>
  </si>
  <si>
    <t>INGENIERA CIVIL</t>
  </si>
  <si>
    <t>CHOFER DE INFRAESTRUCTURA</t>
  </si>
  <si>
    <t>ALARCON SANCHEZ WILMER</t>
  </si>
  <si>
    <t>JEFE  UNIDAD FORMULADORA</t>
  </si>
  <si>
    <t>ALARCON TORRES JUSTIMIANO</t>
  </si>
  <si>
    <t>EVALUADOR DE UNIDAD FORMULADORA</t>
  </si>
  <si>
    <t>PERALTA MONTENEGRO KATIA JESSENIA</t>
  </si>
  <si>
    <t>INGENIERIA CIVIL</t>
  </si>
  <si>
    <t>ASIST. ADM. UNIDAD FORMULADORA</t>
  </si>
  <si>
    <t>BERNAL CASTILLO ROSSMERY</t>
  </si>
  <si>
    <t>Bach. CONTABILIDAD</t>
  </si>
  <si>
    <t>JEFE DE ESTUDIOS</t>
  </si>
  <si>
    <t>ORIHUELA MOLINA JHONATAN E</t>
  </si>
  <si>
    <t>JEFE SUP Y LIQ.</t>
  </si>
  <si>
    <t>DAVILA ALVARADO DENNIS ATILANO</t>
  </si>
  <si>
    <t xml:space="preserve">ING. CIVIL  </t>
  </si>
  <si>
    <t>ASIST. ADM. SUP. Y LIQ.</t>
  </si>
  <si>
    <t>SANCHEZ FERNANDEZ, MARIA YAKELI</t>
  </si>
  <si>
    <t>NGENIERA CIVIL</t>
  </si>
  <si>
    <t>ASISTENTE DE SUP. Y LIQ</t>
  </si>
  <si>
    <t>VILCHEZ ECHAIZ LUIS  ALEJANDRO</t>
  </si>
  <si>
    <t>LINARES LLANOS NELLY ROSA</t>
  </si>
  <si>
    <t>Bachiller CONTABILIDAD</t>
  </si>
  <si>
    <t>JEFE DE LA UNIDAD DE ESTUDIOS</t>
  </si>
  <si>
    <t>LEON LLANOS BRUCE LESTER</t>
  </si>
  <si>
    <t>ASISTENTE DE ESTUDIOS</t>
  </si>
  <si>
    <t>PERALTA OBLITAS ROISER</t>
  </si>
  <si>
    <t>Ing. AGRICOLA</t>
  </si>
  <si>
    <t>ZAPATA ABAD YESSICA LISET</t>
  </si>
  <si>
    <t>JEFE DE LA UNIDAD DE OBRAS</t>
  </si>
  <si>
    <t>AGUILAR TORREJON MAXEDONIO</t>
  </si>
  <si>
    <t>NUÑEZ MEJIA BILY RICHARD</t>
  </si>
  <si>
    <t>ENFERMERA PARA LA GSRU</t>
  </si>
  <si>
    <t xml:space="preserve">FERNANDEZ GUERRERO GRISALIDA </t>
  </si>
  <si>
    <t>TOTAL UNIDAD EJECUTORA 004 - 1429 GERENCIA SUB REGIONAL UTCUBAMBA</t>
  </si>
  <si>
    <t>005 - 1518 PROAMAZONAS</t>
  </si>
  <si>
    <t>CANON Y SOBRECANON, REGALÍAS, RENTA DE ADUANAS Y PARTICIPACIONES</t>
  </si>
  <si>
    <t>D.L. 728</t>
  </si>
  <si>
    <t>DIRECTOR EJECUTIVO</t>
  </si>
  <si>
    <t>REYNA CHUQUIPIONDO JAIME</t>
  </si>
  <si>
    <t>CIENCIAS CONTABLES Y FINANZAS</t>
  </si>
  <si>
    <t>172-2021</t>
  </si>
  <si>
    <t>CHÁVEZ PUERTA JHESICA</t>
  </si>
  <si>
    <t>TECNICO EN SECRETARIADO</t>
  </si>
  <si>
    <t>ESPINOZA ZORRILLA ALFREDO A.</t>
  </si>
  <si>
    <t>05-2021</t>
  </si>
  <si>
    <t>GARCÍA GUEVARA JHOLÍN</t>
  </si>
  <si>
    <t>TURISMO Y ADMINISTRACION</t>
  </si>
  <si>
    <t>ZUMAETA ROCHA CLEBER</t>
  </si>
  <si>
    <t>JEFE DE LA UNIDAD DE ADMINISTRACION</t>
  </si>
  <si>
    <t>73-2019</t>
  </si>
  <si>
    <t>ESPECIALISTA EN ADQUISICIONES</t>
  </si>
  <si>
    <t>CUEVA POMPA HERNAN</t>
  </si>
  <si>
    <t>AGROINDUSTRIAL</t>
  </si>
  <si>
    <t>ESPECIALISTA EN PERSONAL</t>
  </si>
  <si>
    <t>CISNEROS SOPLA DARWIN</t>
  </si>
  <si>
    <t>35-2020</t>
  </si>
  <si>
    <t>13-2021</t>
  </si>
  <si>
    <t>ESPECIALISTA EN CONTABILIDAD</t>
  </si>
  <si>
    <t>LUDEÑA HUAMÁN EMILIA</t>
  </si>
  <si>
    <t>ASISTENTE SIAF</t>
  </si>
  <si>
    <t>JEFE DE UNIDAD DE PLANEAMIENTO Y PRESUPUESTO</t>
  </si>
  <si>
    <t>COLLAZOS SILVA KEITH B.</t>
  </si>
  <si>
    <t>592-2019</t>
  </si>
  <si>
    <t>ESPECIALISTA EN SEGUIMIENTO Y MONITOREO</t>
  </si>
  <si>
    <t>CASTRO AGUILAR PATRICIA CAROLINA</t>
  </si>
  <si>
    <t>ESPECIALISTA EN PRESUPUESTO</t>
  </si>
  <si>
    <t>BUSTAMANTE OCAMPO ANILDA</t>
  </si>
  <si>
    <t>MAGISTER</t>
  </si>
  <si>
    <t>DIRECTOR DE INFRAESTRUCTURA</t>
  </si>
  <si>
    <t>BARTUREN NOE FRAZIER SMITH</t>
  </si>
  <si>
    <t>21-2020</t>
  </si>
  <si>
    <t xml:space="preserve"> TRAUCO TAFUR VICTOR A. </t>
  </si>
  <si>
    <t>ESPECIALISTA EN INFRAESTRUCTURA VIAL</t>
  </si>
  <si>
    <t>ZEGARRA VASQUEZ OSCAR</t>
  </si>
  <si>
    <t>ESPECIALISTA EN RESIDUOS SOLIDOS</t>
  </si>
  <si>
    <t>DIRECTOR DE TURISMO</t>
  </si>
  <si>
    <t>SANTILLA MEZA FERNANDO</t>
  </si>
  <si>
    <t>TERAN REATEGUI ELIZABETH N.</t>
  </si>
  <si>
    <t>BIOLOGA</t>
  </si>
  <si>
    <t>318-2020</t>
  </si>
  <si>
    <t>ESPECIALISTA EN ACONDICIONAMIENTO TURISTICO</t>
  </si>
  <si>
    <t>MORI URQUIA ROXANA</t>
  </si>
  <si>
    <t>TURISMO Y HOTELERIA</t>
  </si>
  <si>
    <t>ESPECIALISTA EN PROMOCION TURISTICA</t>
  </si>
  <si>
    <t>SANCHEZ CHAVEZ ROCIO DEL P.</t>
  </si>
  <si>
    <t>74-2021</t>
  </si>
  <si>
    <t>ESPECIALISTA EN NEGOCIOS</t>
  </si>
  <si>
    <t>TOTAL UNIDAD EJECUTORA 005- 1518 PROAMAZONAS</t>
  </si>
  <si>
    <t>100 - 722 AGRICULTURA</t>
  </si>
  <si>
    <t>BRICEÑO GUEVARA ROSELL</t>
  </si>
  <si>
    <t>TÉCNICO</t>
  </si>
  <si>
    <t>TÉCNICO SUPERIOR</t>
  </si>
  <si>
    <t>TÉCNICO AGROPECUARIO</t>
  </si>
  <si>
    <t>023/2020</t>
  </si>
  <si>
    <t>023/2021</t>
  </si>
  <si>
    <t>CASTAÑEDA ORDOÑEZ FREDY CESAR</t>
  </si>
  <si>
    <t>TÉCNICO MECÁNICO</t>
  </si>
  <si>
    <t>012/2020</t>
  </si>
  <si>
    <t>012/2021</t>
  </si>
  <si>
    <t>ESPECIALISTA EN SANEAMIENTO LEGAL</t>
  </si>
  <si>
    <t>CASTILLO CHAVARRY RIDER</t>
  </si>
  <si>
    <t>025/2020</t>
  </si>
  <si>
    <t>025/2021</t>
  </si>
  <si>
    <t>GUARDIAN</t>
  </si>
  <si>
    <t>07713455</t>
  </si>
  <si>
    <t>CASTILLO DAVILA LUIS ARTEMIO</t>
  </si>
  <si>
    <t>NO TIENE</t>
  </si>
  <si>
    <t>002/2020</t>
  </si>
  <si>
    <t>002/2021</t>
  </si>
  <si>
    <t>CASTILLO REYNA EDDIE RONALD</t>
  </si>
  <si>
    <t>TÉCNICO EN ADMINISTRACIÓN</t>
  </si>
  <si>
    <t>004/2020</t>
  </si>
  <si>
    <t>004/2021</t>
  </si>
  <si>
    <t>ESPECIALISTA EN CLASIFICACION DE SUELOS</t>
  </si>
  <si>
    <t>CHAVEZ VERGARAY WUILCER</t>
  </si>
  <si>
    <t>BACHILLER EN INGENIERIA  AGRONOMA</t>
  </si>
  <si>
    <t>019/2020</t>
  </si>
  <si>
    <t>019/2021</t>
  </si>
  <si>
    <t>PROMOTOR AGROPECUARIO</t>
  </si>
  <si>
    <t>CHINCHAY SILVA ALDOMARO</t>
  </si>
  <si>
    <t>020/2020</t>
  </si>
  <si>
    <t>020/2021</t>
  </si>
  <si>
    <t>CULLAMPE GONZALES EMILIANA</t>
  </si>
  <si>
    <t>SECRETARIA EJECUTIVA</t>
  </si>
  <si>
    <t>026/2020</t>
  </si>
  <si>
    <t>026/2021</t>
  </si>
  <si>
    <t>DIRECTOR OFICINA ESTADISTICA</t>
  </si>
  <si>
    <t>DEL AGUILA CASTILLO FERNANDO ALBERTO</t>
  </si>
  <si>
    <t>BACHILLER EN CIENCIAS ESTADISTICAS</t>
  </si>
  <si>
    <t>INGENIERO ESTADISTICO</t>
  </si>
  <si>
    <t>DIRECTOR OFICINA PRODUCCIÓN AGROPECUARIA</t>
  </si>
  <si>
    <t>BACHILLER EN AGRONOMÍA</t>
  </si>
  <si>
    <t>009/2021</t>
  </si>
  <si>
    <t>RESPONSABLE DE ARCHIVO</t>
  </si>
  <si>
    <t>FARJE PEREZ SEIDA ANALI</t>
  </si>
  <si>
    <t>TÉCNICO EN COMPUTACIÓN</t>
  </si>
  <si>
    <t>ESPECIALISTA EN SANEAMIENTO FISICO</t>
  </si>
  <si>
    <t>GRANDEZ CULLAMPE ALEXANDER</t>
  </si>
  <si>
    <t>018/2020</t>
  </si>
  <si>
    <t>018/2021</t>
  </si>
  <si>
    <t>ALMACENERO</t>
  </si>
  <si>
    <t>GUERRERO CAMUS LUIS DIONICIO</t>
  </si>
  <si>
    <t>001/2020</t>
  </si>
  <si>
    <t>001/2021</t>
  </si>
  <si>
    <t>RESPONSABLE DE ABASTECIMIENTOS</t>
  </si>
  <si>
    <t>GUIVIN PEREZ JORGE LUIS</t>
  </si>
  <si>
    <t>BACHILLER EN CIENCIAS CONTABLES Y FINANCIERAS</t>
  </si>
  <si>
    <t>CONTADOR PÚBLICO</t>
  </si>
  <si>
    <t>RESPONSABLE UNIDAD DE CONTABILIDAD</t>
  </si>
  <si>
    <t>HOYOS RAMOS YALITZA</t>
  </si>
  <si>
    <t>032/2020</t>
  </si>
  <si>
    <t>032/2021</t>
  </si>
  <si>
    <t>HUAMAN HUAMAN SALLY</t>
  </si>
  <si>
    <t>035/2020</t>
  </si>
  <si>
    <t>035/2021</t>
  </si>
  <si>
    <t>RESPONSABLE DE PATRIMONIO</t>
  </si>
  <si>
    <t>INGA MUÑOZ BEATRIZ GERMEE</t>
  </si>
  <si>
    <t>024/2020</t>
  </si>
  <si>
    <t>024/2021</t>
  </si>
  <si>
    <t>RESPONSABLE CADENA DE LÁCTEOS</t>
  </si>
  <si>
    <t>JARA CABRERA CARMELA</t>
  </si>
  <si>
    <t>BACHILLER EN CIENCIAS PECUARIAS</t>
  </si>
  <si>
    <t>INGENIERO ZOOTECNISTA</t>
  </si>
  <si>
    <t>TECNICO EN COMPUTACIÓN</t>
  </si>
  <si>
    <t>038/2020</t>
  </si>
  <si>
    <t>038/2021</t>
  </si>
  <si>
    <t>LOPEZ OCLOCHO LILIANA INES</t>
  </si>
  <si>
    <t>011/2020</t>
  </si>
  <si>
    <t>011/2021</t>
  </si>
  <si>
    <t>RESPONSABLE DE PLANILLAS</t>
  </si>
  <si>
    <t>MAICELO QUINTANA CARMEN EUFEMIA</t>
  </si>
  <si>
    <t>BACHILLER EN ADMINISTRACIÓN DE EMPRESAS</t>
  </si>
  <si>
    <t>LIC. EN ADMINISTRACIÓN DE EMPRESAS</t>
  </si>
  <si>
    <t>021/2020</t>
  </si>
  <si>
    <t>021/2021</t>
  </si>
  <si>
    <t>RESPONSABLE CAD-GIS</t>
  </si>
  <si>
    <t>MAMANI CRUZ SEGUNDO JOSE</t>
  </si>
  <si>
    <t>BACHILLER EN INGENIERIA AMBIENTAL</t>
  </si>
  <si>
    <t>RESPONSABLE CADENA DE VALOR DE CAFÉ</t>
  </si>
  <si>
    <t>MEJIA QUEVEDO WILMAN CESAR</t>
  </si>
  <si>
    <t>030/2020</t>
  </si>
  <si>
    <t>030/2021</t>
  </si>
  <si>
    <t>01327386</t>
  </si>
  <si>
    <t>MIRANDA GONZALES JHIMER GEOVANNY</t>
  </si>
  <si>
    <t>015/2020</t>
  </si>
  <si>
    <t>015/2021</t>
  </si>
  <si>
    <t>ABOGADO DE CAMPO</t>
  </si>
  <si>
    <t>MUGUERZA BENEL ERIN AMED</t>
  </si>
  <si>
    <t>040/2020</t>
  </si>
  <si>
    <t>040/2021</t>
  </si>
  <si>
    <t>DIRECTOR OFICINA IBFRAESTRUCTURA HIDRAULICA</t>
  </si>
  <si>
    <t>NUÑEZ LOPEZ HECTOR CESARIO</t>
  </si>
  <si>
    <t>BACHILLER EN CIENCIAS AGRICOLAS</t>
  </si>
  <si>
    <t>INGENIERO AGRÍCOLA</t>
  </si>
  <si>
    <t>039/2020</t>
  </si>
  <si>
    <t>039/2021</t>
  </si>
  <si>
    <t>DIRECTOR REGIONAL</t>
  </si>
  <si>
    <t>NUÑEZ TERAN LUIS SACARIAS</t>
  </si>
  <si>
    <t>PARDO MUÑOZ RUBEN</t>
  </si>
  <si>
    <t>022/2020</t>
  </si>
  <si>
    <t>022/2021</t>
  </si>
  <si>
    <t>DIRECTOR (E ) SANEAMIENTO FISICO</t>
  </si>
  <si>
    <t>RAYMUNDO VASQUEZ ADIMER</t>
  </si>
  <si>
    <t>BACHILLER EN INGENIERIA AGROINDUSTRIAL</t>
  </si>
  <si>
    <t>INGENIERO AGROINDUSTRIAL</t>
  </si>
  <si>
    <t>RESPONSABLE COMUNIDADES CAMPESINAS Y NATIVAS</t>
  </si>
  <si>
    <t>RODRIGUEZ COTRINA LUIS</t>
  </si>
  <si>
    <t>031/2020</t>
  </si>
  <si>
    <t>031/2021</t>
  </si>
  <si>
    <t>RESPONSABLE OFICINA INFORMATICA</t>
  </si>
  <si>
    <t>ROJAS DIAZ JOSE IVAN</t>
  </si>
  <si>
    <t>BACHILLER EN INGENIERIA DE SISTEMAS</t>
  </si>
  <si>
    <t>009/2020</t>
  </si>
  <si>
    <t>ROJAS GARCIA CARLOS AUGUSTO</t>
  </si>
  <si>
    <t>006/2020</t>
  </si>
  <si>
    <t>006/2021</t>
  </si>
  <si>
    <t>ROJAS GRANDEZ KATHERIN LISBETH</t>
  </si>
  <si>
    <t>010/2021</t>
  </si>
  <si>
    <t>DIRECTORA OFICINA DE ADMINISTRACIÓN</t>
  </si>
  <si>
    <t>007/2020</t>
  </si>
  <si>
    <t>007/2021</t>
  </si>
  <si>
    <t>SANCHEZ CABAÑAS CHRISTY MARGARETH</t>
  </si>
  <si>
    <t>029/2020</t>
  </si>
  <si>
    <t>029/2021</t>
  </si>
  <si>
    <t>SANTILLAN MENDOZA LITMAN KELER</t>
  </si>
  <si>
    <t>037/2020</t>
  </si>
  <si>
    <t>037/2021</t>
  </si>
  <si>
    <t>TEJEDO CRUZ MANUEL</t>
  </si>
  <si>
    <t>DIRECTOR OFICINA ASESORIA JURIDICA</t>
  </si>
  <si>
    <t>TUESTA HUAMAN STALIN</t>
  </si>
  <si>
    <t>06233080</t>
  </si>
  <si>
    <t>VALQUI CHUQUIZUTA VICTOR RAFAEL</t>
  </si>
  <si>
    <t>034/2020</t>
  </si>
  <si>
    <t>034/2021</t>
  </si>
  <si>
    <t>VARGAS MANCHAY FRANKLIN</t>
  </si>
  <si>
    <t>013/2020</t>
  </si>
  <si>
    <t>013/2021</t>
  </si>
  <si>
    <t>SECRETARIA TÉCNICA PAD</t>
  </si>
  <si>
    <t>VARGAS GUIVIN FIORELA ARACELI</t>
  </si>
  <si>
    <t>041/2020</t>
  </si>
  <si>
    <t>041/2021</t>
  </si>
  <si>
    <t>VALQUI ZUTA SEGUNDO LEOPOLDO</t>
  </si>
  <si>
    <t>VETERINARIO</t>
  </si>
  <si>
    <t>BACHILLER EN MEDICINA VETERINARIA</t>
  </si>
  <si>
    <t>MEDICO VETERINARIO</t>
  </si>
  <si>
    <t>042/2020</t>
  </si>
  <si>
    <t>042/2021</t>
  </si>
  <si>
    <t>RESPONSABLE CADENA DE CAFÉ</t>
  </si>
  <si>
    <t>VIGO PORTOCARRERO WAGNER</t>
  </si>
  <si>
    <t>036/2020</t>
  </si>
  <si>
    <t>036/2021</t>
  </si>
  <si>
    <t>DIRECTORA OFICINA DE PLANEAMIENTO Y PPTO.</t>
  </si>
  <si>
    <t>VILLAR FRANCO DALILA DEL CARMEN</t>
  </si>
  <si>
    <t>008/2020</t>
  </si>
  <si>
    <t>008/2021</t>
  </si>
  <si>
    <t>ASUNTA TAUMA TORREJON</t>
  </si>
  <si>
    <t>ADMINISTRACION</t>
  </si>
  <si>
    <t>FIORELLA</t>
  </si>
  <si>
    <t>DERECHO</t>
  </si>
  <si>
    <t>KATHERIN FLORES DAVILA</t>
  </si>
  <si>
    <t>003/2020</t>
  </si>
  <si>
    <t>003/2021</t>
  </si>
  <si>
    <t>ASISTENTE EN SERVICIOS</t>
  </si>
  <si>
    <t>JESICA</t>
  </si>
  <si>
    <t>O/S N°522</t>
  </si>
  <si>
    <t>LUIS QUINTANILLA</t>
  </si>
  <si>
    <t>106-2021</t>
  </si>
  <si>
    <t>RESP. DEL POI</t>
  </si>
  <si>
    <t>KARIN CHAVEZ CACERES</t>
  </si>
  <si>
    <t>10/200</t>
  </si>
  <si>
    <t>RESP. DEL PPR 068</t>
  </si>
  <si>
    <t>99-2021</t>
  </si>
  <si>
    <t>RESP DE LA UNIDAD FORMULADORA</t>
  </si>
  <si>
    <t>FRANZ JAVE ESCOBEDO</t>
  </si>
  <si>
    <t>ECONOMIA</t>
  </si>
  <si>
    <t>11/202</t>
  </si>
  <si>
    <t>APOYO EN LA UNIDAD FORMULADORA</t>
  </si>
  <si>
    <t>DANTE CAMPOS TORRES</t>
  </si>
  <si>
    <t>TECNICO EN SISTEMA ELECTRICO</t>
  </si>
  <si>
    <t>102-2021</t>
  </si>
  <si>
    <t>LIMPIEZA</t>
  </si>
  <si>
    <t>ENEIDA TRUJILLO</t>
  </si>
  <si>
    <t>O/S N° 045</t>
  </si>
  <si>
    <t>PILAR CULQUE</t>
  </si>
  <si>
    <t>010/2020</t>
  </si>
  <si>
    <t>O/S N° 547</t>
  </si>
  <si>
    <t>VIGILACIA</t>
  </si>
  <si>
    <t>ODAR</t>
  </si>
  <si>
    <t>005/2020</t>
  </si>
  <si>
    <t>LUIS</t>
  </si>
  <si>
    <t>005/2021</t>
  </si>
  <si>
    <t>VIGILACIA AGENCIA AGRARI BONGARA - JAZAN</t>
  </si>
  <si>
    <t>JOSE RIGOBERTO</t>
  </si>
  <si>
    <t>0016/2020</t>
  </si>
  <si>
    <t>VIGILACIA AGENCIA AGRARI BONGARA - POMACOCHAS</t>
  </si>
  <si>
    <t>ESTEÑO SALVA MORI</t>
  </si>
  <si>
    <t>COMUNICADOR SOCIAL</t>
  </si>
  <si>
    <t>JOSE QUISPE OCMIN</t>
  </si>
  <si>
    <t>COMUNICADOR</t>
  </si>
  <si>
    <t>BACHILLER EN CIENCIAS DE LA COMUNICACION</t>
  </si>
  <si>
    <t>CAMILA MELENDEZ</t>
  </si>
  <si>
    <t>TECNICO EN SECCRETARIA</t>
  </si>
  <si>
    <t>130/2021</t>
  </si>
  <si>
    <t>FRANKLIN</t>
  </si>
  <si>
    <t>107/2021</t>
  </si>
  <si>
    <t>SAMUEL TEJADA</t>
  </si>
  <si>
    <t>52/2021</t>
  </si>
  <si>
    <t>GRACE JOVANA</t>
  </si>
  <si>
    <t>O/S 453.2021</t>
  </si>
  <si>
    <t>RESPONSABLE DEL PPR 040</t>
  </si>
  <si>
    <t>JOSE NAUCA</t>
  </si>
  <si>
    <t>BACHILLER EN INGINIERIA</t>
  </si>
  <si>
    <t>115/2021</t>
  </si>
  <si>
    <t>ESPECIALISTA DEL PPR 040</t>
  </si>
  <si>
    <t>FRANCISCO CASTRO LOZANO</t>
  </si>
  <si>
    <t>INGINIERIA AGROINDUSTRIAL</t>
  </si>
  <si>
    <t>APOYO ADMINISTRATIVO</t>
  </si>
  <si>
    <t>SEIDA FARGE PEREZ</t>
  </si>
  <si>
    <t>TECNICO EN ADMINISTRACION DE EMPRESA</t>
  </si>
  <si>
    <t>ESPECIALISTA</t>
  </si>
  <si>
    <t>ERICK VILLOSLADA</t>
  </si>
  <si>
    <t>INGINIERIA AGRICOLA</t>
  </si>
  <si>
    <t>014/2022</t>
  </si>
  <si>
    <t>200 - 723 TRANSPORTES</t>
  </si>
  <si>
    <t>RESP.UNIDAD DE ABASTECIMIENTO</t>
  </si>
  <si>
    <t>ESPINOZA ABARCA FIORELLA  GIULIANA</t>
  </si>
  <si>
    <t>0001-2020</t>
  </si>
  <si>
    <t>03/02/2020 AL 25/04/2020</t>
  </si>
  <si>
    <t>RESP.UNIDAD DE TESORERIA</t>
  </si>
  <si>
    <t>0005-2020,AD 02, AD03.</t>
  </si>
  <si>
    <t>03/03/2020</t>
  </si>
  <si>
    <t>AD 04-2021</t>
  </si>
  <si>
    <t>01/02/2021 AL 31/08/2021</t>
  </si>
  <si>
    <t>SECRETARIO TECNICO</t>
  </si>
  <si>
    <t>SOTO ORBEGOZO JOSE JANCARLOS</t>
  </si>
  <si>
    <t>DIRECCION REGIONAL</t>
  </si>
  <si>
    <t>42315355</t>
  </si>
  <si>
    <t>TORREJON VILLEGAS JORGE HOBEDD</t>
  </si>
  <si>
    <t>DIRECCION DE CAMINOS E INFRAESTRUCTURA AEROPORTUARIA</t>
  </si>
  <si>
    <t>72485197</t>
  </si>
  <si>
    <t>SOPLA COTRINA ADMER</t>
  </si>
  <si>
    <t>15/07/2020</t>
  </si>
  <si>
    <t>DIRECCION DE CIRCULACION TERRESTRE  Y TRANSPORTE ACUATICO</t>
  </si>
  <si>
    <t>72327464</t>
  </si>
  <si>
    <t>LINARES DIAZ JUAN DANIEL</t>
  </si>
  <si>
    <t>11/06/2019</t>
  </si>
  <si>
    <t>TRANSPORTES AMAZONAS</t>
  </si>
  <si>
    <t>72914774</t>
  </si>
  <si>
    <t>CHAVEZ TORRES FRANKLIN ENRIQUE</t>
  </si>
  <si>
    <t xml:space="preserve">001,0007-2020 AL </t>
  </si>
  <si>
    <t>02/11/2020</t>
  </si>
  <si>
    <t>DIRECCION DE COMUNICACIONES</t>
  </si>
  <si>
    <t>33414221</t>
  </si>
  <si>
    <t>CHUQUIBALA HUAMAN NESTOR VICENTE</t>
  </si>
  <si>
    <t>TEC. ELECTRONICO</t>
  </si>
  <si>
    <t>AD 011-2021</t>
  </si>
  <si>
    <t>RESP.UNIDAD DE PERSONAL</t>
  </si>
  <si>
    <t>ANGULO ZUTA JANET</t>
  </si>
  <si>
    <t>LIC. ADMINISTRACION EN TURISMO Y HOTELERIA</t>
  </si>
  <si>
    <t xml:space="preserve">13/02/2020 AL </t>
  </si>
  <si>
    <t>DIRECTOR DE LA OFICINA DE ADMINISTRACION</t>
  </si>
  <si>
    <t>RES.413</t>
  </si>
  <si>
    <t xml:space="preserve">18/06/2021 AL </t>
  </si>
  <si>
    <t>DIRECTOR OFICINA DE ADMINISTRACION</t>
  </si>
  <si>
    <t>RODRIGUEZ CABANILLAS YSAAC</t>
  </si>
  <si>
    <t>0002-2020</t>
  </si>
  <si>
    <t xml:space="preserve">12/02/2020 AL </t>
  </si>
  <si>
    <t>DIRECTOR DE CAMINOS E INFRAESTRUCTURA AEROPUERTIARIA</t>
  </si>
  <si>
    <t>BARRANZUELA CAMPOS WILSON NORVIL</t>
  </si>
  <si>
    <t>0003-2020</t>
  </si>
  <si>
    <t>OFICINA DE PLANIFICACION Y PRESUPUEST0 Y DESARROLLO INSTITUC</t>
  </si>
  <si>
    <t>GUABLOCHO ROJAS JHON DARLY</t>
  </si>
  <si>
    <t>INGENIERO INDUSTRIAL</t>
  </si>
  <si>
    <t xml:space="preserve">01/04/2020 AL </t>
  </si>
  <si>
    <t>DIRECTOR DE ADMINISTRACION</t>
  </si>
  <si>
    <t>QUINTANA GUEVARA ROYSER PEPE</t>
  </si>
  <si>
    <t>LICENCIADO EN ADMINISTACION</t>
  </si>
  <si>
    <t xml:space="preserve">APOYO ADMINISTRATIVO EN SEGURIDAD VIAL </t>
  </si>
  <si>
    <t>WIPIO UWAK YAYANUA IRIS ALZAIDA</t>
  </si>
  <si>
    <t>JALK VALDIVIA MARIANELA</t>
  </si>
  <si>
    <t>AQUINO MORALES EDWIN RAUL</t>
  </si>
  <si>
    <t xml:space="preserve">ASISTENTE LEGAL </t>
  </si>
  <si>
    <t>VALLE ATANACIO LEYDI PATRICIA</t>
  </si>
  <si>
    <t xml:space="preserve">ASISTENTE ADMINISTRATIVO </t>
  </si>
  <si>
    <t>MEZA AREVALO NADINY</t>
  </si>
  <si>
    <t>LLATANCE YOPLAC AIDITH</t>
  </si>
  <si>
    <t>LOPEZ ALVA NORMA VIOLETA</t>
  </si>
  <si>
    <t xml:space="preserve">RESPONSABLE DE REMUNERA CIONES </t>
  </si>
  <si>
    <t>VILCHEZ RAMOS KORY ZELENY</t>
  </si>
  <si>
    <t>CAMPOS PERALTA YENI FIORELA</t>
  </si>
  <si>
    <t>MALDONADO PEREA LLERIS FLORITA</t>
  </si>
  <si>
    <t xml:space="preserve">ESPECIALISTA EN ESTUDIOS DE MERCADO </t>
  </si>
  <si>
    <t>TAFUR GUTIERREZ ANGEL DARIO</t>
  </si>
  <si>
    <t>GUEVARA ROJAS DENNIS</t>
  </si>
  <si>
    <t>RESPONSABLE DE IMPRESIÓN DE LICENCIAS DE CONDUCIR</t>
  </si>
  <si>
    <t>PAUCAR HEREDIA DEYVID ROLANDO</t>
  </si>
  <si>
    <t>RESPONSABLE DE LA OFICINA DE INFORMATICA</t>
  </si>
  <si>
    <t>LOJA ALVARADO HECTOR</t>
  </si>
  <si>
    <t xml:space="preserve">ASISTENTE ADMINISTRATIVO DE LA OFICINA DE CONTABILIDAD </t>
  </si>
  <si>
    <t>VEGA CISNEROS YESENIA</t>
  </si>
  <si>
    <t xml:space="preserve">SECRETARIA DE LA DIRECCION REGIONAL </t>
  </si>
  <si>
    <t>FERNANDEZ JARAMILLO HEIDY MANUEL</t>
  </si>
  <si>
    <t xml:space="preserve">TECNICO EN MECANICA DE SUELOS </t>
  </si>
  <si>
    <t>ORDOÑEZ SERVAN EDGAR LEONARDO</t>
  </si>
  <si>
    <t>GALLARDO MELENDEZ FREDDY LUIS</t>
  </si>
  <si>
    <t>GARCIA TORREJON PEDRO NEISER</t>
  </si>
  <si>
    <t>YNGA DIAZ WILINTON</t>
  </si>
  <si>
    <t xml:space="preserve">ASISTENTE ADMINISTRATIVO EN LA OFICINA DE IMAGEN INSTITUCIONAL </t>
  </si>
  <si>
    <t>CABAÑAS LOPEZ JOSE LUIS</t>
  </si>
  <si>
    <t xml:space="preserve">RESPONSABLE DE LA UNIDAD FORMULADORA </t>
  </si>
  <si>
    <t xml:space="preserve">RESPONSABLE DEL AREA DE IMAGEN INSTITUCIONAL </t>
  </si>
  <si>
    <t>BANCES NOVOA HECTOR MARCIAL</t>
  </si>
  <si>
    <t>SECRETARIA DE LA DIRECCION DE COMUNICACIONES</t>
  </si>
  <si>
    <t>DIAZ GOMEZ DORALI</t>
  </si>
  <si>
    <t xml:space="preserve">RESPONSABLE DEL AREA DE EDUCACIÓN Y SEGURIDAD VÍAL </t>
  </si>
  <si>
    <t>CASTRO SALGADO CESAR ADOLFO</t>
  </si>
  <si>
    <t xml:space="preserve">ECONOMISTA EN LA DIRECCION DE CAMINOS </t>
  </si>
  <si>
    <t>RIOJAS HUAMAN EDWIN EDUARDO</t>
  </si>
  <si>
    <t xml:space="preserve">APOYO EN EQUIPO MECANICO </t>
  </si>
  <si>
    <t>RUIZ RAMOS ESTEVAN</t>
  </si>
  <si>
    <t xml:space="preserve">CONDUCTOR DEL VOLQUETE DE LA DIRECCION DE CAMINOS </t>
  </si>
  <si>
    <t>CULQUI INGA LLENEL DAVID</t>
  </si>
  <si>
    <t xml:space="preserve">ECONOMISTA EN LA DIRECCION DE COMUNICACIONES  </t>
  </si>
  <si>
    <t>GUERRERO NAVAL EDIL ESDAR</t>
  </si>
  <si>
    <t xml:space="preserve">INGENIERO ELECTRONICO EN  LA DIRECCION DE COMUNICACIONES </t>
  </si>
  <si>
    <t>YOPLAC GRANDES EDVIN</t>
  </si>
  <si>
    <t xml:space="preserve">CONDUCTOR DE LA DIRECCION DE COMUNICACIONES </t>
  </si>
  <si>
    <t>CASTILLO SANTILLAN GENRRY</t>
  </si>
  <si>
    <t xml:space="preserve">CONDUCTOR DE LA DIRECCION REGIONAL </t>
  </si>
  <si>
    <t>TRAUCO QUINTANA KRISTIAN ENRRIQUE</t>
  </si>
  <si>
    <t xml:space="preserve">MONITOR DE ENSAYOS DE SUELOS </t>
  </si>
  <si>
    <t>TAPAYURI CHOTA MIGUEL</t>
  </si>
  <si>
    <t xml:space="preserve">EVALUADOR DE PROYECTOS </t>
  </si>
  <si>
    <t>CUZCANO ALMEYDA JAIME EDGARDO</t>
  </si>
  <si>
    <t xml:space="preserve">APOYO EN ACTIVIDADES DE CONTROL DE FISCALIZACION </t>
  </si>
  <si>
    <t>SANCHEZ MUÑOZ CARLOS ALBERTO</t>
  </si>
  <si>
    <t xml:space="preserve">CONDUCTOR EN LA DIRECCION REGIONAL </t>
  </si>
  <si>
    <t>CHUQUIMBALQUI GARRO HEBER HERNAN</t>
  </si>
  <si>
    <t xml:space="preserve">CONDUCTOR DE CAMION VOLQUETE DE LA DIRECCION DE CAMINOS </t>
  </si>
  <si>
    <t>CULQUI YNGA PABLO</t>
  </si>
  <si>
    <t>OPERADOR DE MAQUINARIA PESADA</t>
  </si>
  <si>
    <t>MENDOZA CHUQUIMEZ ORLANDO</t>
  </si>
  <si>
    <t xml:space="preserve">APOYO EN LA OFICINA DE ASESORIA LEGAL </t>
  </si>
  <si>
    <t>CASTRO LOZANO JESSICA PILAR</t>
  </si>
  <si>
    <t xml:space="preserve">ASISTENTE ADMINISTRATIVO EN EL AREA DE ALMACÉN </t>
  </si>
  <si>
    <t>YOPLAC VALQUI SEINER</t>
  </si>
  <si>
    <t xml:space="preserve">APOYO EN EL AREA DE EDUCACION Y SEGURIDAD VIAL </t>
  </si>
  <si>
    <t xml:space="preserve">ASISTENTE ADMINISTRATIVO EN SECRETARIA TECNICA </t>
  </si>
  <si>
    <t xml:space="preserve">ASISTENTE EN EL AREA DE ASESORIA LEGAL </t>
  </si>
  <si>
    <t xml:space="preserve">TECNICO LEGAL EN ASESORIA TECNICA </t>
  </si>
  <si>
    <t xml:space="preserve">SECRETARIA EN LA OFICINA DE ADMINISTRACION </t>
  </si>
  <si>
    <t>ASISTENTE EN LA OFICINA DE INFORMATICA</t>
  </si>
  <si>
    <t xml:space="preserve">ASISTENTE ADMINISTRATIVO EN LA OFICINA DE CONTABILIDAD </t>
  </si>
  <si>
    <t>RESPONSABLE DE ABASTECIMIENTO</t>
  </si>
  <si>
    <t>HIDALGO MUÑOZ CLAUDIA MINELLY</t>
  </si>
  <si>
    <t xml:space="preserve">AUXILIAR DE SECRETARIA DE LA DIRECCION REGIONAL </t>
  </si>
  <si>
    <t xml:space="preserve">RESPONSABLE DE EVALUACION DE EXAMEN TEORICO </t>
  </si>
  <si>
    <t>TREISSY PAMELA VARGAS MOLINARY</t>
  </si>
  <si>
    <t xml:space="preserve">RESPONSABLE DE LA IMPRESIÓN DE LICENCIAS </t>
  </si>
  <si>
    <t>GOMEZ ZUTA ANGEL</t>
  </si>
  <si>
    <t xml:space="preserve">ASISTENTE ADMINISTRATIVO EN LA OFICINA DE PRESUPUESTO </t>
  </si>
  <si>
    <t xml:space="preserve">ASISTENTE CONTABLE </t>
  </si>
  <si>
    <t xml:space="preserve">ASISTENTE EN LA DIRECCION REGIONAL </t>
  </si>
  <si>
    <t>CULQUI ROJAS SHEILITA</t>
  </si>
  <si>
    <t xml:space="preserve">ASISTENTE DE LA UNIDAD DE CAJA </t>
  </si>
  <si>
    <t xml:space="preserve">SECRETARIA DE LABORATORIO DE SUELOS </t>
  </si>
  <si>
    <t>HIDALGO ZABALETA GABY LLULIANA</t>
  </si>
  <si>
    <t xml:space="preserve">OPERADOR DE LA UNIDAD RETROEXCAVADORA </t>
  </si>
  <si>
    <t xml:space="preserve">SECRETARIA DE LA DIRECCION DE CAMINOS </t>
  </si>
  <si>
    <t>LOPEZ SERVAN ROSIO DEL PILAR</t>
  </si>
  <si>
    <t xml:space="preserve">ADMINISTRADOR DEL LABORATORIO DE SUELOS </t>
  </si>
  <si>
    <t>LUDEÑA SAAVEDRA GEINER</t>
  </si>
  <si>
    <t xml:space="preserve">CONDUCTOR DE LA UNIDAD DE CAMION VOLQUETE </t>
  </si>
  <si>
    <t xml:space="preserve">APOYO DE EQUIPO MECANICO </t>
  </si>
  <si>
    <t xml:space="preserve">OPERADOR DE LA UNIDAD CARGADOR FRONTAL </t>
  </si>
  <si>
    <t xml:space="preserve">APOYO A LAS ACTIVIDADES DE FISCALIZACION </t>
  </si>
  <si>
    <t xml:space="preserve">TECNICO DE MECANICA DE SUELOS </t>
  </si>
  <si>
    <t xml:space="preserve">RESPONSABLE DEL AREA DE REMUNERACIONES </t>
  </si>
  <si>
    <t>TECNICO ADMINISTRATIVO EN LA SUB DIRECCION DE FISCALIZACION</t>
  </si>
  <si>
    <t>CARRANZA HUABLOCHO MARIA GRACIELA</t>
  </si>
  <si>
    <t>GOMEZ ECHAIZ JUAN</t>
  </si>
  <si>
    <t>ASISTENTE LEGAL EN SECRETARIA TECNICA</t>
  </si>
  <si>
    <t>CALLE RAMOS JONATHAN ANDRES</t>
  </si>
  <si>
    <t>APOYO EN LA OFICINA DE SECRETARIA TECNICA</t>
  </si>
  <si>
    <t xml:space="preserve">SECRETARIA DE LA OFICINA DE ADMINISTRACION  </t>
  </si>
  <si>
    <t xml:space="preserve">ASISTENTE DE LA UNIDAD DE PERSONAL </t>
  </si>
  <si>
    <t>ZUTTA LOPEZ DEYVITH ANDERSON</t>
  </si>
  <si>
    <t xml:space="preserve">ECONOMISTA DE LA DIRECCION DE CAMINOS </t>
  </si>
  <si>
    <t xml:space="preserve">ASISTENTE ADMINISTRATIVO DE LA OFICINA DE INFORMATICA </t>
  </si>
  <si>
    <t xml:space="preserve">OPERADORE DE MAQUINARIA PESADA </t>
  </si>
  <si>
    <t xml:space="preserve">ASISTENTE ADMINISTRATIVO DE LA OFICINA DE PRESUPUESTO </t>
  </si>
  <si>
    <t xml:space="preserve">SECRETARIA EN LA DIRECCION DE CAMINOS </t>
  </si>
  <si>
    <t xml:space="preserve">SERVICIO SECRETARIAL DE LA DIRECCION DE COMUNICACIONES </t>
  </si>
  <si>
    <t>ROJAS SALAZAR KATHERIN GISELA</t>
  </si>
  <si>
    <t xml:space="preserve">APOYO DE ACTIVIDADES DE FISCALIZACION </t>
  </si>
  <si>
    <t xml:space="preserve">APOYO TECNICO DE LA DIRECCION DE COMUNICACIONES </t>
  </si>
  <si>
    <t>GARRO GOMEZ ELMER</t>
  </si>
  <si>
    <t>CONDUCTOR DE LA DIRECE</t>
  </si>
  <si>
    <t xml:space="preserve">ASISTENTE DEL AREA DE ASESORIA LEGAL </t>
  </si>
  <si>
    <t xml:space="preserve">APOYO EN LAS ACTIVIDADES DE FISCALIZACION </t>
  </si>
  <si>
    <t>ASISTENTE EN LA OFICINA DE RELACIONES PUBLICAS</t>
  </si>
  <si>
    <t>CONDUCTOR DE LA CAMIONETA DE LA DIRECCION REGIONAL</t>
  </si>
  <si>
    <t>ASISTENTE ADMINISTRATIVO EN EL AREA DE INFORMATICA</t>
  </si>
  <si>
    <t xml:space="preserve">CONDUCTOR DE LA DIRECCION DE ADMINISTRACION </t>
  </si>
  <si>
    <t xml:space="preserve">SECRETARIA DE LA DIRECCION DE  COMUNICACIONES </t>
  </si>
  <si>
    <t xml:space="preserve">SECRETARIA EN LA DIRECCION DE COMUNICACIONES </t>
  </si>
  <si>
    <t xml:space="preserve">ASISTENTE ADMINISTRATIVO EN LA OFICINA DE RELACIONES PUBLICAS </t>
  </si>
  <si>
    <t xml:space="preserve">APOYO DE FISCALIZACION DE TRANSPORTES DE PASAJEROS Y MERCANCIAS </t>
  </si>
  <si>
    <t xml:space="preserve">RESPONSABLE DE LA OFICINA DE CONTABILIDAD </t>
  </si>
  <si>
    <t>ALLCA HIDALGO EDUAR GENARO</t>
  </si>
  <si>
    <t xml:space="preserve">SECRETARIA DE LA SUB DIRECCION DE FISCALIZACION </t>
  </si>
  <si>
    <t xml:space="preserve">ASISTENTE DE LA OFICINA DE BIENESTAR SOCIAL </t>
  </si>
  <si>
    <t>MENDOZA TUESTA AMALIA</t>
  </si>
  <si>
    <t>VALLE DELGADO FERNANDO GONZALO</t>
  </si>
  <si>
    <t xml:space="preserve">RESPONSABLE DEL CENTRO DE EVALUACION DE LA SUB DIRECCION DE LICENCIAS DE CONDUCIR </t>
  </si>
  <si>
    <t>ZUTA CHAMOLI CEILI MILAGROS</t>
  </si>
  <si>
    <t xml:space="preserve">PERSONAL TECNICO DE LA DIRECCION DE CAMINOS </t>
  </si>
  <si>
    <t>YAUN DIAZ YANETH ANTIA</t>
  </si>
  <si>
    <t>CONDUCTOR DE LA DIRECCION DE CAMINOS</t>
  </si>
  <si>
    <t xml:space="preserve">CONDUCTOR DE LA DIRECCION REGIONAL  </t>
  </si>
  <si>
    <t xml:space="preserve">PERSONAL TECNICO DE APOYO DE LA DIRECCION DE CAMINOS </t>
  </si>
  <si>
    <t xml:space="preserve">ASISTENTE EN LA OFICINA DE BIENESTAR SOCIAL </t>
  </si>
  <si>
    <t xml:space="preserve">RESPONSABLE DEL AREA DE BIENESTAR SOCIAL </t>
  </si>
  <si>
    <t>CHAPPA DIAZ JHOHANY JANERDITH</t>
  </si>
  <si>
    <t xml:space="preserve">PERSONAL DE APOYO TECNICO DE LA DIRECCION DE CAMINOS </t>
  </si>
  <si>
    <t>ASISTENTE LEGAL EN LA OFICINA DE ASESORIA JURIDICA</t>
  </si>
  <si>
    <t xml:space="preserve">APOYO EN EL AREA DE LICENCIAS DE CONDUCIR </t>
  </si>
  <si>
    <t xml:space="preserve">SECRETARIA EN LA DIRECCION REGIONAL </t>
  </si>
  <si>
    <t>ASISTENTE EN LA SUB DIRECCION DE FISCALIZACION TERRESTRE</t>
  </si>
  <si>
    <t xml:space="preserve">ASISTENTE EN EL AREA DE RELACIONES PUBLICAS E IMAGEN INSTITUCIONAL </t>
  </si>
  <si>
    <t xml:space="preserve">RESPONSABLE DEL AREA DE RELACIONES PUBLICAS E IMAGEN INSTITUCIONAL </t>
  </si>
  <si>
    <t xml:space="preserve">TECNICO DE LA DIRECCION DE COMUNICACIONES </t>
  </si>
  <si>
    <t>PEÑA ROJAS HEBER GAMALIEL</t>
  </si>
  <si>
    <t xml:space="preserve">SECRETARIA DE LA DIRECCION DE ADMINISTRACION </t>
  </si>
  <si>
    <t xml:space="preserve">RESPONSABLE DE LA UNIDAD DE CONTROL PATRIMONIAL </t>
  </si>
  <si>
    <t>DIAZ TAUMA DANIEL</t>
  </si>
  <si>
    <t xml:space="preserve">ASISTENTE DE LA OFICINA DE SECRETARIA DE LA DIRECCION REGIONAL </t>
  </si>
  <si>
    <t xml:space="preserve">ASISTENTE EN LA UNIDAD DE BIENESTAR SOCIAL </t>
  </si>
  <si>
    <t>08</t>
  </si>
  <si>
    <t xml:space="preserve">RESPONSABLE DE REMUNERACIONES </t>
  </si>
  <si>
    <t xml:space="preserve">SECRETARIA DE SECRETARIA TÉCNICA </t>
  </si>
  <si>
    <t xml:space="preserve">ASISTENTE EN LA OFICINA DE ASESORIA LEGAL </t>
  </si>
  <si>
    <t>PUERTA GUEVARA RHOLY</t>
  </si>
  <si>
    <t>CHIQUINTA CORDOVA SICELY DE: CHIQUINTA CORDOVA SICELY</t>
  </si>
  <si>
    <t>ASISTENTE DEL AREA DE RELACIONES PUBLICAS</t>
  </si>
  <si>
    <t xml:space="preserve">ASISTENTE DE LA SECRETARIA DE DIRECCION REGIONAL </t>
  </si>
  <si>
    <t xml:space="preserve">RESPONSABLE DE ABASTECIMIENTO </t>
  </si>
  <si>
    <t>CABAÑAS CHAVEZ LUIS MIGUEL DE: CABAÑAS CHAVEZ LUIS MIGUEL</t>
  </si>
  <si>
    <t xml:space="preserve">RESPONSABLE EN LA UNIDAD FORMULADORA </t>
  </si>
  <si>
    <t xml:space="preserve">CONDUCTOR EN LA DIRECCION DE CAMINOS </t>
  </si>
  <si>
    <t xml:space="preserve">TECNICO ELECTRONICO DE LA DIRECCION DE COMUNICACIONES </t>
  </si>
  <si>
    <t xml:space="preserve">SECRETARIA EN LA SUB DIRECCION DE FISCALIZACION </t>
  </si>
  <si>
    <t xml:space="preserve">RESPONSABLE DE EDUCACION Y SEGURIDAD VIAL </t>
  </si>
  <si>
    <t xml:space="preserve">APOYO EN LAS ACTIVIDADES DEL AREA DE LICENCIA DE CONDUCIR </t>
  </si>
  <si>
    <t>VALLE BARRERA JULIO MANUEL</t>
  </si>
  <si>
    <t>CHAPA CRUZ JOSE CRISTOBAL</t>
  </si>
  <si>
    <t>CUEVA ALCALDE DIANA ROSSLEY</t>
  </si>
  <si>
    <t>SANTILLAN RAMOS JULIO CESAR</t>
  </si>
  <si>
    <t>ASISTENTE EN EL AREA DE RELACIONES PUBLICAS E IMAGEN INSTITUCIONAL</t>
  </si>
  <si>
    <t xml:space="preserve">ASISTENTE EN LA OFICINA DE LA SECRETARIA DE LA DIRECCION REGIONAL </t>
  </si>
  <si>
    <t xml:space="preserve">ASISTENTE LEGAL DE LA OFICINA DE ASESORIA JURIDICA </t>
  </si>
  <si>
    <t xml:space="preserve">RESPONSABLE DEL AREA DE  ABASTECIMIENTO </t>
  </si>
  <si>
    <t xml:space="preserve">RESAPONSABLE DE LA OFICINA DE CONTABILIDAD </t>
  </si>
  <si>
    <t>RESAPONSABLE DE LA OFICINA DE INFORMATICA</t>
  </si>
  <si>
    <t>ASISTENTE DE LA OFICINA DE ADMINISTRACION</t>
  </si>
  <si>
    <t>SALAZAR ARBILDO GENESIS AMALIA</t>
  </si>
  <si>
    <t xml:space="preserve">SECRETARIA EN LA OFICINA DE COMUNICACIONES </t>
  </si>
  <si>
    <t xml:space="preserve">SECRETARIA EN LA SUB DIRECCION DE FISCALIZQACION </t>
  </si>
  <si>
    <t xml:space="preserve">OPERADOR DE LA DIRECCION DE CAMINOS </t>
  </si>
  <si>
    <t xml:space="preserve">CONDUCTOR DE LA DIECCION DE CAMINOS </t>
  </si>
  <si>
    <t xml:space="preserve">APOYO EN LAS ACTIVIDADES DE CONTROL Y FISCALIZACION </t>
  </si>
  <si>
    <t>10</t>
  </si>
  <si>
    <t>ASISTENTE EN LA UNIDAD DE CAJA</t>
  </si>
  <si>
    <t xml:space="preserve">RESPONSABLE DE UNIDAD DE INFORMATICA </t>
  </si>
  <si>
    <t xml:space="preserve">RESPONSABLE DE LA UNIDAD DE CONTABILIDAD </t>
  </si>
  <si>
    <t>RESPONSABLE DE CONTROL PATRIMONIAL</t>
  </si>
  <si>
    <t xml:space="preserve">DIRECTOR DEL CENTRO EVALUADOR </t>
  </si>
  <si>
    <t>TOCTO AQUINO HENRY</t>
  </si>
  <si>
    <t xml:space="preserve">ENCARGADA DE ADQUISICIONES </t>
  </si>
  <si>
    <t>ALVARADO VALLE ENNA JANEY</t>
  </si>
  <si>
    <t>ASISTENTE LEGAL DE ASESORIA JURIDICA</t>
  </si>
  <si>
    <t>CISNEROS GONZALES NELSON EBELIO</t>
  </si>
  <si>
    <t xml:space="preserve">CONDUCTOR DEL CAMION VOLQUETE DE LA DIRECCION DE CAMINOS </t>
  </si>
  <si>
    <t>TECNICO DE APOYO EN LA DIRECCION DE CAMINOS</t>
  </si>
  <si>
    <t>APOYO DE EQUIPO MECANICO</t>
  </si>
  <si>
    <t>HOYOS PITA CRISTIAN ANTONIO</t>
  </si>
  <si>
    <t xml:space="preserve">TECNICO DE APOYO EN LA DIRECCION DE COMUNICACIONES </t>
  </si>
  <si>
    <t>CONDUCTOR DE LA DIRECCION REGIONAL</t>
  </si>
  <si>
    <t>QUISPE TERRONES JENY JUDITH</t>
  </si>
  <si>
    <t xml:space="preserve">RESPONSABLE DE  REMUNERACIONES </t>
  </si>
  <si>
    <t>RESPONSABLE DE LA UNIDAD FORMULADORA DE LA DIRECCION DE CAMINOS</t>
  </si>
  <si>
    <t>11</t>
  </si>
  <si>
    <t xml:space="preserve">ASISTENTE DE LA DIRECCION REGIONAL </t>
  </si>
  <si>
    <t>12</t>
  </si>
  <si>
    <t xml:space="preserve">ESPECIALISTA PARA LABORATORIO </t>
  </si>
  <si>
    <t>ASISTENTE DE LA DIRECCION DE COMUNICACIONES</t>
  </si>
  <si>
    <t>SERVICIO DE ATENCION AL CIUDADANO EN LA SUB DIRECCION DE LICENCIAS</t>
  </si>
  <si>
    <t>EVALUADOR DE PROYECTOS Y/O SERVICIOS DE LA DIRECCION DE CAMINOS</t>
  </si>
  <si>
    <t>RESPONSABLE DE LA UNIDAD DE ABASTECIMIENTO</t>
  </si>
  <si>
    <t xml:space="preserve">RESPONSABLE DE LA OFICINA DE RELACIONES PUBLICAS E IMAGEN INSTITUCIONAL </t>
  </si>
  <si>
    <t>VILCHEZ CHAVEZ WILFREDO</t>
  </si>
  <si>
    <t xml:space="preserve">ASISTENTE EN LA OFICINA DE RELACIONES PUBLICAS E IMAGEN INSTITUCIONAL </t>
  </si>
  <si>
    <t>ASISTENTE EN LA OFICINA DE ASESORIA JURIDICA</t>
  </si>
  <si>
    <t>ALVARADO CARRION ERICK DANIEL</t>
  </si>
  <si>
    <t>ASISTENTE DEL AREA DE INFORMATICA</t>
  </si>
  <si>
    <t>VARGAS PORTOCARRERO VICTOR DEYWIS</t>
  </si>
  <si>
    <t xml:space="preserve">ASISTENTE DE LA SECRETARIA DE LA DIRECCION REGIONAL </t>
  </si>
  <si>
    <t>RESPONSABLE DE LA UNIDAD DE INFORMATICA</t>
  </si>
  <si>
    <t>APOYO ADMINISTRATIVO EN LA DIRECCION DE CIRCULACION</t>
  </si>
  <si>
    <t>MORALES MALQUI ANITA DEL CARMEN</t>
  </si>
  <si>
    <t>ANALISTA EN CONTRATACIONES EN LA UNIDAD DE ABASTECIMIENTO</t>
  </si>
  <si>
    <t>YSIQUE LIZA CARLOS AURELIO</t>
  </si>
  <si>
    <t xml:space="preserve">SERVICIO COMO ECONOMISTA EN LA DIRECCION DE COMUNICACIONES </t>
  </si>
  <si>
    <t xml:space="preserve">APOYO ADMINISTRATIVO EN LA OFICINA DE PERSONAL </t>
  </si>
  <si>
    <t>RODRIGUEZ SOPLA LUISA ANGELA</t>
  </si>
  <si>
    <t xml:space="preserve">CONDUCTOR DE LA DIRECCION DE CAMINOS </t>
  </si>
  <si>
    <t xml:space="preserve">ESPECIALISTA EN LABORATORIO DE SUELOS </t>
  </si>
  <si>
    <t xml:space="preserve">PERSONAL DE APOYO EN EQUIPO MECANICO </t>
  </si>
  <si>
    <t xml:space="preserve">OPERADOR Y CONDUCTOR DE MAQUINARIA PESADA </t>
  </si>
  <si>
    <t xml:space="preserve">TECNICO DE LABORATORIO DE SUELOS </t>
  </si>
  <si>
    <t xml:space="preserve">INGENIERO RESIDENTE </t>
  </si>
  <si>
    <t>FALEN CHAVEZ ARROYO JOSE CARLOS</t>
  </si>
  <si>
    <t>ASISTENTE EN EL AREA DE INFORMATICO</t>
  </si>
  <si>
    <t>VILLANUEVA ATALAYA SEGUNDO</t>
  </si>
  <si>
    <t>ASISTENTE ADMINISTRATIVO EN LA SUB DIRECCION DE FISCALIZACION</t>
  </si>
  <si>
    <t xml:space="preserve">TECNICO EN INFORMATICA EN LA DIRECCION SUB REGIONAL DE TRANSPORTES DE BAGUA-UTCUBAMBA Y CONDORCANQUI </t>
  </si>
  <si>
    <t>APOYO ADMINISTRATIVO EN EL AREA DE SECRETARIA TECNICA</t>
  </si>
  <si>
    <t>HORNA VILCARROMERO DIOGENES MANUEL</t>
  </si>
  <si>
    <t xml:space="preserve">ESPECIALISTA EN EL LABORATORIO DE SUELOS </t>
  </si>
  <si>
    <t>VILCHEZ VERGARAY EDMAR</t>
  </si>
  <si>
    <t xml:space="preserve">OPERADOR DE RODILLO LISO VIBRATORIO </t>
  </si>
  <si>
    <t>SALDAÑA GARCIA ALEXIS LEONOV</t>
  </si>
  <si>
    <t xml:space="preserve">ESPECIALISTA EN INTEGRACIÓN CONTABLE </t>
  </si>
  <si>
    <t>LA TORRE RODRIGUEZ PEDRO</t>
  </si>
  <si>
    <t xml:space="preserve">PERSONAL DE APOYO EN EL AREA DE PERSONAL </t>
  </si>
  <si>
    <t>ASISTENTE EN EL AREA DE INFORMATICA</t>
  </si>
  <si>
    <t xml:space="preserve">INGENIERO SUPERVISOR </t>
  </si>
  <si>
    <t>JARA TIRADO JOSE LUIS</t>
  </si>
  <si>
    <t xml:space="preserve">SERVICIOS COMO ECONOMISTA EN LA DIRECCION  DE COMUNICACIONES </t>
  </si>
  <si>
    <t>ASISTENTE EN LA DIRECCION DE COMUNICACIONES</t>
  </si>
  <si>
    <t>ASISTENTE ADMINISTRATIVO DE OBRA</t>
  </si>
  <si>
    <t>ALEJO CHAMBILLA MARCO ANTONIO</t>
  </si>
  <si>
    <t>GUARDIAN PARA LA EJECUCION DE TRABAJOS DE REPARACION DE LAS VIAS VECINALES, TRAMO RUTA ALTERNA PUENTE UTCUBAMABA</t>
  </si>
  <si>
    <t>AGUILAR GONZALES RONALD</t>
  </si>
  <si>
    <t>SERVICIO ESPECIALIZADO EN INGENIERIA ELECTRONICA</t>
  </si>
  <si>
    <t xml:space="preserve"> PERSONAL PARA LA OFICINA  DE PLANIFICACION Y PRESUPESTO</t>
  </si>
  <si>
    <t>AURELIA PILCO MAS</t>
  </si>
  <si>
    <t xml:space="preserve">PERSONAL PARA LA OFICINA  DE PLANIFICACION Y PRESUPUESTO </t>
  </si>
  <si>
    <t xml:space="preserve">ASISTENTE DE LA OFICINA DE IMAGEN INSTITUCIONAL </t>
  </si>
  <si>
    <t xml:space="preserve"> PERSONAL PARA EL AREA DE EDUCACION Y SEGURIDAD VIAL</t>
  </si>
  <si>
    <t xml:space="preserve"> APOYO ADMINISTRATIVO EN LA OFICINA DE TRAMITE DOCUMENTARIO </t>
  </si>
  <si>
    <t>EVITA MAS HUAMAN</t>
  </si>
  <si>
    <t xml:space="preserve"> TRAMITADOR PARA LA DIRECCION REGIONAL</t>
  </si>
  <si>
    <t>SECRETARIA DE LA DIRECCION REGIONALDE</t>
  </si>
  <si>
    <t xml:space="preserve">ASISTENTE EN  LA DIRECCION DE CIRCULACION </t>
  </si>
  <si>
    <t xml:space="preserve"> PERSONAL PARA EL AREA DE BIENESTAR SOCIAL</t>
  </si>
  <si>
    <t>PINGUS CHAVEZ LLANELY</t>
  </si>
  <si>
    <t xml:space="preserve">SERVICIOS DE ECONOMISTA PARA LA DIRECCION DE COMUNICACIONES </t>
  </si>
  <si>
    <t xml:space="preserve"> DE RESPONSABLE DE UNIDAD DE PERSONAL</t>
  </si>
  <si>
    <t xml:space="preserve">ENCARGADO DEL AREA DE EDUCACION Y SEGURIDAD VIAL </t>
  </si>
  <si>
    <t xml:space="preserve">APOYO ADMINISTRATIVO EN LA UNIDAD DE PERSONAL </t>
  </si>
  <si>
    <t>ROJAS MORI SANDRA ELIZABETH</t>
  </si>
  <si>
    <t xml:space="preserve">ASISTENTE ADMINISTRATIVO DE LA DIRECCION DE COMUNICACIONES </t>
  </si>
  <si>
    <t xml:space="preserve"> AUXILIAR EN LA UNIDAD DE CAJA </t>
  </si>
  <si>
    <t xml:space="preserve">APOYO EN LA SUB DIRECCION DE LICENCIAS DE CONDUCIR </t>
  </si>
  <si>
    <t>ASISTENTE LEGAL EN  EL AREA DE ASESORIA JURIDICA</t>
  </si>
  <si>
    <t xml:space="preserve"> CONDUCTOR DE LA OFICINA DE ADMINISTRACION </t>
  </si>
  <si>
    <t>CONTRATACION DE PERSONAL PARA LA SUB DIRECCION DE LICENCIAS DE CONDUCIR DE LA DRTC-A, CORRESPON</t>
  </si>
  <si>
    <t>VARGAS MOLINARY TREISSY PAMELA</t>
  </si>
  <si>
    <t xml:space="preserve"> CONDUCTOR DE VEHICULO PARA LA DRTC-A </t>
  </si>
  <si>
    <t>WILFREDO VILCHEZ CHAVEZ</t>
  </si>
  <si>
    <t>ZUTA LOPEZ DEYVITH ANDERSON</t>
  </si>
  <si>
    <t xml:space="preserve"> INGENIERO ELECTRÓNICO DE LA DIRECCION DE COMUNICACIONES </t>
  </si>
  <si>
    <t xml:space="preserve"> INGENIERO ELECTRÓNICO PARA LA DIRECCION DE COMUNICACIONES, </t>
  </si>
  <si>
    <t>CANON Y SOBRECANON. REGALÍAS. RENTA DE ADUNAS Y PARTICIPACIONES</t>
  </si>
  <si>
    <t xml:space="preserve"> RESPONSABLE DE INFRAESTRUCTURA VIAL DE LA DIRECCION DE CAMINOS</t>
  </si>
  <si>
    <t>ALEJOS ARISTA RAUL</t>
  </si>
  <si>
    <t xml:space="preserve"> RESPONSABLE DE INFRAESTRUCTURA VIAL DE LA DIRECION DE CAMINOS</t>
  </si>
  <si>
    <t xml:space="preserve"> CONDUCTOR PARA LA UNIDAD CAMION DE 04 TONELADAS DE LA DIRECCION DE CAMINOS</t>
  </si>
  <si>
    <t>ALEXIS LEONOV SALDAÑA GARCIA</t>
  </si>
  <si>
    <t xml:space="preserve">CONDUCTOR DEL VEHÍCULO  LA DRTC-A </t>
  </si>
  <si>
    <t xml:space="preserve"> ASISTENTE DE LA UNIDAD DE ABASTECIMIENTO </t>
  </si>
  <si>
    <t xml:space="preserve">ASISTENTE DE LA UNIDAD DE ABASTECIMIENTO </t>
  </si>
  <si>
    <t xml:space="preserve"> RESPONSABLE DE LA IMPRESION DE LICENCIAS DE CONDUCIR</t>
  </si>
  <si>
    <t>ANGEL GOMEZ ZUTA</t>
  </si>
  <si>
    <t xml:space="preserve">RESPONSABLE DE LA IMPRESION DE LICENCIAS DE CONDUCIR </t>
  </si>
  <si>
    <t xml:space="preserve"> VIGILANTE DE LA DRTC-AMAZONAS</t>
  </si>
  <si>
    <t xml:space="preserve"> PERSONAL PARA LA OFICINA  DE PLANIFICACION,  PRESUPESTO Y DESARROLLO   INSTITUCIONAL </t>
  </si>
  <si>
    <t xml:space="preserve">PERSONAL PARA LA OFICINA  DE PLANIFICACION,  PRESUPESTO Y DESARROLLO   INSTITUCIONAL </t>
  </si>
  <si>
    <t xml:space="preserve"> SECRETARIA DE APOYO ADMINISTRATIVO PARA EL AREA DE SECRETARIA TECNICA</t>
  </si>
  <si>
    <t>BOCANEGRA DE CORONEL VIVIAN</t>
  </si>
  <si>
    <t xml:space="preserve"> SECRETARIA DE APOYO ADMINISTRATIVO PARA SECRETARIA TECNICA DE LA DRTC-A</t>
  </si>
  <si>
    <t>OPERADOR PARA CARGADOR FRONTAL NEW HOLLAND W190C DE LA DRTC-A</t>
  </si>
  <si>
    <t>OPERADOR DE CARGADOR FRONTAL NEW HOLLAND MODELO W190C DE LA DIRECCION DE CAMINOS</t>
  </si>
  <si>
    <t xml:space="preserve"> ASISTENTE DEL AREA DE RELACIONES PUBLICAS DE LA DRTC-A</t>
  </si>
  <si>
    <t>SECRETARIA PARA LA SUB DIRECCION DE FISCALIZACION</t>
  </si>
  <si>
    <t xml:space="preserve"> SECRETARIA PARA LA SUB DIRECCION DE FISCALIZACION </t>
  </si>
  <si>
    <t xml:space="preserve"> DE UN RESPONSABLE DEL AREA DE EDUACION Y SEGURIDAD VIAL</t>
  </si>
  <si>
    <t xml:space="preserve"> RESPONSABLE DEL AREA DE EDUACION Y SEGURIDAD VIA</t>
  </si>
  <si>
    <t xml:space="preserve"> CONDUCTOR  DE LA DIRECCION DE COMUNICACIONES </t>
  </si>
  <si>
    <t xml:space="preserve"> CONDUCTOR DE LA DIRECCION DE COMUNICACIONES </t>
  </si>
  <si>
    <t xml:space="preserve"> EVALUADOR DE PROYECTO Y/O SERVICIOS DE LA DIRECCION DE CAMINOS</t>
  </si>
  <si>
    <t xml:space="preserve"> EVALUADOR DE PROYECTO Y/O SERVICIOS DE LA DIRECCION DE CAMINOS </t>
  </si>
  <si>
    <t>OPERADOR Y/O CONDUCTOR DE MAQUINARIA PESADA</t>
  </si>
  <si>
    <t xml:space="preserve"> OPERADOR Y/O CONDUCTOR DE MAQUINARIA PESADA </t>
  </si>
  <si>
    <t>OPERADOR Y/O CONDUCTOR DE LA DIRECCION DE CAMINOS</t>
  </si>
  <si>
    <t xml:space="preserve"> RESPONSABLE DE LA UNIDAD DE CONTROL PATRIMONIAL </t>
  </si>
  <si>
    <t>RESPONSABLE DE LA UNIDAD DE CONTROL PATRIMONIAL</t>
  </si>
  <si>
    <t xml:space="preserve">ASISTENTE ADMINISTRATIVO PARA LA OFICINA DE TRAMITE DOCUMENTARIO </t>
  </si>
  <si>
    <t xml:space="preserve">ASISTENTE-TRAMITADOR DE DOCUMENTOS INTERNOS </t>
  </si>
  <si>
    <t xml:space="preserve">RESPONSABLE DE LA UNIDAD DE INFORMATICA DE LA DRTC-AMAZONAS </t>
  </si>
  <si>
    <t xml:space="preserve"> DIRECTOR DE CENTRO EVALUADOR DE LA SUB DIRECCION  DE LICENCIAS DE CONDUCIR</t>
  </si>
  <si>
    <t>HENRY TOCTO AQUINO</t>
  </si>
  <si>
    <t>SECRETARIA DE LA DIRECCION DE ADMINISTRACION DE LA DRTC-A</t>
  </si>
  <si>
    <t>APOYO PARA EL AREA DE SECRETARIA TECNICA DE LA DRTC-A</t>
  </si>
  <si>
    <t xml:space="preserve"> RESPONSABLE DE LA UNIDAD FORMULADORA DE LA DIRECCION DE CAMINOS</t>
  </si>
  <si>
    <t xml:space="preserve"> ASISTENTE LEGAL PARA LA SUB DIRECCION DE FISCALIZACION</t>
  </si>
  <si>
    <t>JIMENEZ MEJIA LILA YUDIT</t>
  </si>
  <si>
    <t>ASISTENTE LEGAL ENLA SUB DIRECCION DE FISCALIZACION</t>
  </si>
  <si>
    <t>APOYO PARA LA OFICINA DE IMAGEN INSTITUCIONAL DE LA DRTC-A</t>
  </si>
  <si>
    <t>KELVIN GOMEZ MAS</t>
  </si>
  <si>
    <t xml:space="preserve"> PERSONAL DE LIMPIEZA DE LA DRTC-A</t>
  </si>
  <si>
    <t>TECNICO PARA LABORATORIO DEL SUELOS</t>
  </si>
  <si>
    <t>MENDOZA POQUIOMA WALDIR</t>
  </si>
  <si>
    <t xml:space="preserve"> APOYO ADMINISTRATIVO EN LA DIRECCION DE CIRCULACION TERRESTRE </t>
  </si>
  <si>
    <t xml:space="preserve"> UN ASISTENTE ADMINISTRATIVO PARA LA UNIDAD DE CAJA </t>
  </si>
  <si>
    <t>MUÑOZ SANTILLAN SONIA</t>
  </si>
  <si>
    <t xml:space="preserve">ASISTENTE ADMINISTRATIVO PARA LA UNIDAD DE CAJA </t>
  </si>
  <si>
    <t xml:space="preserve"> SECRETARIA DE LA DIRECCION REGIONAL </t>
  </si>
  <si>
    <t>NADINY MEZA AREVALO</t>
  </si>
  <si>
    <t>ESPECIALISTA DE LABORATORIO DE SUELOS DE LA DRTC-AMAZONAS</t>
  </si>
  <si>
    <t xml:space="preserve"> TECNICO ELECTRICISTA DE LA DIRECCION DE COMUNICACIONES </t>
  </si>
  <si>
    <t xml:space="preserve"> RESPONSABLE DE LA UNIDAD DE ABASTECIMIENTO </t>
  </si>
  <si>
    <t xml:space="preserve"> ASISTENTE EN LA UNIDAD DE BIENESTAR SOCIAL DE LA DRTC-A</t>
  </si>
  <si>
    <t>PUERTA HUAMAN ELICA</t>
  </si>
  <si>
    <t xml:space="preserve"> ECONOMISTA PARA LA DIRECCION DE COMUNICACIONES </t>
  </si>
  <si>
    <t>TECNICO EN INFORMATICA PARA LA DIRECCION SUBREGIONAL  DE BAGUA, UTCUBAMBA Y CONDORCANQUI</t>
  </si>
  <si>
    <t xml:space="preserve"> APOYO EN LA DIRECCION REGIONAL DE TRANSPORTES</t>
  </si>
  <si>
    <t xml:space="preserve"> ASISTENTE TÉCNICO DE LA DIRECCIÓN DE COMUNICACIONES </t>
  </si>
  <si>
    <t xml:space="preserve"> UN CONDUCTOR PARA LA UNIDAD CAMION VOLQUETE SINOTRUCK</t>
  </si>
  <si>
    <t xml:space="preserve">APOYO ADMINISTRATIVO EN LA SUB DIRECCION DE LICENCIAS DE CONDUCIR </t>
  </si>
  <si>
    <t xml:space="preserve">APOYO ADMINISTRATIVO PARA EL AREA DE CONTABILIDAD </t>
  </si>
  <si>
    <t>TRIGOSO VILCA FERNANDO JOSE</t>
  </si>
  <si>
    <t>ASISTENTE LEGAL PARA EL AREA DE ASESORIA LEGAL DE LA DRTC-A</t>
  </si>
  <si>
    <t>VIGILANTE DE LA DRTC-AMAZONAS</t>
  </si>
  <si>
    <t xml:space="preserve"> CONDUCTOR DE VEHICULO DE LA DIRECCION DE ADMINISTRACION</t>
  </si>
  <si>
    <t xml:space="preserve">RESPONSABLE DE LA ATENCION AL CIUDADANO DE LA SUB DIRECCION DE LICENCIAS DE CONDUCIR </t>
  </si>
  <si>
    <t xml:space="preserve"> SER RESPONSABLE DE LA UNIDAD DE CONTABILIDAD</t>
  </si>
  <si>
    <t>ASISTENTE EN SISTEMAS INFORMÁTICOS DE LA DIRECCION DE COMUNICACIONES</t>
  </si>
  <si>
    <t>VICTOR DEYWIS VARGAS PORTOCARRERO</t>
  </si>
  <si>
    <t>CONTRACION DE UN CONDUCTOR PARA LA UNIDAD CAMION VOLQUETE VOLVO F10 XI-4028</t>
  </si>
  <si>
    <t xml:space="preserve"> CONDUCTOR PARA LA CAMIONETA DE LA DIRECCIÓN DE COMUNICACIONES</t>
  </si>
  <si>
    <t xml:space="preserve"> RESPONSABLE DEL ÁREA DE IMAGEN INSTITUCIONAL </t>
  </si>
  <si>
    <t xml:space="preserve"> VIGILANTE DE LA DRTC-A</t>
  </si>
  <si>
    <t>YALTA VELAISOSA CESAR</t>
  </si>
  <si>
    <t>PERSONAL TECNICO DE APOYO PARA LA DIRECCION DE CAMINOS</t>
  </si>
  <si>
    <t xml:space="preserve"> CONDUCTOR DE VEHICULO DE LA DIRECCION REGIONAL </t>
  </si>
  <si>
    <t>ASISTENTE DE ADQUISICIONES DE LA UNIDAD DE ABASTECIMIENTO</t>
  </si>
  <si>
    <t>VIGILANTE PARA LA DRTC-AMAZONAS</t>
  </si>
  <si>
    <t>00</t>
  </si>
  <si>
    <t>RESPONSABLE DE LA OFICINA DE PLANIFICACION PRESUPUESTO Y DESARROLLO INSTITUCIONAL</t>
  </si>
  <si>
    <t xml:space="preserve"> ASISTENTE ADMINISTRATIVO PARA LA OFICINA DE TRAMITE DOCUMENTARIO </t>
  </si>
  <si>
    <t>RESPONSABLE DE LA OFICINA DE RELACIONES PÚBLICAS</t>
  </si>
  <si>
    <t xml:space="preserve"> SECRETARIA PARA LA SUB DIRECCION DE FISCALIZACION</t>
  </si>
  <si>
    <t xml:space="preserve"> RESPONSABLE DEL AREA DE EDUCACION Y SEGURIDAD VIAL DE LA DRTC-A</t>
  </si>
  <si>
    <t xml:space="preserve"> CONDUCTOR DE LA CAMIONETA DE LA DIRECCION DE COMUNICACIONES </t>
  </si>
  <si>
    <t xml:space="preserve"> RESPONSABLE DE LA UNIDAD DE CONTROL PATRIMONIAL</t>
  </si>
  <si>
    <t xml:space="preserve">CO ASISTENTE TRAMITADOR DE DOCUMENTOS INTERNOS </t>
  </si>
  <si>
    <t xml:space="preserve"> RESPONSABLE DE LA UNIDAD INFORMATICA </t>
  </si>
  <si>
    <t xml:space="preserve"> DIRECTOR DE CENTRO EVALUADOR DE LA SUB DIRECCION DE LICENCIAS </t>
  </si>
  <si>
    <t xml:space="preserve"> SECRETARIA EJECUTIVA PARA LA DIRECCION DE ADMINISTRACION</t>
  </si>
  <si>
    <t xml:space="preserve"> ASISTENTE LEGAL EN LA SUB DIRECCION DE FISCALIZACION </t>
  </si>
  <si>
    <t xml:space="preserve"> PERSONAL DE APOYO EN LA  OFICINA DE IMAGEN INSTITUCIONAL</t>
  </si>
  <si>
    <t>LIMAYLLA CARHUALLANQUI PAUL MARCOS</t>
  </si>
  <si>
    <t xml:space="preserve"> APOYO ADMINISTRATIVO ENLA DIRECCION DE CIRCULACION </t>
  </si>
  <si>
    <t xml:space="preserve"> ASISTENTE PARA LA UNIDAD DE CAJA </t>
  </si>
  <si>
    <t xml:space="preserve"> SECRETARIA  PARA LA DIRECCION REGIONAL</t>
  </si>
  <si>
    <t xml:space="preserve"> RESPONSABLE DE LA UNIDAD DE ABASTECIMIENTO DE LA DRTC-A</t>
  </si>
  <si>
    <t xml:space="preserve"> ASISTENTE DE LA UNIDAD DE PERSONAL DE LA DRTC-AMAZONAS</t>
  </si>
  <si>
    <t xml:space="preserve"> TECNICO DE INFORMATICA PARA LA DIRECCION SUB REGIONAL DE BAGUA, UTCUBAMBA Y CONDORCANQUI</t>
  </si>
  <si>
    <t xml:space="preserve"> APOYO ADMINISTRATIVO EN LA SUB DIRECCION DE LICENCIAS DE CONDUCIR </t>
  </si>
  <si>
    <t xml:space="preserve"> PERSONAL DE LIMPIEZA DE LA DRTC-A </t>
  </si>
  <si>
    <t xml:space="preserve"> ASISTENTE LEGAL EN  LA OFICINA DE ASESORIA LEGAL </t>
  </si>
  <si>
    <t>TULIO OMAR AÑAZCO ROSALES</t>
  </si>
  <si>
    <t xml:space="preserve"> VIGILANTE PARA LA DRTC-AMAZONAS </t>
  </si>
  <si>
    <t xml:space="preserve">CONDUCTOR DE VEHICULO PARA LA DIRECCION DE ADMINISTRACION DE LA </t>
  </si>
  <si>
    <t xml:space="preserve"> EVALUADOR DE EXAMEN TEORICO DE LA SUB DIRECCION DE LICENCIAS DE CONDUCIR</t>
  </si>
  <si>
    <t>ASISTENTE TÉCNICO PARA LA DIRECCIÓN DE CAMINOS</t>
  </si>
  <si>
    <t>VASQUEZ SANCHEZ JOSE WILSON</t>
  </si>
  <si>
    <t xml:space="preserve"> RESPONSABLE DEL AREA DE CONTABILIDAD </t>
  </si>
  <si>
    <t xml:space="preserve">ASISTENTE EN SISTEMAS INFORMÁTICOS PARA LA DIRECCION DE COMUNICACIONES </t>
  </si>
  <si>
    <t xml:space="preserve"> CONDUCTOR PARA LA CAMIONETA DE LA DIRECCIÓN DE COMUNICACIONES. </t>
  </si>
  <si>
    <t xml:space="preserve"> ENCARGADA DE ADQUISICIONES Y SERVICIOS DE LA DRTC-A </t>
  </si>
  <si>
    <t>RESPONSABLE DE LA IMPRESION DE LICENCIAS DE CONDUCIR</t>
  </si>
  <si>
    <t xml:space="preserve"> UN VIGILANTE DE LA DRTC-A </t>
  </si>
  <si>
    <t xml:space="preserve">ASISTENTE EN LA OFICINA DE REMUNERACIONES </t>
  </si>
  <si>
    <t>BAZAN TRUJILLO JHOSELYN STHEFANY</t>
  </si>
  <si>
    <t>ASISTENTE ADMINISTRATIVO PARA LA OFICINA DE TRAMITE DOCUMENTARIO</t>
  </si>
  <si>
    <t>SECRETARIA N LA SUB DIRECCION DE FISCALIZACION</t>
  </si>
  <si>
    <t xml:space="preserve"> RESPONSABLE DEL AREA DE EDUCACION Y SEGURIDAD VIAL</t>
  </si>
  <si>
    <t xml:space="preserve"> CONDUCTOR PARA LA CAMIONETA DE LA DIRECCION DE COMUNICACIONES</t>
  </si>
  <si>
    <t>RESPONSABLE DE LA UNIDAD DE CONTROL PATRIMONIAL DE LA DRTC-A</t>
  </si>
  <si>
    <t>EDVIN YOPLAC GRANDES</t>
  </si>
  <si>
    <t>RESPONSABLE DE LA UNIDAD DE PERSONAL</t>
  </si>
  <si>
    <t>FERNANDEZ BERNAL LISBET</t>
  </si>
  <si>
    <t xml:space="preserve">RESPONSABLE DE LA UNIDAD DE INFORMÁTICA DE LA DRTC-A </t>
  </si>
  <si>
    <t>DIRECTOR DE CENTRO EVALUADOR DE LA SUB DIRECCION DE LICENCIAS DE CONDUCIR</t>
  </si>
  <si>
    <t>SECRETARIA EJECUTIVA PARA LA DIRECCION DE ADMINISTRACION</t>
  </si>
  <si>
    <t xml:space="preserve"> PERSONAL DE APOYO DEL AREA DE SECRETARIA TECNICA DE LA DRTC-A</t>
  </si>
  <si>
    <t>ASISTENTE LEGAL EN PROCESOS ADMINISTRATIVOS PARA LA SUB DIRECCIÓN DE FISCALIZACIÓN</t>
  </si>
  <si>
    <t xml:space="preserve"> ASISTENTE EN MECÁNICA ELÉCTRICA PARA LA DIRECCION DE COMUNICACIONES</t>
  </si>
  <si>
    <t>JULIO ENRIQUE JUNIOR SANCHEZ ALCALDE</t>
  </si>
  <si>
    <t>PERSONAL DE APOYO DE LA OFICINA DE IMAGEN INSTITUCIONAL</t>
  </si>
  <si>
    <t xml:space="preserve"> INGENIERO ELECTRÓNICO PARA LA DIRECCION DE COMUNICACIONES </t>
  </si>
  <si>
    <t xml:space="preserve"> APOYO ADMINISTRATIVO EN LA DIRECCION DE CIRCULACION</t>
  </si>
  <si>
    <t>ASISTENTE ADMINISTRATIVO PARA LA UNIDAD DE CAJA DE LA DRTC-A</t>
  </si>
  <si>
    <t>SECRETARIA PARA LA DIRECCION REGIONAL</t>
  </si>
  <si>
    <t xml:space="preserve"> TECNICO ELECTRICISTAPARA SOPORTE EN LOS MANTENIMIENTOS DE SISTEMAS DE COMUNICACION DE LA DRTC-A</t>
  </si>
  <si>
    <t>RESPONSABLE DE LA UNIDAD DE ABASTECIMIENTO DE LA DRTC-A</t>
  </si>
  <si>
    <t xml:space="preserve">TECNICO EN INFORMATICA PARA LA DIRECCION SUB REGIONAL DE  BAGUA- UTCUBAMBA- CONDORCANQUI </t>
  </si>
  <si>
    <t xml:space="preserve"> ASISTENTE TÉCNICO PARA LA DIRECCIÓN DE COMUNICACIONES </t>
  </si>
  <si>
    <t>PERSONAL TECNICO O TOPOGRAFO PARA LA DIRECCION DE CAMINOS</t>
  </si>
  <si>
    <t>ROLANDO SALAS LOPEZ</t>
  </si>
  <si>
    <t xml:space="preserve">APOYO ADMINISTRATIVO EN LA SUB DIRECCION DE LICENCIAS </t>
  </si>
  <si>
    <t xml:space="preserve"> ASISTENTE EN LA UNIDAD DE BIENESTAR SOCIAL DE LA DRTC-A </t>
  </si>
  <si>
    <t>SANCHEZ ZOCON LISBETH MAYVIT</t>
  </si>
  <si>
    <t>ASISTENTE LEGAL PARA EL ÁREA DE ASESORÍA LEGAL DE LA DRTC-A</t>
  </si>
  <si>
    <t>VIGILANTE DE LA DRTC-A</t>
  </si>
  <si>
    <t xml:space="preserve">CONDUCTOR PARA LA DIRECCION DE ADMINISTRACIÓN </t>
  </si>
  <si>
    <t xml:space="preserve"> EVALUADOR TEORICO DE LA DIRECCION DE CIRCULACIÓN</t>
  </si>
  <si>
    <t>RESPONSABABLE DE LA UNIDAD DE CONTABILIDAD DE LA DRTC-A</t>
  </si>
  <si>
    <t xml:space="preserve"> ASISTENTE EN SISTEMAS INFORMÁTICOS DE LA DIRECCION DE COMUNICACIONES DE LA DRTC-A </t>
  </si>
  <si>
    <t>VIGILANTE PARA LA DRTC-A</t>
  </si>
  <si>
    <t xml:space="preserve"> RESPONSABLE DE INFRAESTRUCTURA VIAL</t>
  </si>
  <si>
    <t xml:space="preserve">RESPONSABLE DE IMPRESION DE LICENCIAS DE CONDUCIR </t>
  </si>
  <si>
    <t xml:space="preserve"> RESPONSABLE PARA LA OFICINA DE PLANIFICACION PRESUPUESTO Y DESARROLLO INSTITUCIONAL</t>
  </si>
  <si>
    <t xml:space="preserve">CONDUCTOR PARA LA CAMIONETA DE LA DIRECCIÓN DE COMUNICACIONES </t>
  </si>
  <si>
    <t>DIRECTOR DEL CENTRO EVALUADOR DE LA SUD DIRECCION DE LICENCIAS</t>
  </si>
  <si>
    <t xml:space="preserve">ASISTENTE LEGAL DE LA SUB DIRECCION DE FISCALIZACION </t>
  </si>
  <si>
    <t xml:space="preserve"> ASISTENTE EN MECÁNICA ELÉCTRICA DE LA DIRECION DE COMUNICACIONES </t>
  </si>
  <si>
    <t xml:space="preserve"> INGENIERO ELECTRÓNICO PARA LA DIRECCIÓN DE COMUNICACIONES</t>
  </si>
  <si>
    <t>SECRETARIA PARA LA DIRECCION DE CAMINOS</t>
  </si>
  <si>
    <t xml:space="preserve"> TECNICO DE LABORATORIO DE SUELOS DE LA DIRECCION DE CAMINOS</t>
  </si>
  <si>
    <t xml:space="preserve">UN ESPECIALISTA DE LABORATORIO DE SUELOS DE LA </t>
  </si>
  <si>
    <t xml:space="preserve">TECNICO ELECTRICISTA PARA LA DIRECCION DE COMUNICACIONES </t>
  </si>
  <si>
    <t xml:space="preserve">ASISTENTE TÉCNICO DE LA DIRECCIÓN DE COMUNICACIONES </t>
  </si>
  <si>
    <t xml:space="preserve">INSPECTOR DE TRANSPORTE DE LA SUB DIRECCION DE FISCALIZACION </t>
  </si>
  <si>
    <t xml:space="preserve">EVALUADOR TEORICO DE LA SUB DIRECCION DE LICENCIAS DE CONDUCIR </t>
  </si>
  <si>
    <t xml:space="preserve">ASISTENTE TÉCNICO PARA LA DIRECCIÓN DE CAMINOS </t>
  </si>
  <si>
    <t>ASISTENTE EN SISTEMAS INFORMÁTICOS</t>
  </si>
  <si>
    <t>PESONAL TECNICO DE APOYO PARA LA DIRECCION DE CAMINOS</t>
  </si>
  <si>
    <t>300 - 724 EDUCACIÓN AMAZONAS</t>
  </si>
  <si>
    <t>ASISTENTE ADMINISTRATIVO - ALMACEN</t>
  </si>
  <si>
    <t>BAZAN ALVARADO ROGER ENRIQUE</t>
  </si>
  <si>
    <t xml:space="preserve"> COMPUTACION E INFORMATICA</t>
  </si>
  <si>
    <t>TITULO TECNICO EN COMPUTACION E INFORMATICA</t>
  </si>
  <si>
    <t>ADENDUM N° 03-04-05-06</t>
  </si>
  <si>
    <t>01-01-2020 AL 31-12-2020</t>
  </si>
  <si>
    <t>15,600.00</t>
  </si>
  <si>
    <t>ADENDUM N° 07-08-09</t>
  </si>
  <si>
    <t>01-01-2021 AL 31-12-2021</t>
  </si>
  <si>
    <t>ASISTENTE ADMINISTRATIVO - PLANIFICACIÓN</t>
  </si>
  <si>
    <t>PRETEL SANTILLAN GEIDY YESICA</t>
  </si>
  <si>
    <t xml:space="preserve">SECETARIADO EJECUTIVO </t>
  </si>
  <si>
    <t xml:space="preserve">TECNICO EN SECETARIADO </t>
  </si>
  <si>
    <t>ASISTENTE ADMINISTRATIVO - CONSTANCIAS</t>
  </si>
  <si>
    <t>JAVE MARIN LICELLA</t>
  </si>
  <si>
    <t xml:space="preserve"> SECETARIADO EJECUTIVO</t>
  </si>
  <si>
    <t>TECNICO EN SECETARIADO EJECUTIVO</t>
  </si>
  <si>
    <t>ASISTENTE ADMINISTRATIVO - ABASTECIMIENTO</t>
  </si>
  <si>
    <t>PORRAS SALAZAR CESAR AUGUSTO</t>
  </si>
  <si>
    <t>COMPUTACION E INFORMATICA</t>
  </si>
  <si>
    <t>ASISTENTE ADMINISTRATIVO - PLANILLAS / RESPONSABLE DEL AIRHSP</t>
  </si>
  <si>
    <t xml:space="preserve">ALVARADO ZUTA JHUVITZA DEL PILAR </t>
  </si>
  <si>
    <t>OLIVA CRUZ ELISA</t>
  </si>
  <si>
    <t>SECUNADRIA COMPLETA</t>
  </si>
  <si>
    <t>CONTRATO N° 090-2021 Y ADENDUM N° 001-2021</t>
  </si>
  <si>
    <t>26-04-2021 AL 31-12-2021</t>
  </si>
  <si>
    <t>ASISTENTE ADMINISTRATIVO DE ALMACÉN</t>
  </si>
  <si>
    <t>POQUIOMA DIAPIS ROISER</t>
  </si>
  <si>
    <t xml:space="preserve"> ADMINISTRACION DE EMPRESAS</t>
  </si>
  <si>
    <t>CONTRATO N° 091-2021 Y ADENDUM N° 001-2021</t>
  </si>
  <si>
    <t>PERSONAL DE MANTENIMIENTO</t>
  </si>
  <si>
    <t>CONTRATO N° 092-2021 Y ADENDUM N° 001-2021</t>
  </si>
  <si>
    <t xml:space="preserve">ASISTENTE ADMINISTRATIVO DE ABASTECIMIENTO  </t>
  </si>
  <si>
    <t>ZUMAETA ZINARAHU EDWIN JAVIER</t>
  </si>
  <si>
    <t xml:space="preserve"> CONTADOR PUBLICO</t>
  </si>
  <si>
    <t>TITULO PROFESIONAL DE CONTADOR PUBLICO</t>
  </si>
  <si>
    <t>CONTRATO N° 093-2021 Y ADENDUM N° 001-2021</t>
  </si>
  <si>
    <t>ASISTENTE ADMINISTRATIVO DE PLANILLAS</t>
  </si>
  <si>
    <t>FLORES SOTO GERMAN TOMAS</t>
  </si>
  <si>
    <t xml:space="preserve"> CONTABILIDAD Y TRBUTACION</t>
  </si>
  <si>
    <t>BACHILLER UNIVERSITARIO</t>
  </si>
  <si>
    <t>BACHILLER EN CONTABILIDAD Y TRBUTACION</t>
  </si>
  <si>
    <t xml:space="preserve"> CONTRATO N° 094-2021 Y ADENDUM N° 001-2021</t>
  </si>
  <si>
    <t>SECRETARIO TÉCNICO SERVIR</t>
  </si>
  <si>
    <t>CHAVEZ BAZAN MIULLER</t>
  </si>
  <si>
    <t>DERECHO Y CIENCIA POLITICAS</t>
  </si>
  <si>
    <t>CONTRATO N° 095-2021 Y ADENDUM N° 001-2021</t>
  </si>
  <si>
    <t>SECRETARIO TÉCNICO CEPADD</t>
  </si>
  <si>
    <t>SECLEN OCAMPO CESIA</t>
  </si>
  <si>
    <t>CONTRATO N° 089-2021 Y ADENDUM N° 001-2021</t>
  </si>
  <si>
    <t>ASISTENTE ADMINISTRATIVO DE CONSTANCIAS</t>
  </si>
  <si>
    <t>CHUQUIZUTA ALVARADO PERCY ALBERTO</t>
  </si>
  <si>
    <t>CONTABILIDAD</t>
  </si>
  <si>
    <t>TITULO TECNCO EN CONTABILIDAD</t>
  </si>
  <si>
    <t>CONTRATO N° 096-2021 ADENDUM N° 001-2021</t>
  </si>
  <si>
    <t>RESPONSABLE DE PLANIFICACIÓN Y PRESUPUESTO</t>
  </si>
  <si>
    <t>VARGAS QUISTAN DANY AURORA</t>
  </si>
  <si>
    <t>TITULO UNIVERSITARIO DE CONTADOR PUBLICO</t>
  </si>
  <si>
    <t>CONTRATO N° 097-2021 Y ADENDUM N° 001-2021</t>
  </si>
  <si>
    <t>ASISTENTE ADMINISTRATIVO DE TESORERÍA</t>
  </si>
  <si>
    <t>GUIOP HUAMAN ALDER</t>
  </si>
  <si>
    <t>ADMINISTRACION Y NEGOCIOS NTERNACIONALES</t>
  </si>
  <si>
    <t>BACHILLER EN ADMNISTRACION Y NEGOCIOS INTERNACIONALES</t>
  </si>
  <si>
    <t>CONTRATO N° 098-2021 Y ADENDUM N° 001-2021</t>
  </si>
  <si>
    <t>ASISTENTE ADMINISTRATIVO TRAMITE DOCUMENTARIO</t>
  </si>
  <si>
    <t>CANTA VALQUI SADITH</t>
  </si>
  <si>
    <t>ADMINISTRACION BANCARIA</t>
  </si>
  <si>
    <t>TITULO TECNICO EN ADMI ISTRACION BANCARIA</t>
  </si>
  <si>
    <t>CONTRATO N° 099-2021 Y ADENDUM N° 001-2021</t>
  </si>
  <si>
    <t>ASISTENTE ADMINISTRATIVO DE PLANIFICACIÓN</t>
  </si>
  <si>
    <t>TORREJON CRUZ ROSA NOEMI</t>
  </si>
  <si>
    <t>TITULO UNIVERSITARIO EN ECONOMIA</t>
  </si>
  <si>
    <t>CONTRATO N° 100-2021 Y ADENDUM N° 001-2021</t>
  </si>
  <si>
    <t>ASISTENTE ADMINISTRATIVO DE ESCALAFÓN</t>
  </si>
  <si>
    <t>NUÑEZ CARRION ANA MARIA</t>
  </si>
  <si>
    <t xml:space="preserve">TIULO UNIVERSITARIO EN  TURISMO Y ADMINISTRACION </t>
  </si>
  <si>
    <t>CONTRATO N° 101-2021 ADENDUM N° 001-2021</t>
  </si>
  <si>
    <t>LOPEZ PINEDO FRANZ HAROLD</t>
  </si>
  <si>
    <t>RELACIONES INTERNACIONALES</t>
  </si>
  <si>
    <t>BACHILLER EN RELACIONES INTERNACIONALES</t>
  </si>
  <si>
    <t>CONTRATO N° 102-2021 Y ADENDUM N° 001-2021</t>
  </si>
  <si>
    <t>SECRETARIA DE ADMINISTRACIÓN</t>
  </si>
  <si>
    <t>CAMPOS ZUTA GREYS BARBARITA</t>
  </si>
  <si>
    <t>CONTRATO N° 103-2021 Y ADENDUM N° 001-2021</t>
  </si>
  <si>
    <t>COORDINADOR TECNICO REGIONAL</t>
  </si>
  <si>
    <t>BRIONES LA TORRE SANDRA KARINA</t>
  </si>
  <si>
    <t>LICENCIADA EN EDUCACION INICIAL</t>
  </si>
  <si>
    <t>TITULO DE LICENCIADA EN EDUCACCION INICIAL</t>
  </si>
  <si>
    <t>CONTRATO N° 104-2021 Y ADENDUM N° 001-2021</t>
  </si>
  <si>
    <t>ASISTENTE ADMINISTRATIVO - LOGISTICO</t>
  </si>
  <si>
    <t>GARCIA CULLAMPE JERSSON JOB</t>
  </si>
  <si>
    <t>CIENCIAS CONTABLES Y FINANCIERAS</t>
  </si>
  <si>
    <t>BACHILLER UNIVERSITARIO EN CIENCIAS CONTABLES Y FINANCIERAS</t>
  </si>
  <si>
    <t>CONTRATO N° 105-2021 Y ADENDUM N° 001-2021</t>
  </si>
  <si>
    <t>01-05-2021 AL 31-12-2021</t>
  </si>
  <si>
    <t xml:space="preserve">FACILITADOR </t>
  </si>
  <si>
    <t>BUSTAMANTE MENDOZA CELIA</t>
  </si>
  <si>
    <t>PSICOLOGIA</t>
  </si>
  <si>
    <t>TITULO UNIVERSITARIO EN PSICOLOGIA</t>
  </si>
  <si>
    <t>PEZO CARDENAS LOYSI</t>
  </si>
  <si>
    <t>CONTRATO N° 106-2021 Y ADENDUM N° 001-2021</t>
  </si>
  <si>
    <t>PROFESIONAL DE APOYO TÉCNICO</t>
  </si>
  <si>
    <t>VILLAREAL DAVILA MARILYN KATHLEEN</t>
  </si>
  <si>
    <t>EDUACION PRIMARIA</t>
  </si>
  <si>
    <t>PEDAGOGICO</t>
  </si>
  <si>
    <t>TITULO PEDAGOGICO EN EN EDUACION PRIMARIA</t>
  </si>
  <si>
    <t>CONTRATO N° 107-2021 Y ADENDUM N° 001 Y 002-2021</t>
  </si>
  <si>
    <t>ESPECIALISTA EN SEGUIMIENTO Y MONITOREO DE INSTITUTOS DE FORMACION DOCENTE</t>
  </si>
  <si>
    <t>RODRIGUEZ TRUJILLO JOSE ALEXANDER</t>
  </si>
  <si>
    <t>TITULO UNIVERSITARIO EN TURISMO Y ADMINISTRACION</t>
  </si>
  <si>
    <t>ADENDUM N° 003, 004,005 Y 006 AL CONTRATO 075-2019</t>
  </si>
  <si>
    <t>02-01-2020 AL 31-12-2020</t>
  </si>
  <si>
    <t>ADENDUM N° 003, 007,008 Y 009 AL CONTRATO 075-2019</t>
  </si>
  <si>
    <t>01-01-2021 AL 30-09-2021</t>
  </si>
  <si>
    <t>ASISTENTE ADMINSITRATIVO</t>
  </si>
  <si>
    <t>CHAVEZ PELAEZ JOSE LUIS</t>
  </si>
  <si>
    <t>BACHILLER   UNIVERSITARIO</t>
  </si>
  <si>
    <t>ADENDUM N° 002,003,004 Y 005 AL CONTRATO N°070-2019</t>
  </si>
  <si>
    <t>ADENDUM N° 006,007,008,009,010 AL CONTRATO N° 070-2019</t>
  </si>
  <si>
    <t>COORDINADOR LOCAL</t>
  </si>
  <si>
    <t xml:space="preserve">VERA GUERRERO HERNAN AVILÉS </t>
  </si>
  <si>
    <t>TITULO PEDAGOGICO</t>
  </si>
  <si>
    <t>TITULO PEDAGOGICO EN EDUCACION SECUNDARIA</t>
  </si>
  <si>
    <t>ADENDUM N° 002,003,004 Y 005 -AL CONTRATO N°0101-2019</t>
  </si>
  <si>
    <t>ADENDUM N° 006,007,008,009,010 AL CONTRATO N° 101-2019</t>
  </si>
  <si>
    <t xml:space="preserve">FLORES FLORES EMERSON </t>
  </si>
  <si>
    <t xml:space="preserve">EDUACION </t>
  </si>
  <si>
    <t>BACHILLER EN EDUACION</t>
  </si>
  <si>
    <t>ADENDUM N° 001,002 AL CONTRATO N°109-2020</t>
  </si>
  <si>
    <t>03-02-2020 AL 31-12-2020</t>
  </si>
  <si>
    <t>ADENDUM N° 003,004,005,006,007 AL CONTRATO N° 109-2020</t>
  </si>
  <si>
    <t>TORRES GRANDEZ ANGEL HUMBERTO</t>
  </si>
  <si>
    <t>TITULO PEDAGOGICO EN EDUCACION PRIMARIA</t>
  </si>
  <si>
    <t>ADENDUM N° 002,003,004,005 AL CONTRATO N°100-2019</t>
  </si>
  <si>
    <t>ADENDUM N° 006,007,008,009,010 AL CONTRATO N° 100-2019</t>
  </si>
  <si>
    <t>JAUREGUI TAFUR ROLY GONZALO</t>
  </si>
  <si>
    <t>ADENDUM N° 002,003,004,005 AL CONTRATO N°098-2019</t>
  </si>
  <si>
    <t>ADENDUM N° 006,007,008,009,010 AL CONTRATO N° 098-2019</t>
  </si>
  <si>
    <t>FLORES RODRIGUEZ ALEX</t>
  </si>
  <si>
    <t>CONTRATO N° 110-2020 Y ADENDUM N° 001-002</t>
  </si>
  <si>
    <t>ADENDUM N° 003,004,005,006,07 AL CONTRATO N° 110-2020</t>
  </si>
  <si>
    <t>HIDALGO CAHUCA DANY</t>
  </si>
  <si>
    <t>DOCENTE EN EDUCACION PRIMARIA</t>
  </si>
  <si>
    <t>TITULO  PEDAGOGICO</t>
  </si>
  <si>
    <t>TITULO  PEDAGOGICO EN  EDUCACION PRIMARIA</t>
  </si>
  <si>
    <t>ADENDUM N° 002-003-004-005 AL CONTRATO N° 073-2019</t>
  </si>
  <si>
    <t>ADENDUM N° 006,007,008,009,010 AL CONTRATO N° 073-2019</t>
  </si>
  <si>
    <t>SECLEN ARCE SILVIA</t>
  </si>
  <si>
    <t>DOCENTE DE NIVEL SECUNDARIA</t>
  </si>
  <si>
    <t>AL CONTRATO N°111 2020 Y ADENDUM N° 001 Y 002</t>
  </si>
  <si>
    <t>ADENDUM N° 003,004,005,006,07 AL CONTRATO N° 111-2020</t>
  </si>
  <si>
    <t>ASISTENTE ADMINISTRATIVO - RELACIONES PUBLICAS</t>
  </si>
  <si>
    <t>ZUMAETA ROJAS ALEXANDER</t>
  </si>
  <si>
    <t>BACHILLER COMO COMUNICADOR SOCIAL</t>
  </si>
  <si>
    <t>EDUCACION SUPERIOR</t>
  </si>
  <si>
    <t>DICIEMBRE</t>
  </si>
  <si>
    <t>SEPTIEMBRE</t>
  </si>
  <si>
    <t>ASISTENTE ADMINISTRATIVO - TESORERIA</t>
  </si>
  <si>
    <t xml:space="preserve">BACHILLER EN TURISMO Y ADMINISTRACION </t>
  </si>
  <si>
    <t>RODRIGUEZ PEREA SAYURI MILAGROS</t>
  </si>
  <si>
    <t>ASISTENTE ADMINISTRATIVO - SECRETARIA TÉCNICA</t>
  </si>
  <si>
    <t>CHAVEZ BAZAN MIULER</t>
  </si>
  <si>
    <t>PERSONAL DE SALUD PARA LA DREA</t>
  </si>
  <si>
    <t>OCMIN MIO MARIA YESSENIA</t>
  </si>
  <si>
    <t>TECNICO EN TERAPIA FISICA</t>
  </si>
  <si>
    <t xml:space="preserve">ASISTENTE ADMINISTRATIVO - PERSONAL </t>
  </si>
  <si>
    <t>DELGADO VELA EDELMIRA FIORELI</t>
  </si>
  <si>
    <t>NAYO</t>
  </si>
  <si>
    <t>PERSONAL DE SERVICIO - ESCALAFÓN Y ALMACÁN</t>
  </si>
  <si>
    <t>YLIQUIN GORMAS JANETH ELIZABETH</t>
  </si>
  <si>
    <t>ASISTENTE ADMINISTRATIVO - ESCALAFÓN</t>
  </si>
  <si>
    <t>MENDOZA ALVA DORA INOCENTA</t>
  </si>
  <si>
    <t xml:space="preserve">LICENCIADO EN TURISMO </t>
  </si>
  <si>
    <t>MESTANZA HERNANDEZ KATHERINA MELISSA</t>
  </si>
  <si>
    <t xml:space="preserve">ASISTENTE ADMINISTRATIVO - REMUNERACIONES PLANILLAS </t>
  </si>
  <si>
    <t>RESPONSABLE DE SIAGIE- UGEL CHACHAPOYAS</t>
  </si>
  <si>
    <t>TORREJON ZELADA KHATTERIN ASUNTA</t>
  </si>
  <si>
    <t>BACHILLER EN ADMINISTRACION Y NEGOCIOS INTERNACIONALES</t>
  </si>
  <si>
    <t>SECRETARIA - DURECCION UGEL CHACHAPOYAS</t>
  </si>
  <si>
    <t>LOJA PICON ELISA JANNETH</t>
  </si>
  <si>
    <t>SECRETARIA - GESTION PEDAGOGICA UGEL CHACHAPOYAS</t>
  </si>
  <si>
    <t>TOMANGUILLA ALVIS ERESVITA</t>
  </si>
  <si>
    <t>SECRETARIA - PERSONAL UGEL CHACHAPOYAS</t>
  </si>
  <si>
    <t>JIMENEZ ABANTO NANCY</t>
  </si>
  <si>
    <t>PERSONAL DE LIMPIEZA - UGEL CHACHAPOYAS</t>
  </si>
  <si>
    <t>MUÑOZ VASQUEZ ALCIDIA</t>
  </si>
  <si>
    <t xml:space="preserve">APOYO ADMINISTRATIVO - AREA DE ALMACEN </t>
  </si>
  <si>
    <t>CHUQUIZUTA CASTAÑEDA IVAN</t>
  </si>
  <si>
    <t xml:space="preserve">ASISTENTE ADMINISTRATIVO - ESCALAFON </t>
  </si>
  <si>
    <t>ZUTA LOPEZ MELISSA DEL PILAR</t>
  </si>
  <si>
    <t>EGRESADA EN DERECHO</t>
  </si>
  <si>
    <t>EGRESADA UNIVERSITARIA</t>
  </si>
  <si>
    <t>SECRETARIA - TRAMITE DOCUMENTARIO UGEL RODRIGUEZ DE MENDOZA</t>
  </si>
  <si>
    <t>ALVAREZ HUAMAN NADIA KILMENY</t>
  </si>
  <si>
    <t>SECRETARIA DE DIRECCION - UGEL RODRIGUEZ DE MENDOZA</t>
  </si>
  <si>
    <t>VILCARROMERO VELA LUZ JANELY</t>
  </si>
  <si>
    <t xml:space="preserve">PERSONAL DE LIMPIEZA EN EL I.E.S.P.P. TORIBIO RODRIGUEZ DE MENDOZA </t>
  </si>
  <si>
    <t>SECRETARIA EN LA OCED - CAMPORREDONDO</t>
  </si>
  <si>
    <t>MENDOZA ZUMAETA DARLITH DEL ROSARIO</t>
  </si>
  <si>
    <t xml:space="preserve">VIGILANTE EN EL CENTRO DE RECURSOS DE LA EDUCACION BASICA </t>
  </si>
  <si>
    <t>SANCHEZ CHAVEZ MANUEL</t>
  </si>
  <si>
    <t>SECRETARIA - DIRECCION ADMINISTRATIVA DREA</t>
  </si>
  <si>
    <t>MELENDEZ MUÑOZ CINTYA DENISSE</t>
  </si>
  <si>
    <t>SERVICIO DE VIGILANCIA - DREA</t>
  </si>
  <si>
    <t>ASISTENTE ADMINISTRATIVO- OFICINA DE ABASTECIMIENTO</t>
  </si>
  <si>
    <t>VIVIANA FIORELLA SANDOVAL BRITO</t>
  </si>
  <si>
    <t>LICENCIADA EN TURISMO Y NEGOCIOS</t>
  </si>
  <si>
    <t>SECRETARIA DE AREA DE PERSONAL</t>
  </si>
  <si>
    <t>GLADIS MAGNOLIA NORIEGA GUADALUPE</t>
  </si>
  <si>
    <t>CONDUCTOR DE LA UGEL CHACHAPOYAS</t>
  </si>
  <si>
    <t>SAMUEL IGLESIAS VILCA</t>
  </si>
  <si>
    <t>ANALISTA DE ALMACEN Y PATRIMONIO - UGEL BONGARA</t>
  </si>
  <si>
    <t>ZUMAETA SINARAHUA EDWIN JAVIER</t>
  </si>
  <si>
    <t>ANALISTA DE ALMACEN Y PATRIMONIO - UGEL RODRIGUEZ DE MENDOZA</t>
  </si>
  <si>
    <t>ZAPATA DIAZ GRICERIA ISABEL</t>
  </si>
  <si>
    <t>APOYO ADMINISTRATIVO - AREA DEPRESUPUESTO</t>
  </si>
  <si>
    <t>FERNANDO MANUEL AQUINO VASQUEZ</t>
  </si>
  <si>
    <t>ESTUDIANTE DE ECONOMIA</t>
  </si>
  <si>
    <t xml:space="preserve">VIGILANTE  </t>
  </si>
  <si>
    <t xml:space="preserve"> VARGAS MELENDEZ LURY DEL PILAR</t>
  </si>
  <si>
    <t xml:space="preserve">VIGILANTE DE LA I.E. SANTO TOMAS </t>
  </si>
  <si>
    <t xml:space="preserve">YOPLAX VALQUI DARWIN </t>
  </si>
  <si>
    <t>GENDERSON MAGALLAN MORI</t>
  </si>
  <si>
    <t xml:space="preserve">TENORIO BARDALES ENITH JHOELY </t>
  </si>
  <si>
    <t>AMPARO OCC RUIZ</t>
  </si>
  <si>
    <t>EDWIN TRIGOSO YALTA</t>
  </si>
  <si>
    <t>GLENDI MERCEDES TOMANGUILLA HUAMAN</t>
  </si>
  <si>
    <t>LLANELY  ZUTA REAP</t>
  </si>
  <si>
    <t xml:space="preserve">JOSE JESUS GUEVARA PUERTA </t>
  </si>
  <si>
    <t xml:space="preserve">JHANET LAPIZ SOPLA </t>
  </si>
  <si>
    <t>PERSONAL ASMINISTRATIVO</t>
  </si>
  <si>
    <t xml:space="preserve">ANGEL WILDER RABANAL </t>
  </si>
  <si>
    <t>PERSONAL ADMINISTRATIVO</t>
  </si>
  <si>
    <t xml:space="preserve">MARIA ISABEL SALON ROJAS </t>
  </si>
  <si>
    <t>MA</t>
  </si>
  <si>
    <t>ENRIQUE VILCA CASTILLO</t>
  </si>
  <si>
    <t>FEBRERO</t>
  </si>
  <si>
    <t>ASISTENTE</t>
  </si>
  <si>
    <t>LISETH POQUIMA CULQUI</t>
  </si>
  <si>
    <t>SECRETARIA DE DIRECCION - DREA</t>
  </si>
  <si>
    <t xml:space="preserve">HEIDI DEL ROCIO OCMIN MIO </t>
  </si>
  <si>
    <t>ESTUDIANTE DE DERECHO</t>
  </si>
  <si>
    <t>LESLY CUCHCA ZABALETA</t>
  </si>
  <si>
    <t>FRANZ HAROLD LOPEZ PINEDO</t>
  </si>
  <si>
    <t xml:space="preserve">BACHILLER EN RELACIONES INTERNACIONALES </t>
  </si>
  <si>
    <t>ASISTENTE EN DGI</t>
  </si>
  <si>
    <t>ROSA FLORES</t>
  </si>
  <si>
    <t>ASISTENTE EN CONTABILIDAD</t>
  </si>
  <si>
    <t>OSCAR GUERRERA CULQUI</t>
  </si>
  <si>
    <t>RESPONSABLE DE LA AIRHSP</t>
  </si>
  <si>
    <t>NOEMI VILLANUEVA SANTA CRUZ</t>
  </si>
  <si>
    <t>301 - 954 EDUCACIÓN BAGUA</t>
  </si>
  <si>
    <t>TÉCNICO ADMINISTRATIVO EN DERIVACIÓN DE DOCUMENTOS</t>
  </si>
  <si>
    <t>FUENTES RIOS CARMEN ICELA</t>
  </si>
  <si>
    <t xml:space="preserve">TÉCNICO </t>
  </si>
  <si>
    <t>PERSONAL DE VIGILANCIA Y CONTROL DE PUERTA</t>
  </si>
  <si>
    <t>CARHUAJULCA GONZALES JULIO MIGUEL</t>
  </si>
  <si>
    <t>SIN GRADO</t>
  </si>
  <si>
    <t>TÉCNICO ADMINISTRATIVO EN PATRIMONIO</t>
  </si>
  <si>
    <t xml:space="preserve">RIMARACHIN CAYATOPA SILVIA JANNETH </t>
  </si>
  <si>
    <t>TÉCNICO EN CONTABILIDAD</t>
  </si>
  <si>
    <t>TÉCNICO ADMINISTRATIVO EN TESORERÍA</t>
  </si>
  <si>
    <t>CASTILLO BARRIOS NILDA YAMELI</t>
  </si>
  <si>
    <t>ORREGO SANTILLAN PABLO AMERICO</t>
  </si>
  <si>
    <t>HEREDIA CIEZA JOSE EDGAR</t>
  </si>
  <si>
    <t>RESPONSABLE RENDICIONES DE VIÁTICOS EN EL SIGA</t>
  </si>
  <si>
    <t>MARTÍNEZ CARRASCO DANY VANESSA</t>
  </si>
  <si>
    <t>RESPONSABLE ESTADÍSTICA – SIAGIE</t>
  </si>
  <si>
    <t>URIOL ROJAS NADIA EDITH</t>
  </si>
  <si>
    <t>BACHILLER EN INGIERÍA INFORMÁTICA</t>
  </si>
  <si>
    <t>OPERADOR DEL APLICATIVO DE DEMANDAS JUDICIALES Y ARBITRALES EN CONTRA DEL ESTADO</t>
  </si>
  <si>
    <t>MARTINEZ ESPINOZA FRANCISS DANIEL</t>
  </si>
  <si>
    <t>BACHILLER EN CIENCIAS ECONÓMICAS</t>
  </si>
  <si>
    <t>ESPECIALISTA DE RECURSOS HUMANOS</t>
  </si>
  <si>
    <t>VILLEGAS CAMPOS RONALDO</t>
  </si>
  <si>
    <t>ASISTENTE EN PROCESOS ADMINISTRATIVOS DISCIPLINARIOS DE DOCENTES Y ADMINISTRATIVOS</t>
  </si>
  <si>
    <t>TERRONES GUERRERO ANALY</t>
  </si>
  <si>
    <t xml:space="preserve">HERNANDEZ MONTEZA ANGEL SAUL </t>
  </si>
  <si>
    <t>ASISTENTE DE IMAGEN INSTITUCIONAL</t>
  </si>
  <si>
    <t>DIAZ GUERRERO IMER HOBET</t>
  </si>
  <si>
    <t>BACHILLER EN INGENIERÍA DE SISTEMAS Y TELEMÁTICA</t>
  </si>
  <si>
    <t>COORDINADOR DE INNOVACIÓN Y SOPORTE TECNOLÓGICO</t>
  </si>
  <si>
    <t>MENOR MORE JONATHAN SMITH</t>
  </si>
  <si>
    <t>CUBAS ABAD MODKE DEYBIS</t>
  </si>
  <si>
    <t>TÉCNICO EN COMPUTACIÓN E INFORMÁTICA</t>
  </si>
  <si>
    <t>OTROS - REQUERIMIENTO</t>
  </si>
  <si>
    <t>APOYO EN SECRETARIA EN GESTION INSTITUCIONAL</t>
  </si>
  <si>
    <t>ALVARES FLORES MIGUEL ANGEL</t>
  </si>
  <si>
    <t>TECNICO EN COMPUTACION INFORMATICA</t>
  </si>
  <si>
    <t>APOYO ADMINISTRATIVO EN GESTION PEDAGOGICA</t>
  </si>
  <si>
    <t>ANTUASH AKUTS NILSER ISAAC</t>
  </si>
  <si>
    <t>APOYO EN SECRETARIA EN ADMINISTRACION</t>
  </si>
  <si>
    <t>CHIQUINTA CORDOVA SICELY</t>
  </si>
  <si>
    <t>APOYO ADMINISTRATIVO ASESORIA</t>
  </si>
  <si>
    <t>CORDOVA BERRU GISSELA ISABEL</t>
  </si>
  <si>
    <t>TECNICO EN SECRETARIA EJECUTIVO</t>
  </si>
  <si>
    <t>APOYO EN LA OFICINA DE ESTADISTICA Y SIAGIE</t>
  </si>
  <si>
    <t xml:space="preserve">CUBAS PAZ LILIANA </t>
  </si>
  <si>
    <t>BACHILLER EN ECONOMIA</t>
  </si>
  <si>
    <t>CUMBIA GUERRERO AURORA ELIZABETH</t>
  </si>
  <si>
    <t>TECNICA EN COMPUTACION INFORMATICA</t>
  </si>
  <si>
    <t>APOYO EN LA OFICINA DE INFRAESTRUCTURA</t>
  </si>
  <si>
    <t>DAVILA ALVARADO ROSALINA STEFANY</t>
  </si>
  <si>
    <t>CONTADORA PUBLICA</t>
  </si>
  <si>
    <t>02867515</t>
  </si>
  <si>
    <t xml:space="preserve">FLORES JIMENEZ ERNESTO </t>
  </si>
  <si>
    <t>DOCENTE</t>
  </si>
  <si>
    <t>APOYO EN LA OFICINA DE TRAMITE DOCUMENTARIO</t>
  </si>
  <si>
    <t>FUSTAMANTE RUIZ MARLENY</t>
  </si>
  <si>
    <t>APOYO COMO PERSONAL DE LIMPIEZA</t>
  </si>
  <si>
    <t>JULIO DIAZ SOTO</t>
  </si>
  <si>
    <t xml:space="preserve">MARTINEZ ESPINOZA FRANCISS DANIEL </t>
  </si>
  <si>
    <t xml:space="preserve">BACHILLER EN ECONOMIA </t>
  </si>
  <si>
    <t xml:space="preserve">BACHILLER NE ECONOMIA </t>
  </si>
  <si>
    <t>APOYO ADMINITRATIVO EN GESTION PEDAGOGICA</t>
  </si>
  <si>
    <t>BACHILLER EN INGENIERO DE SISTEMAS</t>
  </si>
  <si>
    <t>PRADO MENDOZA OTONIEL</t>
  </si>
  <si>
    <t>APOYO EN LA OFICINA DE PROCESOS</t>
  </si>
  <si>
    <t>RIVERA VELAYARCE SANDRA</t>
  </si>
  <si>
    <t>APOYO EN IMAGEN INSTITUCIONAL</t>
  </si>
  <si>
    <t>SANCHEZ TORRES ALEX JOEL</t>
  </si>
  <si>
    <t>APOYO EN LA OFICINA DE PRESUPUESTO</t>
  </si>
  <si>
    <t>VILCHEZ DONAYRE MARJORIE LUCERO</t>
  </si>
  <si>
    <t>APOYO CONTABLE OCI</t>
  </si>
  <si>
    <t>ALVA MARQUINA IVE LILIANA</t>
  </si>
  <si>
    <t>APOYO EN SECRETARIA INFRAESTRUCTURA</t>
  </si>
  <si>
    <t>ERESBIT PAMELA BERMUDO EYZAGUIRRE</t>
  </si>
  <si>
    <t>ADMINISTRADORA</t>
  </si>
  <si>
    <t>APOYO EN SECRETARIA PERSONAL</t>
  </si>
  <si>
    <t>LUZ MARINA VILLALOBOS VENTURA</t>
  </si>
  <si>
    <t xml:space="preserve">APOYO ADMINISTRATIVO </t>
  </si>
  <si>
    <t>MARTIN CHAYAN FLORES</t>
  </si>
  <si>
    <t>APOYO EN SECRETARIA ADMINISTRACION</t>
  </si>
  <si>
    <t>PEREZ HORNA SAIDA YUCELY</t>
  </si>
  <si>
    <t>APOYO EN GESTION INSTITUCIONAL</t>
  </si>
  <si>
    <t xml:space="preserve">APOYO EN ABASTECIMIENTO </t>
  </si>
  <si>
    <t>SERNA ROSALES JHON ERLIN</t>
  </si>
  <si>
    <t xml:space="preserve">TOLEDO VILLOSLADA JOSUE </t>
  </si>
  <si>
    <t>APOYO EN ESCALAFON</t>
  </si>
  <si>
    <t>YOPAN DIAPIZ ANDERSON MANUEL</t>
  </si>
  <si>
    <t>302 - 1220 EDUCACIÓN CONDORCANQUI</t>
  </si>
  <si>
    <t>ESPECIALISTA DE CONVIVENCIA ESCOLAR DE LA UGEL</t>
  </si>
  <si>
    <t>43581627</t>
  </si>
  <si>
    <t>BLAS AVALOS NANCY</t>
  </si>
  <si>
    <t>LICENCIADO EN PSICOLOGIA</t>
  </si>
  <si>
    <t>LICENCIADO</t>
  </si>
  <si>
    <t>80618976</t>
  </si>
  <si>
    <t>UKUNCHAM SANCHUM MIGUEL</t>
  </si>
  <si>
    <t>QUINTO DE SECUNDARIA</t>
  </si>
  <si>
    <t>CON QUINTO DE SECUNDARIA</t>
  </si>
  <si>
    <t>FORMADOR TUTOR DEL NIVEL SECUNDARIA</t>
  </si>
  <si>
    <t>16584050</t>
  </si>
  <si>
    <t>ARRASCUE BARDALES GONZALO</t>
  </si>
  <si>
    <t>FÍSICA Y MATEMATICA</t>
  </si>
  <si>
    <t>LICENCIADO EN EDUCACION</t>
  </si>
  <si>
    <t>46863065</t>
  </si>
  <si>
    <t>VASQUEZ CUBAS MOISES</t>
  </si>
  <si>
    <t>COMUNICACION</t>
  </si>
  <si>
    <t>PROFESOR</t>
  </si>
  <si>
    <t>48216915</t>
  </si>
  <si>
    <t>ROJAS BENAVIDES LESLY GERALDINE</t>
  </si>
  <si>
    <t>MATEMATICA Y COMPUTACION</t>
  </si>
  <si>
    <t>44270873</t>
  </si>
  <si>
    <t>AMPUSH CHUIN LUCIO</t>
  </si>
  <si>
    <t>LENGUA ESPAÑOLA</t>
  </si>
  <si>
    <t>41137786</t>
  </si>
  <si>
    <t>CANO LOPE JOHN FERNANDO</t>
  </si>
  <si>
    <t>74142818</t>
  </si>
  <si>
    <t>HEREDIA RODRIGUEZ CRISTHIAN ARNOLD</t>
  </si>
  <si>
    <t>71585053</t>
  </si>
  <si>
    <t>YAHUANA CONTRERAS KEYLA BRISEIDA</t>
  </si>
  <si>
    <t>LICENCIADO EN DERECHO</t>
  </si>
  <si>
    <t>33587339</t>
  </si>
  <si>
    <t>RAMOS FLORES RONALD</t>
  </si>
  <si>
    <t>MATEMATICA</t>
  </si>
  <si>
    <t>43901991</t>
  </si>
  <si>
    <t>SAMAREN AMPAM LOT</t>
  </si>
  <si>
    <t>CIENCIAS NATURALES - GESTIÓN EMPRESARIAL</t>
  </si>
  <si>
    <t>FORMADOR TUTO DEL NIVEL PRIMARIA - EIB</t>
  </si>
  <si>
    <t>45926433</t>
  </si>
  <si>
    <t>AKUTS SHUWIG RUFINO</t>
  </si>
  <si>
    <t>EDUCACION PRIMARIA</t>
  </si>
  <si>
    <t>43387099</t>
  </si>
  <si>
    <t>JAAMANCH NANCHI CHRISTIAN MANFREDO</t>
  </si>
  <si>
    <t>EDUCACION PRIMARIA EIB</t>
  </si>
  <si>
    <t>44026924</t>
  </si>
  <si>
    <t>ANJIS SUAMUT JUAN JOSE</t>
  </si>
  <si>
    <t>80535861</t>
  </si>
  <si>
    <t>TRIGOSO POZO LIRA</t>
  </si>
  <si>
    <t>44451583</t>
  </si>
  <si>
    <t>PIZANGO SEJEKAM LANGER</t>
  </si>
  <si>
    <t>48231504</t>
  </si>
  <si>
    <t>SEJEKAM ASANGKAY MANRIQUE</t>
  </si>
  <si>
    <t>41636351</t>
  </si>
  <si>
    <t>NONINGO ANTICH FLAVIO</t>
  </si>
  <si>
    <t>EDUCACION PRIMARIA BILINGÜE</t>
  </si>
  <si>
    <t>33770070</t>
  </si>
  <si>
    <t>QUIACO AUSHUQUI HILDA</t>
  </si>
  <si>
    <t>EDUCACION PRIMAMRIA BILINGÜE</t>
  </si>
  <si>
    <t>41354994</t>
  </si>
  <si>
    <t>FLORES PIZANGO TALI</t>
  </si>
  <si>
    <t>46218341</t>
  </si>
  <si>
    <t>SAMAREN AMPAM GETER</t>
  </si>
  <si>
    <t>45637387</t>
  </si>
  <si>
    <t>WEEPIU SAMEKASH YANUT FABIOLA</t>
  </si>
  <si>
    <t>44009607</t>
  </si>
  <si>
    <t>SUNTAG JINTACH ELIO</t>
  </si>
  <si>
    <t>33769537</t>
  </si>
  <si>
    <t>MUKUIM ZACARIAS DORIS</t>
  </si>
  <si>
    <t>33766167</t>
  </si>
  <si>
    <t>WEEPIO SHIKIU EVODIA PILAR</t>
  </si>
  <si>
    <t>43180678</t>
  </si>
  <si>
    <t>NAZARIO PIAPIA SEGUNDO ELIAS</t>
  </si>
  <si>
    <t>EDUCACION PRIMARIA  BILINGÜE</t>
  </si>
  <si>
    <t>33578625</t>
  </si>
  <si>
    <t>WIPIO PAUCAI FABIAN</t>
  </si>
  <si>
    <t>43410195</t>
  </si>
  <si>
    <t>ENTSAKUA ANDUASH VIRGILIO</t>
  </si>
  <si>
    <t>RESPONSABLE LOCAL DE CALIDAD DE LA INFORMACION</t>
  </si>
  <si>
    <t>42510959</t>
  </si>
  <si>
    <t>ARENAS AMAYA LUIS ANTONIO</t>
  </si>
  <si>
    <t>PROFESIONAL EN EDUCACIÓN</t>
  </si>
  <si>
    <t>40205289</t>
  </si>
  <si>
    <t>ALFARO PARI SHILLA PAOLA</t>
  </si>
  <si>
    <t>PROFESOR EDUCACIÓN PRIMARIA</t>
  </si>
  <si>
    <t>PROFESIONAL EN PSICOLOGÍA</t>
  </si>
  <si>
    <t>42963041</t>
  </si>
  <si>
    <t>OSORIO RODRIGUEZ VERONICA CELESTE</t>
  </si>
  <si>
    <t>PERSONAL DE SEGURIDAD</t>
  </si>
  <si>
    <t>77022370</t>
  </si>
  <si>
    <t>CHAMIK UNUP ISAAC</t>
  </si>
  <si>
    <t>PROMOTOR(A) DE BIENESTAR</t>
  </si>
  <si>
    <t>76505340</t>
  </si>
  <si>
    <t>SAMEKASH AMPAM ARMANDINA</t>
  </si>
  <si>
    <t>RESPONSABLE DE BIENESTAR SRE</t>
  </si>
  <si>
    <t>45342914</t>
  </si>
  <si>
    <t>JUEP KUKUSH MILTON</t>
  </si>
  <si>
    <t>EDUCACIÓN PRIMARIA BILINGÜE</t>
  </si>
  <si>
    <t>74031185</t>
  </si>
  <si>
    <t>SEJEKAM CHIGKUN YULIANA</t>
  </si>
  <si>
    <t>40501322</t>
  </si>
  <si>
    <t>UNUP SEJEKAM MATEO</t>
  </si>
  <si>
    <t>EDUCACIÓN PRIMARIA</t>
  </si>
  <si>
    <t>CON ESTUDIOS PEDAGOGICOS CONCLUIDOS</t>
  </si>
  <si>
    <t>48319391</t>
  </si>
  <si>
    <t>TANKAMASH UGKUCH GLOVER GUILLERMO</t>
  </si>
  <si>
    <t>ARQUITECTURA</t>
  </si>
  <si>
    <t>CON ESTUDIOS NO PEDAGOGICOS NO CONCLUIDOS</t>
  </si>
  <si>
    <t>45343731</t>
  </si>
  <si>
    <t>WASHIKAT TIJIATS EULOGIO</t>
  </si>
  <si>
    <t>INGLES</t>
  </si>
  <si>
    <t>CON ESTUDIOS PEDAGOGICOS NO CONCLUIDOS</t>
  </si>
  <si>
    <t>46675211</t>
  </si>
  <si>
    <t>WISUM PAKURAI ANDER</t>
  </si>
  <si>
    <t>PRODUCCION AGROPECUARIA</t>
  </si>
  <si>
    <t>PROFESIONAL TECNICO</t>
  </si>
  <si>
    <t>46477448</t>
  </si>
  <si>
    <t>QUISPE BERNILLA DARLIN</t>
  </si>
  <si>
    <t>SOCIOLOGIA</t>
  </si>
  <si>
    <t>LICENCIADO EN SOCIOLOGIA</t>
  </si>
  <si>
    <t>44303959</t>
  </si>
  <si>
    <t>AMPAM WEJIN PROFIRIO</t>
  </si>
  <si>
    <t>ENFERMERIA TECNICA</t>
  </si>
  <si>
    <t>76859517</t>
  </si>
  <si>
    <t>GONZALES PANDO MARIA DEL PILAR</t>
  </si>
  <si>
    <t>62207464</t>
  </si>
  <si>
    <t>DAEKAT PUANCHA MERALY</t>
  </si>
  <si>
    <t>33767981</t>
  </si>
  <si>
    <t>SANCHEZ MELENDEZ SEGUNDO HIPOLITO</t>
  </si>
  <si>
    <t>PSICÓLOGO(A)</t>
  </si>
  <si>
    <t>44950206</t>
  </si>
  <si>
    <t>RAMIREZ SOBRINO LESLI MARGARITA</t>
  </si>
  <si>
    <t>PSICOLOGO</t>
  </si>
  <si>
    <t>45355263</t>
  </si>
  <si>
    <t>CATAN JUHOO GABRIEL</t>
  </si>
  <si>
    <t>45772739</t>
  </si>
  <si>
    <t>AHUANARI WAM NEMECIO</t>
  </si>
  <si>
    <t>47833224</t>
  </si>
  <si>
    <t>CALDERON SIESQUEN KATY KATERINE</t>
  </si>
  <si>
    <t>46675214</t>
  </si>
  <si>
    <t>LOPEZ ROGER LEONIDAS</t>
  </si>
  <si>
    <t>80619708</t>
  </si>
  <si>
    <t>SEREMPO NEQUENDEY NIEVES</t>
  </si>
  <si>
    <t>61224500</t>
  </si>
  <si>
    <t>CASTILLO PADILLA SANDRA</t>
  </si>
  <si>
    <t>42931705</t>
  </si>
  <si>
    <t>MACAHUACHI GONZALES RENET</t>
  </si>
  <si>
    <t>75532870</t>
  </si>
  <si>
    <t>BRUNO RUIZ HARENS CESAR AUGUSTO</t>
  </si>
  <si>
    <t>BACHILLER EN PSICOLOGIA</t>
  </si>
  <si>
    <t>42526824</t>
  </si>
  <si>
    <t>CHAVEZ MACAHUACHI RONAL</t>
  </si>
  <si>
    <t>71257563</t>
  </si>
  <si>
    <t>JAAMANCH TIINCH LUSBI NANCY</t>
  </si>
  <si>
    <t>EDUCACIÓN INICIAL BILINGÜE</t>
  </si>
  <si>
    <t>48149428</t>
  </si>
  <si>
    <t>JAAMANCH NANCHI GLETHIN SOLAYDA</t>
  </si>
  <si>
    <t>74467032</t>
  </si>
  <si>
    <t>WEJIN TOLEDO ROMEN</t>
  </si>
  <si>
    <t>33763451</t>
  </si>
  <si>
    <t>KUNCHIKUI NANKAI ATAHUALPA</t>
  </si>
  <si>
    <t>43452323</t>
  </si>
  <si>
    <t>CUEVA MELON GABRIEL ANGELO</t>
  </si>
  <si>
    <t>45345129</t>
  </si>
  <si>
    <t>AGKUASH WASHIKAT TERESA</t>
  </si>
  <si>
    <t>43765112</t>
  </si>
  <si>
    <t>MAYAN CHIJAP FERNANDO</t>
  </si>
  <si>
    <t>33673477</t>
  </si>
  <si>
    <t>FERNANDEZ DIAZ ANGELICA MARIA</t>
  </si>
  <si>
    <t>44583347</t>
  </si>
  <si>
    <t>ATSUAM ARROBO GISSELA HERLITA</t>
  </si>
  <si>
    <t>ADMINISTRACIÓN DE EMPRESAS</t>
  </si>
  <si>
    <t>CON ESTUDIOS NO PEDAGOGICOS CONCLUIDOS</t>
  </si>
  <si>
    <t>33763427</t>
  </si>
  <si>
    <t>ESASH ANTUN LUIS</t>
  </si>
  <si>
    <t>47306978</t>
  </si>
  <si>
    <t>PAATII KANTUA DAVID</t>
  </si>
  <si>
    <t>43683373</t>
  </si>
  <si>
    <t>SAAVEDRA SEMBRERA ALEX</t>
  </si>
  <si>
    <t>73190625</t>
  </si>
  <si>
    <t>MENDOZA SALAS NOEMI</t>
  </si>
  <si>
    <t>47617976</t>
  </si>
  <si>
    <t>SAJAMI TSEJEMPO LUIS JAVIER</t>
  </si>
  <si>
    <t>17589140</t>
  </si>
  <si>
    <t>CALVAY CORONADO JESSICA ROXANA</t>
  </si>
  <si>
    <t>80185092</t>
  </si>
  <si>
    <t>UJUKAN HAANCH ABIOD</t>
  </si>
  <si>
    <t>76366188</t>
  </si>
  <si>
    <t>NANTIP SHUWIG EDIT</t>
  </si>
  <si>
    <t>45362309</t>
  </si>
  <si>
    <t>TSUIG MARIACO LLENI</t>
  </si>
  <si>
    <t>16125192</t>
  </si>
  <si>
    <t>SAMANIEGO JULIAN EDDY FERNANDO</t>
  </si>
  <si>
    <t>ELECTRÓNICA E INFORMÁTICA</t>
  </si>
  <si>
    <t>45772761</t>
  </si>
  <si>
    <t>CHILCON GUERRA ALEX PAUL</t>
  </si>
  <si>
    <t>47654299</t>
  </si>
  <si>
    <t>PACHERRE HUIMAN GLADYS AURORA</t>
  </si>
  <si>
    <t>COORDINADOR(A) DE RESIDENCIA ESTUDIANTIL</t>
  </si>
  <si>
    <t>43605271</t>
  </si>
  <si>
    <t>MEZA GRANDA OSCAR</t>
  </si>
  <si>
    <t>INDUSTRIAS ALIMENTARIAS Y ARTESANÍA</t>
  </si>
  <si>
    <t>48494424</t>
  </si>
  <si>
    <t>TAKI UKUNCHAN GABRIEL</t>
  </si>
  <si>
    <t>47219559</t>
  </si>
  <si>
    <t>RODRIGUEZ WIPIO ROSA TEOLINDA</t>
  </si>
  <si>
    <t>74050733</t>
  </si>
  <si>
    <t>OLANO VARGAS NELVI AMARILIS</t>
  </si>
  <si>
    <t>33767694</t>
  </si>
  <si>
    <t>ORREGO WEEPIU DIONICIO</t>
  </si>
  <si>
    <t>46699872</t>
  </si>
  <si>
    <t>JAAMANCH WAMPAGKIT FIDEL</t>
  </si>
  <si>
    <t>EDUCACION SECUNDARIA</t>
  </si>
  <si>
    <t>80619552</t>
  </si>
  <si>
    <t>UKUNCHAM SHIKIU BERNARDO</t>
  </si>
  <si>
    <t>72841199</t>
  </si>
  <si>
    <t>DIAZ OSORIO DIANA GUADALUPE</t>
  </si>
  <si>
    <t>DERECHO Y CIENCIAS POLITCAS</t>
  </si>
  <si>
    <t>BACHILLER EN DERECHO Y CIENCIAS POLITCAS</t>
  </si>
  <si>
    <t>63405472</t>
  </si>
  <si>
    <t>BUCASACA BRAVO LISS AYDEE</t>
  </si>
  <si>
    <t>PSICOLOGÍA</t>
  </si>
  <si>
    <t>LICENCIADO PSICOLOGÍA</t>
  </si>
  <si>
    <t>42732916</t>
  </si>
  <si>
    <t>MATHEUS CHUP LEONIDAS</t>
  </si>
  <si>
    <t>45055571</t>
  </si>
  <si>
    <t>YAMBISA YAGKUR JUAN</t>
  </si>
  <si>
    <t>MUSICA</t>
  </si>
  <si>
    <t>73931595</t>
  </si>
  <si>
    <t>JIMPIKIT CATAN FELIPE</t>
  </si>
  <si>
    <t>43313131</t>
  </si>
  <si>
    <t>ANTICH UGKUCH MERINO</t>
  </si>
  <si>
    <t>45772756</t>
  </si>
  <si>
    <t>YAMBIS TI ZAMIK MIJAIL</t>
  </si>
  <si>
    <t>80619725</t>
  </si>
  <si>
    <t>PETSAIN YACUM MARCELINO</t>
  </si>
  <si>
    <t>SASTRE</t>
  </si>
  <si>
    <t>33768923</t>
  </si>
  <si>
    <t>ANTICH NANTIP RICARDO</t>
  </si>
  <si>
    <t>80207733</t>
  </si>
  <si>
    <t>MARIANO ANTICH MEMO</t>
  </si>
  <si>
    <t>80204198</t>
  </si>
  <si>
    <t>PACUNTA ANTICHA BLANCA FLOR</t>
  </si>
  <si>
    <t>33769560</t>
  </si>
  <si>
    <t>REATEGUI PACUNTA LUZ</t>
  </si>
  <si>
    <t>EDUCACIÓN INICIAL EIB</t>
  </si>
  <si>
    <t>80619366</t>
  </si>
  <si>
    <t>NAVARRO MORA WILMER</t>
  </si>
  <si>
    <t>80210673</t>
  </si>
  <si>
    <t>MIRIAN ROJER MELINA</t>
  </si>
  <si>
    <t>43903596</t>
  </si>
  <si>
    <t>LORENZO GONZALES ADAN</t>
  </si>
  <si>
    <t>33589437</t>
  </si>
  <si>
    <t>SHARIANDA LOPEZ CARMEN</t>
  </si>
  <si>
    <t>60315377</t>
  </si>
  <si>
    <t>SIMON TSUKANKA CLEVER</t>
  </si>
  <si>
    <t>77482489</t>
  </si>
  <si>
    <t>CALVO SHAWIT ABEL</t>
  </si>
  <si>
    <t>47393490</t>
  </si>
  <si>
    <t>ANTICH JAAMENCH NOEL</t>
  </si>
  <si>
    <t>45353872</t>
  </si>
  <si>
    <t>TSUKANKA SEREMPO MARIO</t>
  </si>
  <si>
    <t>76154308</t>
  </si>
  <si>
    <t>AUSHUQUI ANTICH CANDI LUZ</t>
  </si>
  <si>
    <t>76694734</t>
  </si>
  <si>
    <t>MUKUIM ANTICH NIXON</t>
  </si>
  <si>
    <t>CIENCIAS NATURALES Y BIOÉTICA</t>
  </si>
  <si>
    <t>33767382</t>
  </si>
  <si>
    <t>JEMPEKIT ENTSAKUA ARMANDO</t>
  </si>
  <si>
    <t>71351440</t>
  </si>
  <si>
    <t>MIRANDA MONTENEGRO MARISOL</t>
  </si>
  <si>
    <t>42884845</t>
  </si>
  <si>
    <t>TIJIAS USHAP RONAL</t>
  </si>
  <si>
    <t>TECNICO EN ADMINISTRACIÓN</t>
  </si>
  <si>
    <t>80619362</t>
  </si>
  <si>
    <t>LOPEZ HUARUSH YOLDIN</t>
  </si>
  <si>
    <t>73931601</t>
  </si>
  <si>
    <t>WISUM ANHUANARI ENVER</t>
  </si>
  <si>
    <t>47081539</t>
  </si>
  <si>
    <t>NAPURI ECHEVARRIA RICK FRIEDRICH</t>
  </si>
  <si>
    <t>48725530</t>
  </si>
  <si>
    <t>KANTUASH JUWEP ESMAEL</t>
  </si>
  <si>
    <t>76172960</t>
  </si>
  <si>
    <t>BASHUKAT NUJIGKUS ROLANDO</t>
  </si>
  <si>
    <t>76978175</t>
  </si>
  <si>
    <t>KANTUASH JEMPEKIT FELINO</t>
  </si>
  <si>
    <t>EDUCACION INICIAL</t>
  </si>
  <si>
    <t>80619660</t>
  </si>
  <si>
    <t>SEJEKAM TIINCH MARCOS</t>
  </si>
  <si>
    <t>77286051</t>
  </si>
  <si>
    <t>JEMPEKIT AMPUSH ATILA</t>
  </si>
  <si>
    <t>74032638</t>
  </si>
  <si>
    <t>DAICHAP NUJIGKUS YOSSI MAGALY</t>
  </si>
  <si>
    <t>77215932</t>
  </si>
  <si>
    <t>WISHU WAMPAGKIT MARCO ANTONIO</t>
  </si>
  <si>
    <t>78378171</t>
  </si>
  <si>
    <t>ETSAM KUJA ABED - NEGO</t>
  </si>
  <si>
    <t>45490138</t>
  </si>
  <si>
    <t>WAJAI PEREZ DANIELLA BEATRIZ</t>
  </si>
  <si>
    <t>47484475</t>
  </si>
  <si>
    <t>JUWAU YAMPINTSA NEREO</t>
  </si>
  <si>
    <t>48687164</t>
  </si>
  <si>
    <t>SHAJUP UGKUM PESFIL</t>
  </si>
  <si>
    <t>EDUCACION BILIGÜE SECUNDARIA -CIENCIAS NATURALES Y BIOÉTICA</t>
  </si>
  <si>
    <t>47312286</t>
  </si>
  <si>
    <t>SUICH AMPAM MERCESA</t>
  </si>
  <si>
    <t>76352907</t>
  </si>
  <si>
    <t>SHAKAI KININ DARWIN ROMERO</t>
  </si>
  <si>
    <t>45017967</t>
  </si>
  <si>
    <t>ROQUE AGUSTIN LIRMA</t>
  </si>
  <si>
    <t>45378589</t>
  </si>
  <si>
    <t>KAJEKUI CHUIN GABRIEL</t>
  </si>
  <si>
    <t>47869436</t>
  </si>
  <si>
    <t>NUJIGKUS AMPAM LOEDA</t>
  </si>
  <si>
    <t>76352818</t>
  </si>
  <si>
    <t>GIUCAM MUJAT GISELA FIORELLA</t>
  </si>
  <si>
    <t>47516539</t>
  </si>
  <si>
    <t>SEJEKAM CHIGKUN ERMENES</t>
  </si>
  <si>
    <t>EDUCACION FISICA</t>
  </si>
  <si>
    <t>76301029</t>
  </si>
  <si>
    <t>UGKUCH ANTUN JOSE GABRIEL</t>
  </si>
  <si>
    <t>76541917</t>
  </si>
  <si>
    <t>ROJAS RUIZ CESAR GEIMI</t>
  </si>
  <si>
    <t>43189426</t>
  </si>
  <si>
    <t>SAMEKASH WASUM EMILIANO</t>
  </si>
  <si>
    <t>74479269</t>
  </si>
  <si>
    <t>SHAWAN NUNCUM ROMEL</t>
  </si>
  <si>
    <t>33565737</t>
  </si>
  <si>
    <t>TRIGOSO MORENO EUGENIA</t>
  </si>
  <si>
    <t>48232394</t>
  </si>
  <si>
    <t>ANTUN YAMPIS CESAR</t>
  </si>
  <si>
    <t>77348961</t>
  </si>
  <si>
    <t>ORREGO SEJEKAM NATALY BRISAIDA</t>
  </si>
  <si>
    <t>SECCUNDARIA COMPLETA</t>
  </si>
  <si>
    <t>72954311</t>
  </si>
  <si>
    <t>NAYASH NAJAMTAI LESLY NEPSEIDA</t>
  </si>
  <si>
    <t>48430724</t>
  </si>
  <si>
    <t>KANTUASH JUWEP WILMER</t>
  </si>
  <si>
    <t>47484477</t>
  </si>
  <si>
    <t>YAMPINTSA YAMPIS ANCHUIG</t>
  </si>
  <si>
    <t>76375662</t>
  </si>
  <si>
    <t>HUANAMBAL CORONEL YUSUNY MARLIT</t>
  </si>
  <si>
    <t>PROFESORA</t>
  </si>
  <si>
    <t>43998344</t>
  </si>
  <si>
    <t>ANTUNTSAI AMPAM ALVARO</t>
  </si>
  <si>
    <t>46812694</t>
  </si>
  <si>
    <t>TIWI PIJUCH AUTUKAI MAURO</t>
  </si>
  <si>
    <t>48703248</t>
  </si>
  <si>
    <t>QUISTON ESASH URSULA</t>
  </si>
  <si>
    <t>46102049</t>
  </si>
  <si>
    <t>HUAMAN JINTACH JOSES OVED</t>
  </si>
  <si>
    <t>27749369</t>
  </si>
  <si>
    <t>BAUTISTA ROMAN TEOLINDA ROSARIO</t>
  </si>
  <si>
    <t>27720798</t>
  </si>
  <si>
    <t>UBILLUS QUEZADA JACQUELINE</t>
  </si>
  <si>
    <t>BACHILLER EN EDUCACION</t>
  </si>
  <si>
    <t>42574864</t>
  </si>
  <si>
    <t>ZAPATA VILLENA EDWIN OMAR</t>
  </si>
  <si>
    <t>47786952</t>
  </si>
  <si>
    <t>TOMAS PAPE ELIBERTO</t>
  </si>
  <si>
    <t>47906208</t>
  </si>
  <si>
    <t>PEÑA PEREZ KARINA ESTHER</t>
  </si>
  <si>
    <t>LENGUA Y LITERATURA</t>
  </si>
  <si>
    <t xml:space="preserve">PALACIOS RODRIGUEZ, ERMINIO </t>
  </si>
  <si>
    <t>RESP. INFORMATICA</t>
  </si>
  <si>
    <t>ROJAS VIDARTE DILSON EDWAR</t>
  </si>
  <si>
    <t>TESORERO</t>
  </si>
  <si>
    <t>JUAREZ ELORREAGA, PEDRO ALONSO</t>
  </si>
  <si>
    <t>MOTORISTA</t>
  </si>
  <si>
    <t>HUITE WAJAJAI, EMILIO</t>
  </si>
  <si>
    <t>Los contratos CAS del num. 6 al 153 son de intervenciones pedagogicas y cada año lo determina el MINEDU y del 154 al 157 son de la sede institucional y que son renovados cada año, lo contamos con contratos de locacion de servicios por no contar con ppto.</t>
  </si>
  <si>
    <t>303 - 1349 EDUCACIÓN BAGUA CAPITAL</t>
  </si>
  <si>
    <t>RESPONSABLE DE ADQUISICIONES</t>
  </si>
  <si>
    <t>LLAGUENTO TEJADA ITALO NAUN</t>
  </si>
  <si>
    <t>SECRETARIA DE GESTION INSTITUCIONAL</t>
  </si>
  <si>
    <t>CHAVEZ SANTA CRUZ SULEMA MILAGRITOS</t>
  </si>
  <si>
    <t>RIVASPLATA SANCHEZ JEYSON CLEVER</t>
  </si>
  <si>
    <t>RESPONSABLE DE TRAMITE DOCUMENTARIO</t>
  </si>
  <si>
    <t>PERALTA MUSAYON CRISTIAN ALFREDO</t>
  </si>
  <si>
    <t xml:space="preserve">JEFE DE PERSONAL </t>
  </si>
  <si>
    <t>HUAYAN ROMERO ASUNCION DAVID</t>
  </si>
  <si>
    <t>RESPONSABLE DE INFORMATICA</t>
  </si>
  <si>
    <t>SALAZAR CARRANZA JHONATHAN DAVID</t>
  </si>
  <si>
    <t xml:space="preserve">RESPONSABLE DE INFRAESTRUCTURA </t>
  </si>
  <si>
    <t>PORTOCARRERO ALARCON LUZ EDITH</t>
  </si>
  <si>
    <t>DIRECTOR DE GESTION INSTITUCIONAL</t>
  </si>
  <si>
    <t>HERRERA VASQUEZ ELKIN RONALD</t>
  </si>
  <si>
    <t>DIRECTOR DEL SISTEMA ADMINISTRATIVO II</t>
  </si>
  <si>
    <t>CORDOVA MARTINEZ ANA CECILIA</t>
  </si>
  <si>
    <t>33578371</t>
  </si>
  <si>
    <t>LEON RIVERA OSWAL EDILBERTO</t>
  </si>
  <si>
    <t>ESPECIALISTA EN PROCESOS ADMINISTRATIVOS DISCIPLIANRIOS</t>
  </si>
  <si>
    <t>GERONIMO MONTOYA VICTOR</t>
  </si>
  <si>
    <t>ESPECIAISTA EN TESORERIA</t>
  </si>
  <si>
    <t>ZEVALLOS QUISPE JEMMY ERASMO</t>
  </si>
  <si>
    <t>RESPONSABLE DE PLANIFICACION</t>
  </si>
  <si>
    <t>ARAUJO VOTON EDDY ANTONIO</t>
  </si>
  <si>
    <t>LOCACION</t>
  </si>
  <si>
    <t>ASISTENTENTE DE ASESORIA LEGAL</t>
  </si>
  <si>
    <t>LLATAS TERAN JIMMY DAVID</t>
  </si>
  <si>
    <t>SECRETARIA DE DIRECCION</t>
  </si>
  <si>
    <t>SUAREZ ALVAREZ MASSIEL</t>
  </si>
  <si>
    <t>ENCARGADO DE LIMPIEZA</t>
  </si>
  <si>
    <t>DELGADO FONSECA FRANKLIN ELVIS</t>
  </si>
  <si>
    <t>MECANICO</t>
  </si>
  <si>
    <t>MECANICA AUTOMOTRIZ</t>
  </si>
  <si>
    <t>SECRETARIA DE PERSONAL</t>
  </si>
  <si>
    <t>VILCHEZ CUBAS BETTY LUZ</t>
  </si>
  <si>
    <t>ASISTENTE DE TESORERÍA</t>
  </si>
  <si>
    <t>ALARCON BUSTAMANTE MARJORIE VICTORIA</t>
  </si>
  <si>
    <t>CONTABILIDAD Y FINANZAS</t>
  </si>
  <si>
    <t>ASISTENTE DE PATRIMONIO</t>
  </si>
  <si>
    <t>FERNANDEZ VASQUEZ EDERT STALIN</t>
  </si>
  <si>
    <t>RESPONSABLE DE LIMPIEZA</t>
  </si>
  <si>
    <t>OLANO BECERRA GOMER</t>
  </si>
  <si>
    <t>9</t>
  </si>
  <si>
    <t>APOYO EN ALMACEN</t>
  </si>
  <si>
    <t>BECERRA RAMOS EDUAR</t>
  </si>
  <si>
    <t>8</t>
  </si>
  <si>
    <t>APOYO EN TESORERIA</t>
  </si>
  <si>
    <t>RODRIGUEZ ORTIZ MILENA</t>
  </si>
  <si>
    <t>ASISTENTE EN CCPAD</t>
  </si>
  <si>
    <t>CAMPOS RAMOS MARILIM</t>
  </si>
  <si>
    <t>ASISTENTE EN PATRIMONIO</t>
  </si>
  <si>
    <t>MACALOPU SERRANO JOSE STALIN</t>
  </si>
  <si>
    <t>REYES ALCANTARA YEIMI LISET</t>
  </si>
  <si>
    <t>SECRETARIA DE GESTION PEDAGOGICA</t>
  </si>
  <si>
    <t>TERRONES DELGADO YELINA GUISELA</t>
  </si>
  <si>
    <t>RESPONSABLE DE MESA DE PARTES</t>
  </si>
  <si>
    <t>CABRERA SOLANO MAYRA LISET</t>
  </si>
  <si>
    <t>ASISTENTE EN INFRAESTRUCTURA</t>
  </si>
  <si>
    <t>SECRETARIA DE ADMINISTRACION</t>
  </si>
  <si>
    <t>ENRIQUEZ TARRILLO KARIN ARACELY</t>
  </si>
  <si>
    <t>400 - 725 SALUD AMAZONAS</t>
  </si>
  <si>
    <t>ENFERMERA(O)</t>
  </si>
  <si>
    <t>45783740</t>
  </si>
  <si>
    <t>CARRION ILIQUIN CARLOS NAPOLEON</t>
  </si>
  <si>
    <t>SUPERIOR COMPLETO</t>
  </si>
  <si>
    <t>TÍTULO PROFESIONAL</t>
  </si>
  <si>
    <t>16742063</t>
  </si>
  <si>
    <t>FARROÑAN GARCIA ROSA ISABEL</t>
  </si>
  <si>
    <t>TÉCNICO SUPERIOR COMPLETO</t>
  </si>
  <si>
    <t>TÍTULO TÉCNICO</t>
  </si>
  <si>
    <t>CIRUJANO DENTISTA</t>
  </si>
  <si>
    <t>21505554</t>
  </si>
  <si>
    <t>MEDINA CUCHO JENNY LILY</t>
  </si>
  <si>
    <t>43184018</t>
  </si>
  <si>
    <t>MENA SECLEN JUAN ANTONIO</t>
  </si>
  <si>
    <t>44926543</t>
  </si>
  <si>
    <t>MESTANZA MENDOZA GLENI DOLORES</t>
  </si>
  <si>
    <t>ESTADISTICO</t>
  </si>
  <si>
    <t>80644669</t>
  </si>
  <si>
    <t>OCUPA RUIZ JOSE RAFAEL</t>
  </si>
  <si>
    <t>LICENCIADO EN ESTADISTICA</t>
  </si>
  <si>
    <t>40520281</t>
  </si>
  <si>
    <t>ALVARADO SERVAN WILDER</t>
  </si>
  <si>
    <t>TECNICO COMPUTACION  INFORMATI</t>
  </si>
  <si>
    <t>40035217</t>
  </si>
  <si>
    <t>BAUTISTA MENDOZA CARLOS ENRIQUE</t>
  </si>
  <si>
    <t>PROFESORA DE COMPUTACION E INFORMATICA (CARRERA TECNICA)</t>
  </si>
  <si>
    <t>42884483</t>
  </si>
  <si>
    <t>CHAVEZ ZUMAETA MARIA LOURDES</t>
  </si>
  <si>
    <t>TECNICO EN COMPUTACION E INFOR</t>
  </si>
  <si>
    <t>40485915</t>
  </si>
  <si>
    <t>CORNEJO PALACIOS VICTORIA DEL PILAR</t>
  </si>
  <si>
    <t>TECNICO EN COMPUTACION E INFORMATICA/EN COMPUTADORAS</t>
  </si>
  <si>
    <t>48034670</t>
  </si>
  <si>
    <t>DAMACEN HUABLOCHO ODALIS DAYANA</t>
  </si>
  <si>
    <t>45452626</t>
  </si>
  <si>
    <t>DE LA CRUZ JIMENEZ RONAL</t>
  </si>
  <si>
    <t>CAPACITACIÓN OCUPACIONAL</t>
  </si>
  <si>
    <t>42485950</t>
  </si>
  <si>
    <t>GOMEZ TUESTA SADITH SOCORRO</t>
  </si>
  <si>
    <t>41028483</t>
  </si>
  <si>
    <t>GRANDEZ LLAJA KARIN JULETH</t>
  </si>
  <si>
    <t>46140147</t>
  </si>
  <si>
    <t>GRANDEZ RAMAYCUNA JOSE GILBERTO</t>
  </si>
  <si>
    <t>43605991</t>
  </si>
  <si>
    <t>MENDOZA SANDOVAL LIZETH MARIBEL</t>
  </si>
  <si>
    <t>AUXILIAR DE OFICINA</t>
  </si>
  <si>
    <t>09938145</t>
  </si>
  <si>
    <t>MORI JIMENEZ EDINSON GUILLERMO</t>
  </si>
  <si>
    <t>72542391</t>
  </si>
  <si>
    <t>PEREZ LOZADA IVAN ALONSO</t>
  </si>
  <si>
    <t>INGENIERO SISTEMAS INFORMATICOS</t>
  </si>
  <si>
    <t>46473902</t>
  </si>
  <si>
    <t>PUERTA ARCE MERCEDES</t>
  </si>
  <si>
    <t>33415729</t>
  </si>
  <si>
    <t>PUSCAN HUAMAN AMBROCIO</t>
  </si>
  <si>
    <t>09433788</t>
  </si>
  <si>
    <t>REYNA CALDERON ROSA MANUELA</t>
  </si>
  <si>
    <t>BIOLOGO(A)</t>
  </si>
  <si>
    <t>43825413</t>
  </si>
  <si>
    <t>ROSADO LUCERO LUISA PAOLA</t>
  </si>
  <si>
    <t>BIOLOGO</t>
  </si>
  <si>
    <t>OPERADOR PAD (TECNICO)</t>
  </si>
  <si>
    <t>80676015</t>
  </si>
  <si>
    <t>SANTILLAN TAFUR SEGUNDO ANIBAL</t>
  </si>
  <si>
    <t>46116371</t>
  </si>
  <si>
    <t>TEJADA BURGA KARINA STHEFANIE</t>
  </si>
  <si>
    <t>TRABAJADOR DE SERVICIO</t>
  </si>
  <si>
    <t>80619382</t>
  </si>
  <si>
    <t>TORREJON RIVAS DALID DE JESUS</t>
  </si>
  <si>
    <t>33407787</t>
  </si>
  <si>
    <t>TORREJON VEGA DORIS</t>
  </si>
  <si>
    <t>70035789</t>
  </si>
  <si>
    <t>TRAUCO EPIQUIEN PERCY LUIS</t>
  </si>
  <si>
    <t>40850568</t>
  </si>
  <si>
    <t>TRIGOSO CHOTA MARCO ANTONIO</t>
  </si>
  <si>
    <t>45439143</t>
  </si>
  <si>
    <t>ZUÑIGA DIAZ JOHN HERBERT</t>
  </si>
  <si>
    <t>45825396</t>
  </si>
  <si>
    <t>MALQUI ZUTA LITH MARIELA</t>
  </si>
  <si>
    <t>43721292</t>
  </si>
  <si>
    <t>CHOCACA RAMOS LEIDY ROSARIO</t>
  </si>
  <si>
    <t>43768161</t>
  </si>
  <si>
    <t>DELGADO CHAVEZ MARIANELA</t>
  </si>
  <si>
    <t>41812964</t>
  </si>
  <si>
    <t>MUÑOZ ILIQUIN RICHARD CLAY</t>
  </si>
  <si>
    <t>33432886</t>
  </si>
  <si>
    <t>VALQUI RITUAY SOFIA</t>
  </si>
  <si>
    <t>MEDICO</t>
  </si>
  <si>
    <t>45527100</t>
  </si>
  <si>
    <t>GOMEZ LLANCA JESSICA</t>
  </si>
  <si>
    <t>MEDICO CIRUJANO</t>
  </si>
  <si>
    <t>42586511</t>
  </si>
  <si>
    <t>PAREDES VILLANUEVA RICARDO ARTURO</t>
  </si>
  <si>
    <t>46086330</t>
  </si>
  <si>
    <t>FERNANDEZ CASTILLO LIRIO DEL ROCIO</t>
  </si>
  <si>
    <t>DIGITADOR(A)</t>
  </si>
  <si>
    <t>33432921</t>
  </si>
  <si>
    <t>AGUILAR LLATANCE NELLY MICAELA</t>
  </si>
  <si>
    <t>33429574</t>
  </si>
  <si>
    <t>SANTILLAN SILVA SANDRO JAVIER</t>
  </si>
  <si>
    <t>43525377</t>
  </si>
  <si>
    <t>LOPEZ SERVAN CARLOS ARTURO</t>
  </si>
  <si>
    <t>45135340</t>
  </si>
  <si>
    <t>MEGO MENDOZA DENIS ALELI</t>
  </si>
  <si>
    <t>47182771</t>
  </si>
  <si>
    <t>CARBAJAL BALLARTA RITA MILAGROS</t>
  </si>
  <si>
    <t>OBSTETRA</t>
  </si>
  <si>
    <t>42433924</t>
  </si>
  <si>
    <t>SORAS VEGA JHENNY ROSARIO</t>
  </si>
  <si>
    <t>45453540</t>
  </si>
  <si>
    <t>MUÑOZ ALAYA JHOYS MARILIN</t>
  </si>
  <si>
    <t>45197693</t>
  </si>
  <si>
    <t>LATORRE LOPEZ ERIK ANTHONNY</t>
  </si>
  <si>
    <t>47448824</t>
  </si>
  <si>
    <t>CASTILLO CORDOVA LEYDA YESENIA</t>
  </si>
  <si>
    <t>33436083</t>
  </si>
  <si>
    <t>CHAVEZ HORNA TEOBALDO</t>
  </si>
  <si>
    <t>42294261</t>
  </si>
  <si>
    <t>HUAMAN CULQUI JILBERTO</t>
  </si>
  <si>
    <t>46397509</t>
  </si>
  <si>
    <t>NAVARRO ECHEVERRIA YESENIA</t>
  </si>
  <si>
    <t>40949217</t>
  </si>
  <si>
    <t>ALVA TAFUR MARIA HERLITA</t>
  </si>
  <si>
    <t>43534963</t>
  </si>
  <si>
    <t>CASTILLO SAN MARTIN RICCY LIZBETH</t>
  </si>
  <si>
    <t>45000425</t>
  </si>
  <si>
    <t>PINEDO CALAMPA NILTON</t>
  </si>
  <si>
    <t>47680501</t>
  </si>
  <si>
    <t>AMOROS CULQUI ROSBITH RAQUEL</t>
  </si>
  <si>
    <t>10526876</t>
  </si>
  <si>
    <t>ESCOBEDO HIDALGO MANUEL AGLIBERTO</t>
  </si>
  <si>
    <t>42236554</t>
  </si>
  <si>
    <t>VEGA ECHEVARRIA LUZ AYDELITH</t>
  </si>
  <si>
    <t>45747973</t>
  </si>
  <si>
    <t>REVILLA VALQUI SHEILA</t>
  </si>
  <si>
    <t>PSICOLOGO(A)</t>
  </si>
  <si>
    <t>45148710</t>
  </si>
  <si>
    <t>HUAMAN LOPEZ KARLA DEL ROCIO</t>
  </si>
  <si>
    <t>45568092</t>
  </si>
  <si>
    <t>ALARCON LEON KARIN MABEL</t>
  </si>
  <si>
    <t>46483774</t>
  </si>
  <si>
    <t>OLAYA NOBLECILLA KENNETH ALEXIS</t>
  </si>
  <si>
    <t>44105480</t>
  </si>
  <si>
    <t>ROJAS CASTRO MARDELY</t>
  </si>
  <si>
    <t>33734466</t>
  </si>
  <si>
    <t>BRICEÑO OXOLON MANUEL</t>
  </si>
  <si>
    <t>42783736</t>
  </si>
  <si>
    <t>BRICEÑO RAMOS WILINTHON</t>
  </si>
  <si>
    <t>TECNICO DE FARMACIA</t>
  </si>
  <si>
    <t>33721263</t>
  </si>
  <si>
    <t>VARGAS TELLO ROCIO</t>
  </si>
  <si>
    <t>44294233</t>
  </si>
  <si>
    <t>ROJAS ABANTO AMNER</t>
  </si>
  <si>
    <t>42896233</t>
  </si>
  <si>
    <t>TRAUCO SOPLA REYNA ISABEL</t>
  </si>
  <si>
    <t>44960101</t>
  </si>
  <si>
    <t>BURGA GAONA YOVANA</t>
  </si>
  <si>
    <t>44803905</t>
  </si>
  <si>
    <t>MORI LOJA SADIT</t>
  </si>
  <si>
    <t>40525267</t>
  </si>
  <si>
    <t>SALAZAR CHUMBE LUIS HOMERO</t>
  </si>
  <si>
    <t>70160338</t>
  </si>
  <si>
    <t>VASQUEZ BURGA VERONICA</t>
  </si>
  <si>
    <t>33726013</t>
  </si>
  <si>
    <t>CHICANA LOPEZ MANUEL HECTOR</t>
  </si>
  <si>
    <t>43585490</t>
  </si>
  <si>
    <t>RUIZ INGA ELVIA</t>
  </si>
  <si>
    <t>41913760</t>
  </si>
  <si>
    <t>VELASQUEZ HUERTAS WUILMER</t>
  </si>
  <si>
    <t>47323167</t>
  </si>
  <si>
    <t>LOPEZ NEYRA MIGUEL ANGEL</t>
  </si>
  <si>
    <t>43502374</t>
  </si>
  <si>
    <t>DAZA CONCHE SANDRA</t>
  </si>
  <si>
    <t>09568231</t>
  </si>
  <si>
    <t>PERALES OLANO MILAGRITOS PILAR</t>
  </si>
  <si>
    <t>45429974</t>
  </si>
  <si>
    <t>VARGAS ROCHA DANY</t>
  </si>
  <si>
    <t>40080191</t>
  </si>
  <si>
    <t>GOMEZ SANTIAGO MARIANELA</t>
  </si>
  <si>
    <t>42113389</t>
  </si>
  <si>
    <t>LOJA REVILLA CLEDY GISSELLA</t>
  </si>
  <si>
    <t>TECNICO LABORATORISTA</t>
  </si>
  <si>
    <t>ARTESANO</t>
  </si>
  <si>
    <t>44559573</t>
  </si>
  <si>
    <t>VIGO MORI NIXON MAYER</t>
  </si>
  <si>
    <t>41826166</t>
  </si>
  <si>
    <t>VALLE PEREZ ERIK PAOLO</t>
  </si>
  <si>
    <t>44988637</t>
  </si>
  <si>
    <t>SERVAN MONTOYA HILDA AMPARO</t>
  </si>
  <si>
    <t>46600560</t>
  </si>
  <si>
    <t>CHUQUIZUTA GARCIA MARY ROXANA</t>
  </si>
  <si>
    <t>33721118</t>
  </si>
  <si>
    <t>PILCO CAMUS WINDSOR ROBER</t>
  </si>
  <si>
    <t>43219133</t>
  </si>
  <si>
    <t>SHUNTI PUANCHI CARLOS</t>
  </si>
  <si>
    <t>16469949</t>
  </si>
  <si>
    <t>ALVIS MUÑOZ JORGE HUMBERTO</t>
  </si>
  <si>
    <t>42079932</t>
  </si>
  <si>
    <t>VILCA VILLEGAS MIRCO ANTONIO</t>
  </si>
  <si>
    <t>42989786</t>
  </si>
  <si>
    <t>CARHUAJULCA CHAVEZ MARIA SADITH</t>
  </si>
  <si>
    <t>44333747</t>
  </si>
  <si>
    <t>GUEVARA VASQUEZ GREIMER MELGAR</t>
  </si>
  <si>
    <t>71195336</t>
  </si>
  <si>
    <t>JIMENEZ SERNA JICSON HARRY</t>
  </si>
  <si>
    <t>43251200</t>
  </si>
  <si>
    <t>MELENDEZ MELENDEZ NORVIL ALEXANDER</t>
  </si>
  <si>
    <t>TECNICO EN LABORATORIO</t>
  </si>
  <si>
    <t>47185497</t>
  </si>
  <si>
    <t>DIAZ LOZANO MARIA CONSUELO</t>
  </si>
  <si>
    <t>44102807</t>
  </si>
  <si>
    <t>ARAUJO CHICANA MARCELINA</t>
  </si>
  <si>
    <t>46616439</t>
  </si>
  <si>
    <t>ELIZALDE CARRILLO MARGGI GISELL</t>
  </si>
  <si>
    <t>41221039</t>
  </si>
  <si>
    <t>VILLAR VASQUEZ VERONICA</t>
  </si>
  <si>
    <t>45313097</t>
  </si>
  <si>
    <t>CHOQUEMAQUI MOLLESACA BERTHA</t>
  </si>
  <si>
    <t>33432847</t>
  </si>
  <si>
    <t>BUELOT VISALOT CARLO MAGNO</t>
  </si>
  <si>
    <t>17640575</t>
  </si>
  <si>
    <t>LLANCA ZUTA MELIZA</t>
  </si>
  <si>
    <t>16629711</t>
  </si>
  <si>
    <t>SECLEN CERCADO NANCY YOVANY</t>
  </si>
  <si>
    <t>40719247</t>
  </si>
  <si>
    <t>ROJAS POQUIOMA ARTEMIO</t>
  </si>
  <si>
    <t>41823199</t>
  </si>
  <si>
    <t>CUIPAL CHUQUIZUTA LUIS EDWIN</t>
  </si>
  <si>
    <t>33792808</t>
  </si>
  <si>
    <t>RAMIREZ MERINO ROBERTO TERCERO</t>
  </si>
  <si>
    <t>45309596</t>
  </si>
  <si>
    <t>RUFASTO CHUQUIZUTA JUAN KAROOL</t>
  </si>
  <si>
    <t>42215953</t>
  </si>
  <si>
    <t>SUAREZ ESPINOZA JAVIER HENOCH</t>
  </si>
  <si>
    <t>33794846</t>
  </si>
  <si>
    <t>MUÑOZ VILLACREZ MODESTO</t>
  </si>
  <si>
    <t>42558733</t>
  </si>
  <si>
    <t>VALDIVIA VALDIVIA MOISES JESUS</t>
  </si>
  <si>
    <t>16712192</t>
  </si>
  <si>
    <t>FARRO PEREZ ALBERTO</t>
  </si>
  <si>
    <t>33432750</t>
  </si>
  <si>
    <t>CRUZ CARO ERMIT MAGALI</t>
  </si>
  <si>
    <t>73602628</t>
  </si>
  <si>
    <t>SAUCEDO LOPEZ ELDIN NOLASCO</t>
  </si>
  <si>
    <t>70947822</t>
  </si>
  <si>
    <t>PUERTA CUBAS JHOANA</t>
  </si>
  <si>
    <t>07494223</t>
  </si>
  <si>
    <t>ALLEMANT AGUINAGA JUAN CARLOS</t>
  </si>
  <si>
    <t>43308131</t>
  </si>
  <si>
    <t>TUESTA VARGAS BERNABE</t>
  </si>
  <si>
    <t>45964995</t>
  </si>
  <si>
    <t>VELA PUERTA VERTILDE</t>
  </si>
  <si>
    <t>46502294</t>
  </si>
  <si>
    <t>CAPRISTAN DIAZ RINA KATIA</t>
  </si>
  <si>
    <t>42993788</t>
  </si>
  <si>
    <t>JIMENEZ LLUEN JAMES DENG</t>
  </si>
  <si>
    <t>46711192</t>
  </si>
  <si>
    <t>SOPLIN CHICHIPE ODALIS</t>
  </si>
  <si>
    <t>43773998</t>
  </si>
  <si>
    <t>MORI LATORRE JORSEN</t>
  </si>
  <si>
    <t>42242112</t>
  </si>
  <si>
    <t>CAMAN OCAMPO MARIA DOLORES</t>
  </si>
  <si>
    <t>46720119</t>
  </si>
  <si>
    <t>ALVARADO HUAMAN DIOGENES</t>
  </si>
  <si>
    <t>40711681</t>
  </si>
  <si>
    <t>MUÑOZ OCAS AMELIA</t>
  </si>
  <si>
    <t>40051255</t>
  </si>
  <si>
    <t>SANCHEZ CAJO VICENTE</t>
  </si>
  <si>
    <t>46746594</t>
  </si>
  <si>
    <t>HIDALGO SAAVEDRA FIORELLA KATHERINE</t>
  </si>
  <si>
    <t>43217955</t>
  </si>
  <si>
    <t>BECERRIL GRANDEZ NEISI</t>
  </si>
  <si>
    <t>71844937</t>
  </si>
  <si>
    <t>CASTRO CHAVEZ LIVI KATHERIN</t>
  </si>
  <si>
    <t>45581483</t>
  </si>
  <si>
    <t>EPIQUIEN FARJE LUZ MILENE</t>
  </si>
  <si>
    <t>18205827</t>
  </si>
  <si>
    <t>OCAMPO VARGAS MARILIN</t>
  </si>
  <si>
    <t>45234026</t>
  </si>
  <si>
    <t>QUISPE YAÑEZ NATALIA ROSA</t>
  </si>
  <si>
    <t>43539054</t>
  </si>
  <si>
    <t>BOCANEGRA VEGA JANETH MERCEDES</t>
  </si>
  <si>
    <t>40226227</t>
  </si>
  <si>
    <t>CHAVEZ SALAZAR GUILLERMO</t>
  </si>
  <si>
    <t>40794611</t>
  </si>
  <si>
    <t>LOPEZ PORTOCARRERO HENRY</t>
  </si>
  <si>
    <t>33961801</t>
  </si>
  <si>
    <t>TORRES RIVA INES</t>
  </si>
  <si>
    <t>43960563</t>
  </si>
  <si>
    <t>SUAREZ MORENO LISBETH DE LOS MILAGROS</t>
  </si>
  <si>
    <t>44542480</t>
  </si>
  <si>
    <t>QUINTANA SALAZAR YEILY</t>
  </si>
  <si>
    <t>43983413</t>
  </si>
  <si>
    <t>SALAZAR VALLE ESLI OBED</t>
  </si>
  <si>
    <t>41272484</t>
  </si>
  <si>
    <t>ROJAS PUSCAN RUBEN</t>
  </si>
  <si>
    <t>40083507</t>
  </si>
  <si>
    <t>LOPEZ HOYOS MIGUEL ANGEL</t>
  </si>
  <si>
    <t>46020337</t>
  </si>
  <si>
    <t>LOPEZ TORRES FERMIN</t>
  </si>
  <si>
    <t>45632463</t>
  </si>
  <si>
    <t>CULQUI PEREA FELIX MILTON</t>
  </si>
  <si>
    <t>46742997</t>
  </si>
  <si>
    <t>TAFUR BARDALES MARY YSABEL</t>
  </si>
  <si>
    <t>43182814</t>
  </si>
  <si>
    <t>HUAMAN CULQUI GLENI</t>
  </si>
  <si>
    <t>40813396</t>
  </si>
  <si>
    <t>TAFUR TORRES MARILITA</t>
  </si>
  <si>
    <t>46078402</t>
  </si>
  <si>
    <t>CUSQUIPOMA MORI JOSE OLMER</t>
  </si>
  <si>
    <t>42089055</t>
  </si>
  <si>
    <t>HERRERA QUISPE MAXIMO EMILIANO</t>
  </si>
  <si>
    <t>72209374</t>
  </si>
  <si>
    <t>VILLASIS DAVILA MANUELA ISABEL</t>
  </si>
  <si>
    <t>47375895</t>
  </si>
  <si>
    <t>CHUQUIBALA YALTA JHUDI MEDALIT</t>
  </si>
  <si>
    <t>43674139</t>
  </si>
  <si>
    <t>VILLA GONGORA GENDER</t>
  </si>
  <si>
    <t>70790222</t>
  </si>
  <si>
    <t>VILLA GONGORA RODVIN LUIS</t>
  </si>
  <si>
    <t>41870614</t>
  </si>
  <si>
    <t>RODRIGUEZ BUSTAMANTE FLORENCIA</t>
  </si>
  <si>
    <t>43847297</t>
  </si>
  <si>
    <t>SOPLIN MENDOZA LLINER</t>
  </si>
  <si>
    <t>10176765</t>
  </si>
  <si>
    <t>CARPIO VILLALVA OSCAR EDUARDO</t>
  </si>
  <si>
    <t>ABOGADO(A)</t>
  </si>
  <si>
    <t>45858687</t>
  </si>
  <si>
    <t>FARRO FERNANDEZ FRANCISCO NICANOR</t>
  </si>
  <si>
    <t>43994547</t>
  </si>
  <si>
    <t>CHAVEZ CULQUIMBOZ CARLOS ALBERTO</t>
  </si>
  <si>
    <t>48960640</t>
  </si>
  <si>
    <t>HERNANDEZ CABRERA DE TAFUR MARTA ARELY</t>
  </si>
  <si>
    <t>46711204</t>
  </si>
  <si>
    <t>PERALTA VEGA INGRID CARMELA</t>
  </si>
  <si>
    <t>45908572</t>
  </si>
  <si>
    <t>PORTAL MIDEROS ROCIO</t>
  </si>
  <si>
    <t>33948748</t>
  </si>
  <si>
    <t>VARGAS MONTOYA DORINA DARLENE</t>
  </si>
  <si>
    <t>42707659</t>
  </si>
  <si>
    <t>LOPEZ VILCARROMERO ROCIO</t>
  </si>
  <si>
    <t>42473516</t>
  </si>
  <si>
    <t>JULCA RITUAY ROGER</t>
  </si>
  <si>
    <t>45374981</t>
  </si>
  <si>
    <t>BACALLA CALAMPA LLIN JAMER</t>
  </si>
  <si>
    <t>40462848</t>
  </si>
  <si>
    <t>FERNANDEZ DAMACEN MARIA TRINIDAD</t>
  </si>
  <si>
    <t>45449367</t>
  </si>
  <si>
    <t>ZUBIATE NAVARRO PATRICIA ROCIO</t>
  </si>
  <si>
    <t>42134889</t>
  </si>
  <si>
    <t>ATOCHE HIDALGO SONALY EMPERATRIZ</t>
  </si>
  <si>
    <t>16710030</t>
  </si>
  <si>
    <t>CRUZADO GUEVARA LUIS EDUARDO</t>
  </si>
  <si>
    <t>09845116</t>
  </si>
  <si>
    <t>LEON CHAGUA MARIA ELENA</t>
  </si>
  <si>
    <t>40959793</t>
  </si>
  <si>
    <t>JAVE VARGAS ELIA KARINA</t>
  </si>
  <si>
    <t>42398749</t>
  </si>
  <si>
    <t>JAUREGUI VILCARROMERO KARLA VIVIANA</t>
  </si>
  <si>
    <t>45832647</t>
  </si>
  <si>
    <t>MEJIA TORRES REGULO ERICK</t>
  </si>
  <si>
    <t>45794609</t>
  </si>
  <si>
    <t>AGUILAR VILLEGAS GHELINA ANELY</t>
  </si>
  <si>
    <t>45150464</t>
  </si>
  <si>
    <t>VALVERDE RIOS PAOLA JANET</t>
  </si>
  <si>
    <t>33816046</t>
  </si>
  <si>
    <t>VILCARROMERO TORREJON HERMERSON</t>
  </si>
  <si>
    <t>44640411</t>
  </si>
  <si>
    <t>GOMEZ MAZUELOS BETTY AMPARO</t>
  </si>
  <si>
    <t>48026799</t>
  </si>
  <si>
    <t>MONJA PIZARRO ALEXZANDER NELSON</t>
  </si>
  <si>
    <t>47693885</t>
  </si>
  <si>
    <t>ANDRADE AVILA EVELYN MILAGROS</t>
  </si>
  <si>
    <t>47787240</t>
  </si>
  <si>
    <t>GUEVARA ALVARADO KELI MARLIT</t>
  </si>
  <si>
    <t>70157667</t>
  </si>
  <si>
    <t>DAZA NAVAL LUZ VIRGINIA</t>
  </si>
  <si>
    <t>42484718</t>
  </si>
  <si>
    <t>LLONTOP FERNANDEZ FREDDY FRANCISCO</t>
  </si>
  <si>
    <t>45008368</t>
  </si>
  <si>
    <t>ORTIZ BACA RUBI SUGGEY</t>
  </si>
  <si>
    <t>43423216</t>
  </si>
  <si>
    <t>CHAVEZ ALVA HITLER REY</t>
  </si>
  <si>
    <t>42403993</t>
  </si>
  <si>
    <t>CULLAMPE LOPEZ MICHAEL JACKSON</t>
  </si>
  <si>
    <t>72228475</t>
  </si>
  <si>
    <t>MELENDEZ AQUINO JOSE EDUARDO</t>
  </si>
  <si>
    <t>45378178</t>
  </si>
  <si>
    <t>RAMIREZ CANALES KARLA LISBETH</t>
  </si>
  <si>
    <t>47219533</t>
  </si>
  <si>
    <t>ESPEJO TENAZOA MELISSA SELMIT</t>
  </si>
  <si>
    <t>44678491</t>
  </si>
  <si>
    <t>JIMENEZ REVILLA DE PALACIOS KATHERINE GISELLE</t>
  </si>
  <si>
    <t>44448935</t>
  </si>
  <si>
    <t>ZUMAETA VILLAVICENCIO MARLY ASUNTA</t>
  </si>
  <si>
    <t>70120168</t>
  </si>
  <si>
    <t>MAS GUADALUPE JHOAM EDWIN</t>
  </si>
  <si>
    <t>47024405</t>
  </si>
  <si>
    <t>RUIZ CORDOVA CYNTHIA</t>
  </si>
  <si>
    <t>70118452</t>
  </si>
  <si>
    <t>JULIAN RODRIGUEZ KATTERYN</t>
  </si>
  <si>
    <t>44186021</t>
  </si>
  <si>
    <t>PEÑA SUCASACA SHERIK JOANA</t>
  </si>
  <si>
    <t>33402181</t>
  </si>
  <si>
    <t>URQUIA MENDOZA PETRONILA</t>
  </si>
  <si>
    <t>47310904</t>
  </si>
  <si>
    <t>PALMA RUIZ INGRID YOSELYN</t>
  </si>
  <si>
    <t>44680800</t>
  </si>
  <si>
    <t>MONTENEGRO ALARCON MAYDA CANDELARIA</t>
  </si>
  <si>
    <t>46667354</t>
  </si>
  <si>
    <t>VASQUEZ QUISPE GEINER</t>
  </si>
  <si>
    <t>74047359</t>
  </si>
  <si>
    <t>VERA CALDERON LOIDA NORALI</t>
  </si>
  <si>
    <t>40340061</t>
  </si>
  <si>
    <t>ENCINA CABELLO LILY LEONOR</t>
  </si>
  <si>
    <t>40561034</t>
  </si>
  <si>
    <t>BALCAZAR CASTRO CARLA MARILU</t>
  </si>
  <si>
    <t>INGENIERA DE SISTEMAS</t>
  </si>
  <si>
    <t>71932192</t>
  </si>
  <si>
    <t>BARDALES LUCANA DORVIN EDUARDO</t>
  </si>
  <si>
    <t>44803119</t>
  </si>
  <si>
    <t>SALVADOR QUEZADA RUTH ELIZABETH</t>
  </si>
  <si>
    <t>41241029</t>
  </si>
  <si>
    <t>AMPUERO CHUQUIZUTA VERONICA</t>
  </si>
  <si>
    <t>47994285</t>
  </si>
  <si>
    <t>YATSUPICH SANCHEZ NEYSER</t>
  </si>
  <si>
    <t>71809344</t>
  </si>
  <si>
    <t>ALVA SALAZAR GLADICEIDY</t>
  </si>
  <si>
    <t>45731977</t>
  </si>
  <si>
    <t>TAUCA LOPEZ DIANA ESPERANZA</t>
  </si>
  <si>
    <t>73228139</t>
  </si>
  <si>
    <t>CULQUI VEGA IVAN</t>
  </si>
  <si>
    <t>41824954</t>
  </si>
  <si>
    <t>LOPEZ LOPEZ MARY ISABEL</t>
  </si>
  <si>
    <t>42321140</t>
  </si>
  <si>
    <t>MORI INGA NORMA</t>
  </si>
  <si>
    <t>46626505</t>
  </si>
  <si>
    <t>VISALOT RODRIGUEZ MARIELLA ESTHER</t>
  </si>
  <si>
    <t>70444828</t>
  </si>
  <si>
    <t>TAFUR CHAVEZ NESTOR ARTURO</t>
  </si>
  <si>
    <t>41836413</t>
  </si>
  <si>
    <t>HUAMAN SANCHEZ MERI MARDELI</t>
  </si>
  <si>
    <t>76991533</t>
  </si>
  <si>
    <t>HUAMAN TOCAS ROLMER</t>
  </si>
  <si>
    <t>45755403</t>
  </si>
  <si>
    <t>PIZARRO MITMA AILYN CONSUELO</t>
  </si>
  <si>
    <t>72119130</t>
  </si>
  <si>
    <t>ARISTA HORNA NEYDA</t>
  </si>
  <si>
    <t>45511705</t>
  </si>
  <si>
    <t>ARISTA MESTANZA MARCO ANTONIO</t>
  </si>
  <si>
    <t>46182805</t>
  </si>
  <si>
    <t>ARISTA MESTANZA JUAN PABLO</t>
  </si>
  <si>
    <t>43355469</t>
  </si>
  <si>
    <t>ARANDA GUERRERO MAGALY</t>
  </si>
  <si>
    <t>74581780</t>
  </si>
  <si>
    <t>CAMPOS MONTEZA CHRISTIAN JUNNIOR</t>
  </si>
  <si>
    <t>QUIMICO FARMACEUTICO</t>
  </si>
  <si>
    <t>42577685</t>
  </si>
  <si>
    <t>DE LA CRUZ SALAZAR MARTHA MARIBEL</t>
  </si>
  <si>
    <t>70106977</t>
  </si>
  <si>
    <t>DELGADO BECERRA ELVA LILLY</t>
  </si>
  <si>
    <t>46445492</t>
  </si>
  <si>
    <t>GONZALES JAUREGUI GRACE JESUS</t>
  </si>
  <si>
    <t>40687289</t>
  </si>
  <si>
    <t>INGA PIZARRO LLERNE ASUNTA</t>
  </si>
  <si>
    <t>TECNICO ADMINISTRADOR</t>
  </si>
  <si>
    <t>ASISTENTE SOCIAL</t>
  </si>
  <si>
    <t>44472524</t>
  </si>
  <si>
    <t>LLANOS YGNACIO CARMENDINA</t>
  </si>
  <si>
    <t>TRABAJADOR(A) SOCIAL</t>
  </si>
  <si>
    <t>47708325</t>
  </si>
  <si>
    <t>MEZA LOPEZ PAMELA ELIZABETH</t>
  </si>
  <si>
    <t>41550423</t>
  </si>
  <si>
    <t>PLASENCIA CENTENO DOMENICA</t>
  </si>
  <si>
    <t>70214124</t>
  </si>
  <si>
    <t>ROJAS RAMIRES LLONY</t>
  </si>
  <si>
    <t>46471538</t>
  </si>
  <si>
    <t>SALAZAR TORRES JESUS</t>
  </si>
  <si>
    <t>TERAPISTA</t>
  </si>
  <si>
    <t>70788320</t>
  </si>
  <si>
    <t>TORRES VIGO KEYLA</t>
  </si>
  <si>
    <t>TECNICO EN FISIOTERAPIA Y REHABILITACIONES / FISIOTERAPEUTA</t>
  </si>
  <si>
    <t>72014091</t>
  </si>
  <si>
    <t>CHAUCA VARGAS HARVIS LISBET</t>
  </si>
  <si>
    <t>74587043</t>
  </si>
  <si>
    <t>LOJA PUERTA DIEGO ALEXANDER</t>
  </si>
  <si>
    <t>33814811</t>
  </si>
  <si>
    <t>MENDOZA GUERRA SEGUNDA JUANITA</t>
  </si>
  <si>
    <t>41370763</t>
  </si>
  <si>
    <t>CABELLO ALDAVE FREDDY WERNER</t>
  </si>
  <si>
    <t>44192891</t>
  </si>
  <si>
    <t>MUNDACA VIDARTE FRANSHESCA KATHERINA</t>
  </si>
  <si>
    <t>43013121</t>
  </si>
  <si>
    <t>MELENDEZ VIGO DEISI HORTENCIA</t>
  </si>
  <si>
    <t>70306346</t>
  </si>
  <si>
    <t>GARCIA VALENCIA DIANA KELY</t>
  </si>
  <si>
    <t>46346647</t>
  </si>
  <si>
    <t>LOPEZ MUÑOZ MARILI</t>
  </si>
  <si>
    <t>44462598</t>
  </si>
  <si>
    <t>CARRASCO VELA EDINSON</t>
  </si>
  <si>
    <t>41207840</t>
  </si>
  <si>
    <t>OLAYA ATOCHE CLEVER DUBER</t>
  </si>
  <si>
    <t>46044168</t>
  </si>
  <si>
    <t>LUDEÑA VILLAR VICTOR MANUEL</t>
  </si>
  <si>
    <t>16770602</t>
  </si>
  <si>
    <t>VARGAS TELLO CLEMIRA MERCEDES</t>
  </si>
  <si>
    <t>47552901</t>
  </si>
  <si>
    <t>LEON ALVARADO EDWARD JENNER</t>
  </si>
  <si>
    <t>72660123</t>
  </si>
  <si>
    <t>HUAMAN SANTILLAN KATHIA YUNEIRE</t>
  </si>
  <si>
    <t>45461089</t>
  </si>
  <si>
    <t>GOÑAS CAMUS ERMELINDA</t>
  </si>
  <si>
    <t>44703306</t>
  </si>
  <si>
    <t>SAUCEDO GUEVARA RONAL</t>
  </si>
  <si>
    <t>48002768</t>
  </si>
  <si>
    <t>MORI LLATA JOHANNA LIZBETH</t>
  </si>
  <si>
    <t>72767876</t>
  </si>
  <si>
    <t>TEJADA GRANDEZ ALEX MARTIN</t>
  </si>
  <si>
    <t>45609336</t>
  </si>
  <si>
    <t>CUBAS CARUAJULCA ALBER RHION</t>
  </si>
  <si>
    <t>01065972</t>
  </si>
  <si>
    <t>MECHATO BRUNO JOSE DIONISIO</t>
  </si>
  <si>
    <t>71388041</t>
  </si>
  <si>
    <t>VASQUEZ DIAZ JACINTA DANAE</t>
  </si>
  <si>
    <t>40946540</t>
  </si>
  <si>
    <t>CUCHCA CHAVEZ ALCIRA</t>
  </si>
  <si>
    <t>62364410</t>
  </si>
  <si>
    <t>HONORIO GARCIA NILSON AMADO</t>
  </si>
  <si>
    <t>44926527</t>
  </si>
  <si>
    <t>HUAMAN CULQUI ELITA</t>
  </si>
  <si>
    <t>46711205</t>
  </si>
  <si>
    <t>RAMIREZ CRUZ SAIRITA</t>
  </si>
  <si>
    <t>43419728</t>
  </si>
  <si>
    <t>UGAZ MONTENEGRO CESAR DAVID</t>
  </si>
  <si>
    <t>46582209</t>
  </si>
  <si>
    <t>LOPEZ RUIZ BETSY</t>
  </si>
  <si>
    <t>45509474</t>
  </si>
  <si>
    <t>DAMIAN JABO ROSA JANETT</t>
  </si>
  <si>
    <t>46756614</t>
  </si>
  <si>
    <t>NUÑEZ PINTO HELEN CIOMARA</t>
  </si>
  <si>
    <t>70373080</t>
  </si>
  <si>
    <t>GUERRERO FLORES CARLOS HUMBERTO</t>
  </si>
  <si>
    <t>72843224</t>
  </si>
  <si>
    <t>VASQUEZ RUBIO JOVITA</t>
  </si>
  <si>
    <t>72715664</t>
  </si>
  <si>
    <t>SIMBALA VILLAFUERTE ASHLEY XIOMARA</t>
  </si>
  <si>
    <t>71250049</t>
  </si>
  <si>
    <t>JULCA BRICEÑO VERONICA LISBETH</t>
  </si>
  <si>
    <t>47194677</t>
  </si>
  <si>
    <t>QUESQUEN PERALTA ALEXIS GERMAN</t>
  </si>
  <si>
    <t>73444783</t>
  </si>
  <si>
    <t>ARCE ROJAS OSWALDO</t>
  </si>
  <si>
    <t>46680479</t>
  </si>
  <si>
    <t>SANCHEZ TINOCO ALICIA</t>
  </si>
  <si>
    <t>42798648</t>
  </si>
  <si>
    <t>SANTIAGO MENDOZA LUDITH</t>
  </si>
  <si>
    <t>ASISTENTE PROFESIONAL</t>
  </si>
  <si>
    <t>72978792</t>
  </si>
  <si>
    <t>VARGAS TRAUCO JHON ANLLINSON</t>
  </si>
  <si>
    <t>33433146</t>
  </si>
  <si>
    <t>BECERRA MUÑOZ IRMA</t>
  </si>
  <si>
    <t>46792744</t>
  </si>
  <si>
    <t>TUESTA CARO JHOVANNA</t>
  </si>
  <si>
    <t>44333880</t>
  </si>
  <si>
    <t>ROSILLO BUSTAMANTE LINEKER</t>
  </si>
  <si>
    <t>46470268</t>
  </si>
  <si>
    <t>ALIAGA ECHEVARRIA KATIA DEL PILAR</t>
  </si>
  <si>
    <t>71250944</t>
  </si>
  <si>
    <t>MORAN MELGAREJO TANIA MARILYN</t>
  </si>
  <si>
    <t>44432386</t>
  </si>
  <si>
    <t>CASTILLO LEON MARY ISABEL</t>
  </si>
  <si>
    <t>61619907</t>
  </si>
  <si>
    <t>REQUEJO VASQUEZ CLEVER</t>
  </si>
  <si>
    <t>42290712</t>
  </si>
  <si>
    <t>GUELAC REYNA ENIHT</t>
  </si>
  <si>
    <t>41784790</t>
  </si>
  <si>
    <t>GAMARRA CHIPULINA LUIS ENRIQUE</t>
  </si>
  <si>
    <t>47489612</t>
  </si>
  <si>
    <t>BANCES NEVADO DIANA KATERINE</t>
  </si>
  <si>
    <t>41436987</t>
  </si>
  <si>
    <t>QUISPE CHUQUIPOMA ELSA</t>
  </si>
  <si>
    <t>46878786</t>
  </si>
  <si>
    <t>MONTOYA MELENDEZ HEIDY DORELY</t>
  </si>
  <si>
    <t>41385661</t>
  </si>
  <si>
    <t>CHIRA JUAREZ OSCAR EDUARDO</t>
  </si>
  <si>
    <t>73749108</t>
  </si>
  <si>
    <t>TRIGOSO VARGAS DAMIAN</t>
  </si>
  <si>
    <t>44073838</t>
  </si>
  <si>
    <t>ZAMORA CERCADO JHON FRANK</t>
  </si>
  <si>
    <t>48159609</t>
  </si>
  <si>
    <t>MORI TRIGOSO ELVIS</t>
  </si>
  <si>
    <t>45803040</t>
  </si>
  <si>
    <t>PADILLA DIAZ IRIS VIOLETA</t>
  </si>
  <si>
    <t>70204403</t>
  </si>
  <si>
    <t>MOSTACERO CHAVEZ JOSE GUSTAVO</t>
  </si>
  <si>
    <t>33431096</t>
  </si>
  <si>
    <t>VIDAL MAS OLGA</t>
  </si>
  <si>
    <t>41080889</t>
  </si>
  <si>
    <t>BUSTAMANTE TARRILLO GHIOBANY</t>
  </si>
  <si>
    <t>ASISTENTE LEGAL</t>
  </si>
  <si>
    <t>72366082</t>
  </si>
  <si>
    <t>SERVAN VASQUEZ JULINHO</t>
  </si>
  <si>
    <t>46784999</t>
  </si>
  <si>
    <t>HUAMAN PUIQUIN FILEMON</t>
  </si>
  <si>
    <t>47301299</t>
  </si>
  <si>
    <t>SANTISTEBAN MORE ROSA LILIANA</t>
  </si>
  <si>
    <t>46456725</t>
  </si>
  <si>
    <t>BONILLA RUIZ JENIFFER JHAJAIRA</t>
  </si>
  <si>
    <t>46585268</t>
  </si>
  <si>
    <t>VASQUEZ DIAZ ELENA</t>
  </si>
  <si>
    <t>RESPONSABLE DE OFICINA</t>
  </si>
  <si>
    <t>33958805</t>
  </si>
  <si>
    <t>CHUQUIVAL DEL AGUILA RODRIGO ANTONIO</t>
  </si>
  <si>
    <t>ADQUISIDOR</t>
  </si>
  <si>
    <t>46510722</t>
  </si>
  <si>
    <t>LICENCIADO EN MARKETING Y DIRECCION DE EMPRESAS</t>
  </si>
  <si>
    <t>DIRECTOR GENERAL</t>
  </si>
  <si>
    <t>15759929</t>
  </si>
  <si>
    <t>RAMOS CHUQUIMBALQUI ROLANDO</t>
  </si>
  <si>
    <t>45185544</t>
  </si>
  <si>
    <t>MAS CHAVEZ ALONDRA GRASSE</t>
  </si>
  <si>
    <t>80613149</t>
  </si>
  <si>
    <t>CARUAJULCA MUGERZA DORALIZA</t>
  </si>
  <si>
    <t>42056582</t>
  </si>
  <si>
    <t>PUERTA CULQUI HIDELSO</t>
  </si>
  <si>
    <t>70787546</t>
  </si>
  <si>
    <t>AREVALO OCAMPO SHEYLA VANESA</t>
  </si>
  <si>
    <t>44715329</t>
  </si>
  <si>
    <t>CABANILLAS CAROAJULCA JORGE WILMER</t>
  </si>
  <si>
    <t>72921895</t>
  </si>
  <si>
    <t>CHONCEN ALVARADO JUNIOR ORLANDO</t>
  </si>
  <si>
    <t>48964751</t>
  </si>
  <si>
    <t>LA TORRE FERNANDEZ GRINA</t>
  </si>
  <si>
    <t>01759776</t>
  </si>
  <si>
    <t>TROCONIS LEAÑEZ FERNANDO JUAN DE DIOS</t>
  </si>
  <si>
    <t>33432189</t>
  </si>
  <si>
    <t>CARRANZA GUEVARA ROSAS</t>
  </si>
  <si>
    <t>45593737</t>
  </si>
  <si>
    <t>45290463</t>
  </si>
  <si>
    <t>48103379</t>
  </si>
  <si>
    <t>LOPEZ SERVAN MIRIAM INES</t>
  </si>
  <si>
    <t>45097885</t>
  </si>
  <si>
    <t>47060550</t>
  </si>
  <si>
    <t>AGUILAR VILLANUEVA DEISY ALYS</t>
  </si>
  <si>
    <t>45468696</t>
  </si>
  <si>
    <t>MORI MALDONADO NANCY</t>
  </si>
  <si>
    <t>MEDICO PSIQUIATRA</t>
  </si>
  <si>
    <t>44316758</t>
  </si>
  <si>
    <t>VILLENA ARROYO CARLA ROMINA</t>
  </si>
  <si>
    <t>43539037</t>
  </si>
  <si>
    <t>ESTRADA GARRO LISBETH SOFIA</t>
  </si>
  <si>
    <t>60215683</t>
  </si>
  <si>
    <t>BARDALES MAISELO LUZ BERTHA</t>
  </si>
  <si>
    <t>47099940</t>
  </si>
  <si>
    <t>ZARATE SAMAME JOSE LA ROSA</t>
  </si>
  <si>
    <t>72125542</t>
  </si>
  <si>
    <t>INGA ARISTA MEDALITH</t>
  </si>
  <si>
    <t>46817096</t>
  </si>
  <si>
    <t>47150051</t>
  </si>
  <si>
    <t>DAVILA TANTALEAN GEORGE CARLOS</t>
  </si>
  <si>
    <t>41010944</t>
  </si>
  <si>
    <t>BOBADILLA GUERRERO YESICA ELIZABETH</t>
  </si>
  <si>
    <t>QUIMICO(A)</t>
  </si>
  <si>
    <t>71388678</t>
  </si>
  <si>
    <t>CAMPOS CEVALLOS CARMEN CECILIA</t>
  </si>
  <si>
    <t>09947267</t>
  </si>
  <si>
    <t>JAVE POQUIOMA GORKY</t>
  </si>
  <si>
    <t>17633309</t>
  </si>
  <si>
    <t>SALDAÑA MENDOZA JUAN CARLOS ARMANDO</t>
  </si>
  <si>
    <t>45993676</t>
  </si>
  <si>
    <t>VALLE CAMPON MICHELI</t>
  </si>
  <si>
    <t>60355225</t>
  </si>
  <si>
    <t>GONZALES QUINTANA KELLY MELISSA</t>
  </si>
  <si>
    <t>46109702</t>
  </si>
  <si>
    <t>MEZA GUERRERO SUSAM DIANA</t>
  </si>
  <si>
    <t>70069465</t>
  </si>
  <si>
    <t>GOMEZ CACHAY LEIDI</t>
  </si>
  <si>
    <t>72795317</t>
  </si>
  <si>
    <t>GUIOP PUERTA DEYLI</t>
  </si>
  <si>
    <t>45693297</t>
  </si>
  <si>
    <t>VERGARAY TORRES GUSTAVO</t>
  </si>
  <si>
    <t>70118789</t>
  </si>
  <si>
    <t>SEGURA RAMOS HLLULER</t>
  </si>
  <si>
    <t>72463553</t>
  </si>
  <si>
    <t>RUFASTO CHUQUIZUTA YULIANA LISBET</t>
  </si>
  <si>
    <t>48624132</t>
  </si>
  <si>
    <t>SANTILLAN SANCHEZ CARMEN</t>
  </si>
  <si>
    <t>70167715</t>
  </si>
  <si>
    <t>CRUZ PIZANGO JULIET MARY CARMEN</t>
  </si>
  <si>
    <t>41469033</t>
  </si>
  <si>
    <t>INFANTE GALECIO ELMER SANTIAGO</t>
  </si>
  <si>
    <t>47210610</t>
  </si>
  <si>
    <t>INGA CISNEROS DEIVER MILLER</t>
  </si>
  <si>
    <t>46453153</t>
  </si>
  <si>
    <t>45222801</t>
  </si>
  <si>
    <t>TAFUR HUAMAN TANIA MAGDELA</t>
  </si>
  <si>
    <t>46126126</t>
  </si>
  <si>
    <t>TOLEDO ENCINA LUCY CECILIA</t>
  </si>
  <si>
    <t>71098654</t>
  </si>
  <si>
    <t>AGUILAR RIVERA AURIOLITH</t>
  </si>
  <si>
    <t>71018541</t>
  </si>
  <si>
    <t>DELGADO ROJAS MARCO ANTONIO</t>
  </si>
  <si>
    <t>72131521</t>
  </si>
  <si>
    <t>MUÑOZ LOPEZ YULLI ELIZABET</t>
  </si>
  <si>
    <t>76280585</t>
  </si>
  <si>
    <t>CORONEL DIAZ JOSE EDIN</t>
  </si>
  <si>
    <t>47325680</t>
  </si>
  <si>
    <t>MEDINA LOPEZ MIRTHA TAI</t>
  </si>
  <si>
    <t>72899662</t>
  </si>
  <si>
    <t>ARANA ZAMORA MARIA LUCY</t>
  </si>
  <si>
    <t>40732977</t>
  </si>
  <si>
    <t>RAMOS ZUTA LLESENIA MILAGROS</t>
  </si>
  <si>
    <t>42206894</t>
  </si>
  <si>
    <t>VALQUI RITUAY NOE</t>
  </si>
  <si>
    <t>TECNICO ELECTRONICISTA</t>
  </si>
  <si>
    <t>72681713</t>
  </si>
  <si>
    <t>VILLAR FRANCO SADAN</t>
  </si>
  <si>
    <t>76579939</t>
  </si>
  <si>
    <t>GUTIERREZ COMECA CARMELA</t>
  </si>
  <si>
    <t>10766956</t>
  </si>
  <si>
    <t>BAUTISTA OCAMPO TELESVINA CONSUELO</t>
  </si>
  <si>
    <t>ESPECIALISTA EN COMUNICACIONES</t>
  </si>
  <si>
    <t>45472880</t>
  </si>
  <si>
    <t>CHUGHEN DIAZ YANG LUIS</t>
  </si>
  <si>
    <t>CIENCIAS DE LA COMUNICACION</t>
  </si>
  <si>
    <t>45205010</t>
  </si>
  <si>
    <t>OLAZABAL LA TORRE CARMEN LORENA</t>
  </si>
  <si>
    <t>ASISTENTE TRIBUTARIO</t>
  </si>
  <si>
    <t>45125849</t>
  </si>
  <si>
    <t>TEJADA DIAZ MARICARMEN</t>
  </si>
  <si>
    <t>33814450</t>
  </si>
  <si>
    <t>TELLO GRANDEZ ASUNTA</t>
  </si>
  <si>
    <t>33430913</t>
  </si>
  <si>
    <t>CAMUS ECHEVARRIA JANETH</t>
  </si>
  <si>
    <t>40157489</t>
  </si>
  <si>
    <t>DIAZ RUIZ CESAR MILTON</t>
  </si>
  <si>
    <t>ESPECIALISTA ADMINISTRATIVO</t>
  </si>
  <si>
    <t>40360615</t>
  </si>
  <si>
    <t>RODRIGUEZ ORTIZ LLENDER</t>
  </si>
  <si>
    <t>PROFESOR DE ENSEÑANZA PRIMARIA</t>
  </si>
  <si>
    <t>46085913</t>
  </si>
  <si>
    <t>TUESTA REYES LOIDITH</t>
  </si>
  <si>
    <t>09491151</t>
  </si>
  <si>
    <t>ZUMAETA VARGAS EDIT</t>
  </si>
  <si>
    <t>43504823</t>
  </si>
  <si>
    <t>VILLAR FRANCO ROCIO MARILU</t>
  </si>
  <si>
    <t>44242958</t>
  </si>
  <si>
    <t>GUIVIN GOMEZ MARILU</t>
  </si>
  <si>
    <t>46572173</t>
  </si>
  <si>
    <t>CHIZA TIRADO GILMER PEPITO</t>
  </si>
  <si>
    <t>46261760</t>
  </si>
  <si>
    <t>NIZAMA YAMUNAQUE JOSE ALBERTO</t>
  </si>
  <si>
    <t>40961467</t>
  </si>
  <si>
    <t>MALLAP DETQUIZAN LISBETH</t>
  </si>
  <si>
    <t>80346593</t>
  </si>
  <si>
    <t>ZUTA VILLANUEVA MARLITA</t>
  </si>
  <si>
    <t>46193197</t>
  </si>
  <si>
    <t>PENACHI PEREZ LUZ ELENA</t>
  </si>
  <si>
    <t>46790078</t>
  </si>
  <si>
    <t>FRANCO HIDALGO JACQUELINE PAOLA</t>
  </si>
  <si>
    <t>47199431</t>
  </si>
  <si>
    <t>CHISQUIPAMA TANANTA SHIRLEY</t>
  </si>
  <si>
    <t>42599045</t>
  </si>
  <si>
    <t>ALVA CHAPPA ADITA MARIBEL</t>
  </si>
  <si>
    <t>46742762</t>
  </si>
  <si>
    <t>CULQUI MORI KATERIN FIORELA</t>
  </si>
  <si>
    <t>74253381</t>
  </si>
  <si>
    <t>ROJAS ORTIZ JOSE ANTONIO</t>
  </si>
  <si>
    <t>72736821</t>
  </si>
  <si>
    <t>CULQUI PUERTA LIXBER</t>
  </si>
  <si>
    <t>33432627</t>
  </si>
  <si>
    <t>DOMINGUEZ SALAZAR PERPETUO SOCORRO</t>
  </si>
  <si>
    <t>46841367</t>
  </si>
  <si>
    <t>GRANDEZ VARGAS GLENYS CAROLINA</t>
  </si>
  <si>
    <t>44769264</t>
  </si>
  <si>
    <t>PILCO CULQUE SULY JHOVANNY</t>
  </si>
  <si>
    <t>42215392</t>
  </si>
  <si>
    <t>TORREJON QUIROZ ROLY</t>
  </si>
  <si>
    <t>44633480</t>
  </si>
  <si>
    <t>YOPLAC VALQUI HEBER</t>
  </si>
  <si>
    <t>44700970</t>
  </si>
  <si>
    <t>GARCIA ARCE NEY ALBERTH</t>
  </si>
  <si>
    <t>44763305</t>
  </si>
  <si>
    <t>GUEVARA TAFUR PAULA</t>
  </si>
  <si>
    <t>PILOTO DE AMBULANCIA</t>
  </si>
  <si>
    <t>42520300</t>
  </si>
  <si>
    <t>PERALTA SEGURA ROBER</t>
  </si>
  <si>
    <t>70084601</t>
  </si>
  <si>
    <t>ALTAMIRANO PARDO LUCY</t>
  </si>
  <si>
    <t>76571416</t>
  </si>
  <si>
    <t>ALVAREZ ALVARADO CINTHIA CATHERINE</t>
  </si>
  <si>
    <t>44983697</t>
  </si>
  <si>
    <t>BOÑON PEREZ EDWIN ELI</t>
  </si>
  <si>
    <t>73030831</t>
  </si>
  <si>
    <t>GUTIERREZ AMARI DANNY ENRIQUE</t>
  </si>
  <si>
    <t>47427538</t>
  </si>
  <si>
    <t>GUZMÁN VELÁSQUEZ JESSICA MILAGROS</t>
  </si>
  <si>
    <t>42725237</t>
  </si>
  <si>
    <t>HUAMAN ROJAS JESSICA LILIBEL</t>
  </si>
  <si>
    <t>72608666</t>
  </si>
  <si>
    <t>JARA GURBILLON TOMY HANSER</t>
  </si>
  <si>
    <t>70479645</t>
  </si>
  <si>
    <t>LUJAN ENEQUE GUILLERMO ANDRE</t>
  </si>
  <si>
    <t>46416157</t>
  </si>
  <si>
    <t>MOLOCHO CUBAS IDELBER</t>
  </si>
  <si>
    <t>73138958</t>
  </si>
  <si>
    <t>PERALTA PAIMA EDISON SANTIAGO</t>
  </si>
  <si>
    <t>73498319</t>
  </si>
  <si>
    <t>PEREZ LOPEZ ARIANY YANELYS</t>
  </si>
  <si>
    <t>48012423</t>
  </si>
  <si>
    <t>RODRIGUEZ MUÑOZ MARCELIANA</t>
  </si>
  <si>
    <t>46654570</t>
  </si>
  <si>
    <t>ROJAS MURO LUIS MARTIN</t>
  </si>
  <si>
    <t>70575682</t>
  </si>
  <si>
    <t>SOPLA ALVARADO VIDAL ALFONSO</t>
  </si>
  <si>
    <t>71309119</t>
  </si>
  <si>
    <t>TARRILLO DAVILA MIGUEL ANGEL</t>
  </si>
  <si>
    <t>44035278</t>
  </si>
  <si>
    <t>VERA AVELLANEDA DEYSI</t>
  </si>
  <si>
    <t>74864518</t>
  </si>
  <si>
    <t>VERA CARBAJAL ANGELA YOHANA</t>
  </si>
  <si>
    <t>75737649</t>
  </si>
  <si>
    <t>MOCARRO NUÑEZ JOSE GERMAN</t>
  </si>
  <si>
    <t>47894042</t>
  </si>
  <si>
    <t>ALTAMIRANO CARRASCO CAROLAY EMILIA</t>
  </si>
  <si>
    <t>72176204</t>
  </si>
  <si>
    <t>GUIVIN PEREYRA SHARON ELISA</t>
  </si>
  <si>
    <t>46877189</t>
  </si>
  <si>
    <t>MAYANGA CASTRO JESSICA FABIOLA</t>
  </si>
  <si>
    <t>42696076</t>
  </si>
  <si>
    <t>NEYRA ALVAREZ SAULO</t>
  </si>
  <si>
    <t>73811047</t>
  </si>
  <si>
    <t>SOPLA GONGORA SHERLY MAGDALENA</t>
  </si>
  <si>
    <t>72952617</t>
  </si>
  <si>
    <t>SANCHEZ CHINCHAY MILAGRITOS</t>
  </si>
  <si>
    <t>46619140</t>
  </si>
  <si>
    <t>VILLANUEVA TERAN ALVARO MICHAEL</t>
  </si>
  <si>
    <t>70070434</t>
  </si>
  <si>
    <t>WONG ZUMAETA AUGUSTO JONATHAN</t>
  </si>
  <si>
    <t>44229871</t>
  </si>
  <si>
    <t>ARTEAGA VASQUEZ ROYCER SAUL</t>
  </si>
  <si>
    <t>46507131</t>
  </si>
  <si>
    <t>CESPEDES GUILLERMO CLAUDIA GISSELLA DE FATIMA</t>
  </si>
  <si>
    <t>46296994</t>
  </si>
  <si>
    <t>CHANCAHUANA CONTRERAS ALBER</t>
  </si>
  <si>
    <t>48004704</t>
  </si>
  <si>
    <t>CORTEZ NEYRA MARIA ERITA</t>
  </si>
  <si>
    <t>45558690</t>
  </si>
  <si>
    <t>GALOC MAS ROBINSON</t>
  </si>
  <si>
    <t>42768219</t>
  </si>
  <si>
    <t>GAMARRA PADILLA JUDITH ANTONIA</t>
  </si>
  <si>
    <t>45278822</t>
  </si>
  <si>
    <t>GOMEZ BALDERA RICARDO ALEJANDRO</t>
  </si>
  <si>
    <t>71335372</t>
  </si>
  <si>
    <t>MESTANZA OLIVERA LUIS ANGEL</t>
  </si>
  <si>
    <t>70849692</t>
  </si>
  <si>
    <t>MIRANDA CABANILLAS YAJAIRA ANGELICA</t>
  </si>
  <si>
    <t>76823103</t>
  </si>
  <si>
    <t>OBLITAS IDROGO ARACELI</t>
  </si>
  <si>
    <t>72693554</t>
  </si>
  <si>
    <t>ORBEGOSO SILVA KATERIN ELENA</t>
  </si>
  <si>
    <t>60784902</t>
  </si>
  <si>
    <t>PASCUAL SARAVIA PATRICIA LUCERO</t>
  </si>
  <si>
    <t>43444732</t>
  </si>
  <si>
    <t>PEREZ VILCHEZ JENY JAMILY</t>
  </si>
  <si>
    <t>46130652</t>
  </si>
  <si>
    <t>PUICON GARCIA KAREN YESSENIA</t>
  </si>
  <si>
    <t>46233067</t>
  </si>
  <si>
    <t>RODRIGUEZ YBAÑEZ ROBERTO MOISES</t>
  </si>
  <si>
    <t>41346951</t>
  </si>
  <si>
    <t>SILVA LOPEZ TEODORA</t>
  </si>
  <si>
    <t>70508009</t>
  </si>
  <si>
    <t>VILCARROMERO MOSCOSO THALIA DANAE</t>
  </si>
  <si>
    <t>70906341</t>
  </si>
  <si>
    <t>ZEGARRA SEBASTIAN FAUSTO PLUTERVO</t>
  </si>
  <si>
    <t>43233728</t>
  </si>
  <si>
    <t>ALCANTARA HEREDIA SINDY SORELL</t>
  </si>
  <si>
    <t>72807387</t>
  </si>
  <si>
    <t>ARCE BERMEO KELY</t>
  </si>
  <si>
    <t>72001865</t>
  </si>
  <si>
    <t>BARTUREN ESPINOZA SEGUNDO MIGUEL</t>
  </si>
  <si>
    <t>75555706</t>
  </si>
  <si>
    <t>CAJUSOL CAJUSOL DANNA IVON</t>
  </si>
  <si>
    <t>41951308</t>
  </si>
  <si>
    <t>CALUA HERRERA MARILU</t>
  </si>
  <si>
    <t>47034612</t>
  </si>
  <si>
    <t>CHICLOTE ALCALDE EDITA</t>
  </si>
  <si>
    <t>43581806</t>
  </si>
  <si>
    <t>CULQUI HUAMAN KELI DEL ROSIO</t>
  </si>
  <si>
    <t>70686657</t>
  </si>
  <si>
    <t>HUAMAN LAPIZ ROSA VICTORIA</t>
  </si>
  <si>
    <t>77542592</t>
  </si>
  <si>
    <t>HUANAMBAL CORONEL DIANA LALY</t>
  </si>
  <si>
    <t>47487544</t>
  </si>
  <si>
    <t>IGNACIO DEL AGUILA LUZ KARINA</t>
  </si>
  <si>
    <t>33407672</t>
  </si>
  <si>
    <t>LOPEZ NOVOA DIANA</t>
  </si>
  <si>
    <t>72759650</t>
  </si>
  <si>
    <t>MESTANZA DAVILA ROYSER</t>
  </si>
  <si>
    <t>47574438</t>
  </si>
  <si>
    <t>MESTANZA QUIROZ YONHATAN LUIS</t>
  </si>
  <si>
    <t>41385267</t>
  </si>
  <si>
    <t>MEZA GUERRERO MARLENY</t>
  </si>
  <si>
    <t>75207254</t>
  </si>
  <si>
    <t>MONDOÑEDO PUERTA ELIN ABDON</t>
  </si>
  <si>
    <t>42017878</t>
  </si>
  <si>
    <t>MUÑOZ MAS JHONY</t>
  </si>
  <si>
    <t>32408508</t>
  </si>
  <si>
    <t>PARIACHI CADENAS SILVIO CAMILO</t>
  </si>
  <si>
    <t>47918382</t>
  </si>
  <si>
    <t>REYES CORTEZ KELLY</t>
  </si>
  <si>
    <t>43944260</t>
  </si>
  <si>
    <t>SAUCEDO MARIN HILDA NOEMI</t>
  </si>
  <si>
    <t>42745476</t>
  </si>
  <si>
    <t>SERVAN ILIQUIN SANDRA</t>
  </si>
  <si>
    <t>41948049</t>
  </si>
  <si>
    <t>SUAREZ BECERRA NOE</t>
  </si>
  <si>
    <t>46480670</t>
  </si>
  <si>
    <t>VALLE ROJAS KATIA ROCIO</t>
  </si>
  <si>
    <t>47242643</t>
  </si>
  <si>
    <t>VASQUEZ CARRERO SELLY</t>
  </si>
  <si>
    <t>48104773</t>
  </si>
  <si>
    <t>VENTURA MERCEDES MICAELA AIDEE</t>
  </si>
  <si>
    <t>47461663</t>
  </si>
  <si>
    <t>YOPLAC VARGAS FLOIRY ESTHER</t>
  </si>
  <si>
    <t>70690828</t>
  </si>
  <si>
    <t>ALVIS SANCHEZ STEFANY AMELIA</t>
  </si>
  <si>
    <t>71095019</t>
  </si>
  <si>
    <t>ATALAYA TACILLA EVA NOEMI</t>
  </si>
  <si>
    <t>46126657</t>
  </si>
  <si>
    <t>BACALLA ALVA COSETTE MAGRINY</t>
  </si>
  <si>
    <t>45424029</t>
  </si>
  <si>
    <t>ESPINOZA CABRERA JESSICA LISBET</t>
  </si>
  <si>
    <t>46526492</t>
  </si>
  <si>
    <t>GOMEZ SOPLIN BELERMINO</t>
  </si>
  <si>
    <t>46353043</t>
  </si>
  <si>
    <t>GUEVARA RAMOS LILY MARDELI</t>
  </si>
  <si>
    <t>73141465</t>
  </si>
  <si>
    <t>LUQUE APAZA KATERINE</t>
  </si>
  <si>
    <t>43654011</t>
  </si>
  <si>
    <t>MENA MENDOZA SEGUNDO MANUEL</t>
  </si>
  <si>
    <t>47507491</t>
  </si>
  <si>
    <t>QUILO MALQUI ADOLFINA</t>
  </si>
  <si>
    <t>72460332</t>
  </si>
  <si>
    <t>SILVA MONTOYA JHOANA LUZ</t>
  </si>
  <si>
    <t>45991191</t>
  </si>
  <si>
    <t>TAFUR VIGO CARMEN DEL PILAR</t>
  </si>
  <si>
    <t>44021438</t>
  </si>
  <si>
    <t>VARGAS GRANDEZ MERY JACKELINE</t>
  </si>
  <si>
    <t>80347702</t>
  </si>
  <si>
    <t>ZUMAETA TUESTA PABLO</t>
  </si>
  <si>
    <t>45032718</t>
  </si>
  <si>
    <t>AGUILAR SANCHEZ EDINSON</t>
  </si>
  <si>
    <t>43048175</t>
  </si>
  <si>
    <t>ARELLANO CUBAS HARLEY</t>
  </si>
  <si>
    <t>44387144</t>
  </si>
  <si>
    <t>HUMAN RODRIGUEZ ISLEIDER</t>
  </si>
  <si>
    <t>40750902</t>
  </si>
  <si>
    <t>MAS CHASQUIBOL MANUELA</t>
  </si>
  <si>
    <t>33433136</t>
  </si>
  <si>
    <t>MENDOZA ALVA NEILEN JESUS</t>
  </si>
  <si>
    <t>40432373</t>
  </si>
  <si>
    <t>QUINTANA ILIQUIN ROMEL</t>
  </si>
  <si>
    <t>47371922</t>
  </si>
  <si>
    <t>TRUJILLO ARANA JERSON</t>
  </si>
  <si>
    <t>33807083</t>
  </si>
  <si>
    <t>VALQUI REVILLA JUSTINA</t>
  </si>
  <si>
    <t>33408720</t>
  </si>
  <si>
    <t>ZABARBURU SILVA WILDER</t>
  </si>
  <si>
    <t>AUXILIAR ASISTENCIAL</t>
  </si>
  <si>
    <t>72516697</t>
  </si>
  <si>
    <t>VARGAS GUTIERREZ KARIN</t>
  </si>
  <si>
    <t>44553483</t>
  </si>
  <si>
    <t>ZAVALA TORREJON HEIDI SUSAN</t>
  </si>
  <si>
    <t>47233639</t>
  </si>
  <si>
    <t>PAREJAS BERNAL MARIA LENI</t>
  </si>
  <si>
    <t>33430495</t>
  </si>
  <si>
    <t>VALQUI REVILLA AMALIA</t>
  </si>
  <si>
    <t>33428213</t>
  </si>
  <si>
    <t>CULQUIMBOZ RUIZ MAGNO</t>
  </si>
  <si>
    <t>47094779</t>
  </si>
  <si>
    <t>MENDOZA GOMEZ GLENI AMPARITO</t>
  </si>
  <si>
    <t>01424403</t>
  </si>
  <si>
    <t>PARRA LORENTE RAUL ERNESTO</t>
  </si>
  <si>
    <t>46240681</t>
  </si>
  <si>
    <t>PIMINCHUMO TRIGOSO DAJANA CHRIS</t>
  </si>
  <si>
    <t>33768378</t>
  </si>
  <si>
    <t>SEJEKAM KUKUSH RAUL</t>
  </si>
  <si>
    <t>43512015</t>
  </si>
  <si>
    <t>TEJADA GRANDEZ KELLY MARLITA</t>
  </si>
  <si>
    <t>48035284</t>
  </si>
  <si>
    <t>VILLALOBOS VIDANOVICH PEDRO ZIVOJIN</t>
  </si>
  <si>
    <t>44224996</t>
  </si>
  <si>
    <t>RAMOS PULCE TEODORO</t>
  </si>
  <si>
    <t>73269955</t>
  </si>
  <si>
    <t>VEGA CABANILLAS RUBBY LISSETT</t>
  </si>
  <si>
    <t>44803916</t>
  </si>
  <si>
    <t>INGA CHUQUIPA ROSA ELVIRA</t>
  </si>
  <si>
    <t>70291608</t>
  </si>
  <si>
    <t>LOPEZ ROJAS JOSE DANIEL ESTEBAN</t>
  </si>
  <si>
    <t>41886339</t>
  </si>
  <si>
    <t>SALAZAR LOPEZ EDIN</t>
  </si>
  <si>
    <t>10664192</t>
  </si>
  <si>
    <t>43166499</t>
  </si>
  <si>
    <t>TAUMA SALON ROSA</t>
  </si>
  <si>
    <t>46677367</t>
  </si>
  <si>
    <t>CHAVEZ VARGAS JUSTO EMANUEL</t>
  </si>
  <si>
    <t>40661878</t>
  </si>
  <si>
    <t>CLAVO GONZALES SUSANA</t>
  </si>
  <si>
    <t>42407874</t>
  </si>
  <si>
    <t>CORAL SANTILLAN HECTOR ANTONIO</t>
  </si>
  <si>
    <t>47379428</t>
  </si>
  <si>
    <t>FLORES SALAZAR ODALIS</t>
  </si>
  <si>
    <t>47036245</t>
  </si>
  <si>
    <t>OYARCE SALAZAR BELARMINA MERCEDES</t>
  </si>
  <si>
    <t>46683658</t>
  </si>
  <si>
    <t>VALDIVIA VALLEJOS EMELINA</t>
  </si>
  <si>
    <t>44298904</t>
  </si>
  <si>
    <t>CASTRO MENDOZA ANGELICA</t>
  </si>
  <si>
    <t>46130297</t>
  </si>
  <si>
    <t>JARA HERNANDEZ ROBERTH ALEXANDER</t>
  </si>
  <si>
    <t>48259631</t>
  </si>
  <si>
    <t>OCAMPO INGA ROSAURA DEL PILAR</t>
  </si>
  <si>
    <t>42494083</t>
  </si>
  <si>
    <t>RIOS CHAVEZ WUILQUE</t>
  </si>
  <si>
    <t>46683664</t>
  </si>
  <si>
    <t>SANCHEZ SILVA JORGE LUIS</t>
  </si>
  <si>
    <t>44283277</t>
  </si>
  <si>
    <t>VALLE PORTAL ROSLEDY</t>
  </si>
  <si>
    <t>70782660</t>
  </si>
  <si>
    <t>MESTA CORNETERO MARIA LUISA</t>
  </si>
  <si>
    <t>44447392</t>
  </si>
  <si>
    <t>MORI CULQUI SEGUNDO RICARDO</t>
  </si>
  <si>
    <t>42457697</t>
  </si>
  <si>
    <t>VASQUEZ ADRIANZEN FREY LENIN</t>
  </si>
  <si>
    <t>TECNICO ADMINISTRATIVO CONTABL</t>
  </si>
  <si>
    <t>47403839</t>
  </si>
  <si>
    <t>ALVARADO TAUCA LUZ MERLI</t>
  </si>
  <si>
    <t>46801941</t>
  </si>
  <si>
    <t>PUERTA CULQUI DIMAS</t>
  </si>
  <si>
    <t>42715078</t>
  </si>
  <si>
    <t>ROJAS FERNANDEZ GERMAN</t>
  </si>
  <si>
    <t>43337782</t>
  </si>
  <si>
    <t>SANTILLAN MALDONADO MARLI</t>
  </si>
  <si>
    <t>45363900</t>
  </si>
  <si>
    <t>TEJADA LOPEZ ELIZABETH</t>
  </si>
  <si>
    <t>47279891</t>
  </si>
  <si>
    <t>48119519</t>
  </si>
  <si>
    <t>BENAVIDES CIURLIZZA SELENE SUZETTY</t>
  </si>
  <si>
    <t>45083606</t>
  </si>
  <si>
    <t>CUCHCA CHAVEZ MIRLEN</t>
  </si>
  <si>
    <t>47766469</t>
  </si>
  <si>
    <t>43932658</t>
  </si>
  <si>
    <t>GARCIA MERCADO LUZ JOHANA</t>
  </si>
  <si>
    <t>46916680</t>
  </si>
  <si>
    <t>HOYOS SALAZAR MANUELA ROCIO</t>
  </si>
  <si>
    <t>44667017</t>
  </si>
  <si>
    <t>HUAMAN RINZA EDWAR</t>
  </si>
  <si>
    <t>72640424</t>
  </si>
  <si>
    <t>HUIMAN CHASQUIBOL CINTHYA ARACELLY</t>
  </si>
  <si>
    <t>70446761</t>
  </si>
  <si>
    <t>LLANOS HERNANDEZ KRISTIAN JHAIR ANIBAL</t>
  </si>
  <si>
    <t>47034631</t>
  </si>
  <si>
    <t>MALCA BOLAÑOS ELENA</t>
  </si>
  <si>
    <t>ADMINISTRADOR DE EMPRESAS</t>
  </si>
  <si>
    <t>07643543</t>
  </si>
  <si>
    <t>MEZA PORTOCARRERO BERTHA ISABEL</t>
  </si>
  <si>
    <t>75398919</t>
  </si>
  <si>
    <t>POQUIOMA URQUIA YOSELYN</t>
  </si>
  <si>
    <t>BACHILLER EN CIENCIAS DE LA CO</t>
  </si>
  <si>
    <t>73656227</t>
  </si>
  <si>
    <t>RIOS JALK LUIS HECTOR</t>
  </si>
  <si>
    <t>25800568</t>
  </si>
  <si>
    <t>RODRIGUEZ DIAZ CHRISTIAN JESUS</t>
  </si>
  <si>
    <t>74747723</t>
  </si>
  <si>
    <t>ROJAS CASTRO YASARI YARUMI</t>
  </si>
  <si>
    <t>42852947</t>
  </si>
  <si>
    <t>SAAVEDRA SUAREZ VICTOR HUGO</t>
  </si>
  <si>
    <t>71805693</t>
  </si>
  <si>
    <t>SAAVEDRA TAFUR ROISER ABEL</t>
  </si>
  <si>
    <t>77079066</t>
  </si>
  <si>
    <t>SANCHEZ CHAPPA JHENYFER ASUNTA</t>
  </si>
  <si>
    <t>62174053</t>
  </si>
  <si>
    <t>SANTILLAN CASTILLO DORLITH</t>
  </si>
  <si>
    <t>47442191</t>
  </si>
  <si>
    <t>SUAREZ MURO MARIA EMILIA</t>
  </si>
  <si>
    <t>42785841</t>
  </si>
  <si>
    <t>ZABARBURU VENTURA JUAN CARLOS</t>
  </si>
  <si>
    <t>21552773</t>
  </si>
  <si>
    <t>ZAVALA SEGOVIA JAVIER GUSTAVO</t>
  </si>
  <si>
    <t>33782020</t>
  </si>
  <si>
    <t>CARRASCO VELA AMARILIS JENNY</t>
  </si>
  <si>
    <t>33407268</t>
  </si>
  <si>
    <t>CHAPPA TAFUR JULIO CESAR</t>
  </si>
  <si>
    <t>72240371</t>
  </si>
  <si>
    <t>CHAVEZ MENDOZA JOSE JAVIER</t>
  </si>
  <si>
    <t>76069604</t>
  </si>
  <si>
    <t>IBAÑEZ RAMIREZ HECTOR NEXAR</t>
  </si>
  <si>
    <t>42316187</t>
  </si>
  <si>
    <t>INGA PIZARRO RONY</t>
  </si>
  <si>
    <t>60356862</t>
  </si>
  <si>
    <t>OBLITAS VALLEJOS ROY CARLOS</t>
  </si>
  <si>
    <t>74865782</t>
  </si>
  <si>
    <t>VERA RIVERA SINDY MORELIA</t>
  </si>
  <si>
    <t>72392645</t>
  </si>
  <si>
    <t>MEZA LOPEZ PATRICIA LIBANY</t>
  </si>
  <si>
    <t>43581013</t>
  </si>
  <si>
    <t>TAFUR TORREJON MARTINA</t>
  </si>
  <si>
    <t>47210391</t>
  </si>
  <si>
    <t>CIEZA VASQUEZ KAREN LISBETH</t>
  </si>
  <si>
    <t>48131836</t>
  </si>
  <si>
    <t>PUERTA HUAMAN HILMA</t>
  </si>
  <si>
    <t>42487164</t>
  </si>
  <si>
    <t>MORI SANCHEZ GABBY</t>
  </si>
  <si>
    <t>16625138</t>
  </si>
  <si>
    <t>QUIÑONES DELGADO YRENE MILAGROS</t>
  </si>
  <si>
    <t>72320405</t>
  </si>
  <si>
    <t>AGUILAR PORTOCARRERO MARDEN JOEL</t>
  </si>
  <si>
    <t>33814479</t>
  </si>
  <si>
    <t>ANGELES VARGAS AIDA DEL CARMEN</t>
  </si>
  <si>
    <t>06844218</t>
  </si>
  <si>
    <t>ROJAS MATOS JESUS EDGAR</t>
  </si>
  <si>
    <t>46959836</t>
  </si>
  <si>
    <t>CABRERA PALACIOS WILLIAM</t>
  </si>
  <si>
    <t>46111119</t>
  </si>
  <si>
    <t>TRIGOSO ACOSTA THALIA ADALITH</t>
  </si>
  <si>
    <t>70825475</t>
  </si>
  <si>
    <t>LOPEZ PORTOCARRERO JARLY</t>
  </si>
  <si>
    <t>46833114</t>
  </si>
  <si>
    <t>HUACHILLO VASQUEZ KARINA ALEJANDRA</t>
  </si>
  <si>
    <t>44968347</t>
  </si>
  <si>
    <t>ALVARADO ROJAS MARLLORY NATALIA</t>
  </si>
  <si>
    <t>APOYO EN INFORMATICA</t>
  </si>
  <si>
    <t>72033525</t>
  </si>
  <si>
    <t>ARTIAGA PINEDO LIZ KELLY</t>
  </si>
  <si>
    <t>42928611</t>
  </si>
  <si>
    <t>CABRERA GONZALEZ MARIO</t>
  </si>
  <si>
    <t>47620480</t>
  </si>
  <si>
    <t>CHAVEZ CHAPPA MELITA MADELEYNE</t>
  </si>
  <si>
    <t>70093602</t>
  </si>
  <si>
    <t>42726292</t>
  </si>
  <si>
    <t>MONTEZA FARRO EDINSON</t>
  </si>
  <si>
    <t>43966935</t>
  </si>
  <si>
    <t>ROJAS SOPLA LEYSEN</t>
  </si>
  <si>
    <t>48048528</t>
  </si>
  <si>
    <t>SANCHEZ BRIONES FANNY BERENICE</t>
  </si>
  <si>
    <t>33782054</t>
  </si>
  <si>
    <t>CUIPAL URQUIA CELINDA ISABEL</t>
  </si>
  <si>
    <t>44497845</t>
  </si>
  <si>
    <t>DIAZ REYES SANDRA GRACIELA</t>
  </si>
  <si>
    <t>42527728</t>
  </si>
  <si>
    <t>GOMEZ VALQUI DOUGLAS</t>
  </si>
  <si>
    <t>45316141</t>
  </si>
  <si>
    <t>GUIOP HUAMAN FANY ROSITA</t>
  </si>
  <si>
    <t>10379134</t>
  </si>
  <si>
    <t>HUAMAN URQUIA FAUSTINA</t>
  </si>
  <si>
    <t>45620259</t>
  </si>
  <si>
    <t>IZQUIERDO TERRONES URLES</t>
  </si>
  <si>
    <t>42984358</t>
  </si>
  <si>
    <t>MELENDEZ VALERA LLESI</t>
  </si>
  <si>
    <t>44428789</t>
  </si>
  <si>
    <t>43523070</t>
  </si>
  <si>
    <t>SALAZAR BECERRA MELITA LISET</t>
  </si>
  <si>
    <t>47851572</t>
  </si>
  <si>
    <t>VILCARROMERO TAFUR LLEIMI</t>
  </si>
  <si>
    <t>41184477</t>
  </si>
  <si>
    <t>AGUILAR CAMAN MARLITH</t>
  </si>
  <si>
    <t>46769779</t>
  </si>
  <si>
    <t>IGNACIO LEYVA YELVIN</t>
  </si>
  <si>
    <t>74455813</t>
  </si>
  <si>
    <t>RUIZ MITAC LIS DALIANA</t>
  </si>
  <si>
    <t>JEFE DE OFICINA</t>
  </si>
  <si>
    <t>26707048</t>
  </si>
  <si>
    <t>42222329</t>
  </si>
  <si>
    <t>FIESTAS GUARNIZ YANNITZA GUADALUPE</t>
  </si>
  <si>
    <t>71718837</t>
  </si>
  <si>
    <t>TITO CHANAME MILENY VERUSKA</t>
  </si>
  <si>
    <t>46076835</t>
  </si>
  <si>
    <t>QUILO MALQUI DONATILDE</t>
  </si>
  <si>
    <t>43408857</t>
  </si>
  <si>
    <t>VELA ROJAS ALEYDA</t>
  </si>
  <si>
    <t>72217955</t>
  </si>
  <si>
    <t>SOLIS MUNDACA MARIA ROSARIO</t>
  </si>
  <si>
    <t>70510499</t>
  </si>
  <si>
    <t>LOPEZ CORONEL CARMEN YANEHT</t>
  </si>
  <si>
    <t>71250708</t>
  </si>
  <si>
    <t>CALDAS ROJAS ANDREA JUDITH</t>
  </si>
  <si>
    <t>48399487</t>
  </si>
  <si>
    <t>PORTOCARRERO MONTOYA JACOBITO</t>
  </si>
  <si>
    <t>08672948</t>
  </si>
  <si>
    <t>RODRIGUEZ SOLIS MARTHA AURORA</t>
  </si>
  <si>
    <t>40479605</t>
  </si>
  <si>
    <t>HUAMAN LOPEZ CARMEN</t>
  </si>
  <si>
    <t>73480905</t>
  </si>
  <si>
    <t>RUIZ OROSCO LLEYMI EVELING</t>
  </si>
  <si>
    <t>47893634</t>
  </si>
  <si>
    <t>TAFUR BARDALES SOCORRO DE JESUS</t>
  </si>
  <si>
    <t>76971101</t>
  </si>
  <si>
    <t>GUZMAN MENDOZA ELIANITA</t>
  </si>
  <si>
    <t>16803602</t>
  </si>
  <si>
    <t>TELLO DE LA CRUZ GILDEMEISTER</t>
  </si>
  <si>
    <t>33787968</t>
  </si>
  <si>
    <t>HUAMAN MENDOZA ADITA</t>
  </si>
  <si>
    <t>47894456</t>
  </si>
  <si>
    <t>CHAVEZ CUBAS MEDALITH</t>
  </si>
  <si>
    <t>01972415</t>
  </si>
  <si>
    <t>DE LA CALLE CALLE ALBERTO</t>
  </si>
  <si>
    <t>43914123</t>
  </si>
  <si>
    <t>CHAPPA ROJAS IRAIDA</t>
  </si>
  <si>
    <t>10374527</t>
  </si>
  <si>
    <t>CANTA VENTURA LIRY</t>
  </si>
  <si>
    <t>71131700</t>
  </si>
  <si>
    <t>SAAVEDRA TAFUR LUIS FERNANDO</t>
  </si>
  <si>
    <t>70035795</t>
  </si>
  <si>
    <t>TRUJILLO CHUQUIZUTA AYDA</t>
  </si>
  <si>
    <t>33807112</t>
  </si>
  <si>
    <t>TRUJILLO VELA LAURA</t>
  </si>
  <si>
    <t>48020711</t>
  </si>
  <si>
    <t>ZUTA CUIPAL ROLIN FERNANDO</t>
  </si>
  <si>
    <t>01120099</t>
  </si>
  <si>
    <t>AREVALO CENEPO LUIS</t>
  </si>
  <si>
    <t>45269550</t>
  </si>
  <si>
    <t>LOPEZ ROJAS SAMUEL CESAR AUGUSTO</t>
  </si>
  <si>
    <t>71501772</t>
  </si>
  <si>
    <t>GOMEZ GAONA FANY DEL PILAR</t>
  </si>
  <si>
    <t>46492424</t>
  </si>
  <si>
    <t>SANCHEZ RODAS ASUNTA RAQUEL</t>
  </si>
  <si>
    <t>45233522</t>
  </si>
  <si>
    <t>PORTOCARRERO GRANDEZ FLORDELIZ</t>
  </si>
  <si>
    <t>70277401</t>
  </si>
  <si>
    <t>RIVAS MARCHAN YADIRA LISSETH</t>
  </si>
  <si>
    <t>71484423</t>
  </si>
  <si>
    <t>LLAJA HUAMAN DEISY LORENA</t>
  </si>
  <si>
    <t>46105402</t>
  </si>
  <si>
    <t>46841364</t>
  </si>
  <si>
    <t>ARISTA VARGAS DALMA JULIETA</t>
  </si>
  <si>
    <t>72038358</t>
  </si>
  <si>
    <t>AGUILA BENITES ANDRES ALEXANDER</t>
  </si>
  <si>
    <t>70514031</t>
  </si>
  <si>
    <t>CULQUIMBOZ SERVAN LOURDES JHULIANA</t>
  </si>
  <si>
    <t>45759505</t>
  </si>
  <si>
    <t>LOPEZ UGARTE LLUNY CREYNEY</t>
  </si>
  <si>
    <t>76667718</t>
  </si>
  <si>
    <t>PICON MENDIETA KEVIN GUSTAVO</t>
  </si>
  <si>
    <t>33432664</t>
  </si>
  <si>
    <t>TORREJON HERNANDEZ NANCY MERCEDES</t>
  </si>
  <si>
    <t>44585775</t>
  </si>
  <si>
    <t>VEGA CRUZ HILDA</t>
  </si>
  <si>
    <t>72861546</t>
  </si>
  <si>
    <t>CRUZ CRUZ CRISTIAN ENRIQUE</t>
  </si>
  <si>
    <t>48274811</t>
  </si>
  <si>
    <t>DELGADO IDROGO JOSE WILMER</t>
  </si>
  <si>
    <t>47860538</t>
  </si>
  <si>
    <t>PINEDO CASTAÑEDA DANI</t>
  </si>
  <si>
    <t>45147807</t>
  </si>
  <si>
    <t>SANCHEZ GIL JULIO</t>
  </si>
  <si>
    <t>48096086</t>
  </si>
  <si>
    <t>VALQUI ACUÑA MARIA NEILITH</t>
  </si>
  <si>
    <t>70082768</t>
  </si>
  <si>
    <t>VERA DELGADO LLUNELY JHONSILU</t>
  </si>
  <si>
    <t>45605908</t>
  </si>
  <si>
    <t>VILLARREAL LLANCA AURISTELIA</t>
  </si>
  <si>
    <t>75826354</t>
  </si>
  <si>
    <t>VARGAS LLANOS CARINA DOLIBETH</t>
  </si>
  <si>
    <t>42006669</t>
  </si>
  <si>
    <t>FERNANDEZ ALVAREZ SULMA</t>
  </si>
  <si>
    <t>45489510</t>
  </si>
  <si>
    <t>VERGARAY FARJE GUICELLA ELIZABETH</t>
  </si>
  <si>
    <t>70380003</t>
  </si>
  <si>
    <t>OYOLA LOAYZA ETHEL ELIANA</t>
  </si>
  <si>
    <t>41852020</t>
  </si>
  <si>
    <t>HIDALGO SILVA HEYDI DIANA</t>
  </si>
  <si>
    <t>70860847</t>
  </si>
  <si>
    <t>JAUREGUI PONCE JHEYSON ANTONY</t>
  </si>
  <si>
    <t>71795093</t>
  </si>
  <si>
    <t>VASQUEZ BURGA HILMER ASCENCION</t>
  </si>
  <si>
    <t>43028940</t>
  </si>
  <si>
    <t>HUAMAN OC NORMA OFELIA</t>
  </si>
  <si>
    <t>45796668</t>
  </si>
  <si>
    <t>MARIN TOMANGUILLA NELLY</t>
  </si>
  <si>
    <t>73999319</t>
  </si>
  <si>
    <t>PIZARRO REYNA NOHEMY</t>
  </si>
  <si>
    <t>16782715</t>
  </si>
  <si>
    <t>QUEVEDO LINARES RUTH NOELIA</t>
  </si>
  <si>
    <t>73686338</t>
  </si>
  <si>
    <t>NOVOA OCAMPO GABY MERCEDES</t>
  </si>
  <si>
    <t>02425879</t>
  </si>
  <si>
    <t>HUAMANTICA CONDORI HAYDEE</t>
  </si>
  <si>
    <t>43775830</t>
  </si>
  <si>
    <t>MANOSALVA CABRERA ASUNCION WILSON</t>
  </si>
  <si>
    <t>77043762</t>
  </si>
  <si>
    <t>DIAZ EUGENIO MAGNA MARYORI</t>
  </si>
  <si>
    <t>76751804</t>
  </si>
  <si>
    <t>CHAVEZ FARROÑAN LADY JULISSA</t>
  </si>
  <si>
    <t>46221839</t>
  </si>
  <si>
    <t>CUIPAL VENTURA WILIAN ISRRAEL</t>
  </si>
  <si>
    <t>10817169</t>
  </si>
  <si>
    <t>RAMOS ROJAS MILVA LILI</t>
  </si>
  <si>
    <t>45565972</t>
  </si>
  <si>
    <t>CHAVEZ CHINCHAY TANIA KIARA</t>
  </si>
  <si>
    <t>47509802</t>
  </si>
  <si>
    <t>FLORES SALAS GUDELINA</t>
  </si>
  <si>
    <t>45840476</t>
  </si>
  <si>
    <t>TURRIATE PEREYRA HAMERSY EVELYN</t>
  </si>
  <si>
    <t>46106637</t>
  </si>
  <si>
    <t>CRUZALEGUI SANCHEZ NANCI</t>
  </si>
  <si>
    <t>46547551</t>
  </si>
  <si>
    <t>QUINTANA TUESTA YULIA</t>
  </si>
  <si>
    <t>47075765</t>
  </si>
  <si>
    <t>CORDOVA CRUZ DARLIN</t>
  </si>
  <si>
    <t>74627764</t>
  </si>
  <si>
    <t>RAMOS BRICEÑO EDITH</t>
  </si>
  <si>
    <t>46024250</t>
  </si>
  <si>
    <t>SANTAMARIA PALOMINO LUISA MILAGROS</t>
  </si>
  <si>
    <t>45077668</t>
  </si>
  <si>
    <t>RIVERA JIMENEZ LILY ZORELINDA</t>
  </si>
  <si>
    <t>45606450</t>
  </si>
  <si>
    <t>CHAVESTA MANRIQUE XINTHIA PAOLA</t>
  </si>
  <si>
    <t>47548734</t>
  </si>
  <si>
    <t>42559881</t>
  </si>
  <si>
    <t>ARISTA GRANDEZ CELFIA</t>
  </si>
  <si>
    <t>AUXILIAR DE COCINA</t>
  </si>
  <si>
    <t>44812897</t>
  </si>
  <si>
    <t>PELAEZ LOPEZ LIZBEL</t>
  </si>
  <si>
    <t>44856078</t>
  </si>
  <si>
    <t>PINEDO GONGORA KARIN</t>
  </si>
  <si>
    <t>42316181</t>
  </si>
  <si>
    <t>PORTOCARRERO TAFUR JANNINA</t>
  </si>
  <si>
    <t>46399899</t>
  </si>
  <si>
    <t>PORTOCARRERO ROJAS DYANA ROSSY</t>
  </si>
  <si>
    <t>72446882</t>
  </si>
  <si>
    <t>PORTOCARRERO TAFUR NELLY ESTELA</t>
  </si>
  <si>
    <t>47266359</t>
  </si>
  <si>
    <t>GOMEZ REYNA NILDA</t>
  </si>
  <si>
    <t>46684976</t>
  </si>
  <si>
    <t>GRANDEZ MESTANZA ROSA</t>
  </si>
  <si>
    <t>70079389</t>
  </si>
  <si>
    <t>MELENDEZ SANCHEZ MONICA KATERINE</t>
  </si>
  <si>
    <t>18010454</t>
  </si>
  <si>
    <t>RAMOS BALDERA ARTEMIO MIGUEL</t>
  </si>
  <si>
    <t>71648978</t>
  </si>
  <si>
    <t>VALLE MAICELO REGINA</t>
  </si>
  <si>
    <t>71070750</t>
  </si>
  <si>
    <t>PINELLA VEGA MELISSA</t>
  </si>
  <si>
    <t>72559742</t>
  </si>
  <si>
    <t>MUÑOZ ZUTA LESLY MARIBEL</t>
  </si>
  <si>
    <t>45493591</t>
  </si>
  <si>
    <t>ALVA ISLA MARIA VICTORIA</t>
  </si>
  <si>
    <t>47684060</t>
  </si>
  <si>
    <t>LLANOS TELLO LUCELITH</t>
  </si>
  <si>
    <t>44308514</t>
  </si>
  <si>
    <t>AGUILAR RIVERA JHON DEWEY</t>
  </si>
  <si>
    <t>73658390</t>
  </si>
  <si>
    <t>LLAJA HUAMAN MILAGRITOS OTILIA</t>
  </si>
  <si>
    <t>70079377</t>
  </si>
  <si>
    <t>VALLEJOS VASQUEZ MAX YUBER</t>
  </si>
  <si>
    <t>46009146</t>
  </si>
  <si>
    <t>LOPEZ GRANDEZ LUIS ALBERTO</t>
  </si>
  <si>
    <t>46475266</t>
  </si>
  <si>
    <t>CAVA MORENO MICHAEL ANTONY</t>
  </si>
  <si>
    <t>48215422</t>
  </si>
  <si>
    <t>VARGAS CHUQUIZUTA DELINA</t>
  </si>
  <si>
    <t>46643143</t>
  </si>
  <si>
    <t>ROJAS MUÑOZ WILLY NIXON</t>
  </si>
  <si>
    <t>71894634</t>
  </si>
  <si>
    <t>MENDOZA PACHERRES NOEMI ELIZABETH</t>
  </si>
  <si>
    <t>46784746</t>
  </si>
  <si>
    <t>GOMEZ LLANOS JUAN</t>
  </si>
  <si>
    <t>47080191</t>
  </si>
  <si>
    <t>PADILLA DIAZ AHILUD</t>
  </si>
  <si>
    <t>71795094</t>
  </si>
  <si>
    <t>VASQUEZ BURGA YODALI</t>
  </si>
  <si>
    <t>76838538</t>
  </si>
  <si>
    <t>SIERRA HUANCA JACQUELINE ROCIO</t>
  </si>
  <si>
    <t>47211169</t>
  </si>
  <si>
    <t>BUSTAMANTE TARRILLO RAFAELA DEL ROCIO</t>
  </si>
  <si>
    <t>42922220</t>
  </si>
  <si>
    <t>MARTINEZ CAMACHO DIANA LUZ</t>
  </si>
  <si>
    <t>77796768</t>
  </si>
  <si>
    <t>PRINCIPE MENDOZA KATLEEN DEL PILAR</t>
  </si>
  <si>
    <t>47233634</t>
  </si>
  <si>
    <t>GOMEZ VARGAS JESSICA DEL CARMEN</t>
  </si>
  <si>
    <t>71334494</t>
  </si>
  <si>
    <t>BENITO PAREDES ARELI ROSARIO</t>
  </si>
  <si>
    <t>45485629</t>
  </si>
  <si>
    <t>FERNANDEZ MORENO CLAUDIO MARIANO</t>
  </si>
  <si>
    <t>70432802</t>
  </si>
  <si>
    <t>VILCHEZ MORA ROXANA SHYBILA</t>
  </si>
  <si>
    <t>75494690</t>
  </si>
  <si>
    <t>CARAMANTIN SAMAME GABRIELA MELISSA</t>
  </si>
  <si>
    <t>47032383</t>
  </si>
  <si>
    <t>CHUQUIZUTA COMECA MARLENY NOEMI</t>
  </si>
  <si>
    <t>72662290</t>
  </si>
  <si>
    <t>CORONEL ZUBIATE INGRID DAYANA</t>
  </si>
  <si>
    <t>47668094</t>
  </si>
  <si>
    <t>DAMACEN BRAVO DIANA NATALY</t>
  </si>
  <si>
    <t>72651458</t>
  </si>
  <si>
    <t>ESTEVES CASTAÑEDA ROCIO FERNANDA</t>
  </si>
  <si>
    <t>72138738</t>
  </si>
  <si>
    <t>GOMEZ GARCIA GEMIMA ZURIEL</t>
  </si>
  <si>
    <t>72166599</t>
  </si>
  <si>
    <t>LOPEZ GUERRERO EDDY ALEXIS</t>
  </si>
  <si>
    <t>46895844</t>
  </si>
  <si>
    <t>MAS LOZADA LLICELI</t>
  </si>
  <si>
    <t>43202570</t>
  </si>
  <si>
    <t>MIXAN INGA EDWIN</t>
  </si>
  <si>
    <t>73587504</t>
  </si>
  <si>
    <t>NAVARRO QUINTOS AUNER</t>
  </si>
  <si>
    <t>44387002</t>
  </si>
  <si>
    <t>QUINTANA BOBADILLA MAGDA PAULIT</t>
  </si>
  <si>
    <t>45031546</t>
  </si>
  <si>
    <t>RENTERIA VALLE CESAR ANTHONY</t>
  </si>
  <si>
    <t>73434614</t>
  </si>
  <si>
    <t>TINOCO VALERIO DANIEL JHONATAN</t>
  </si>
  <si>
    <t>72376728</t>
  </si>
  <si>
    <t>VARGAS MARCHENA CRISTHIAN ALFONSO</t>
  </si>
  <si>
    <t>48373669</t>
  </si>
  <si>
    <t>WAMPAGKIT CARRASCO YUEM ANTONY</t>
  </si>
  <si>
    <t>44053476</t>
  </si>
  <si>
    <t>AGUILAR MALDONADO MARDELITH</t>
  </si>
  <si>
    <t>47991607</t>
  </si>
  <si>
    <t>ALEJANDRIA ALTAMIRANO SUSAN MILAGROS</t>
  </si>
  <si>
    <t>42423746</t>
  </si>
  <si>
    <t>CRUZ LLAJA JHILMA MARCELITA</t>
  </si>
  <si>
    <t>40974335</t>
  </si>
  <si>
    <t>GIL CRUZ EULER SANDINO</t>
  </si>
  <si>
    <t>70932635</t>
  </si>
  <si>
    <t>PICON SANTILLAN ANGELICA DOLORES</t>
  </si>
  <si>
    <t>46487423</t>
  </si>
  <si>
    <t>SANCHEZ HILARIO PATRICIA BIBIANA</t>
  </si>
  <si>
    <t>44750177</t>
  </si>
  <si>
    <t>SANTILLAN MORI LLANELLY</t>
  </si>
  <si>
    <t>72031839</t>
  </si>
  <si>
    <t>VASQUEZ SOLIS KEY GUSMAN</t>
  </si>
  <si>
    <t>70615725</t>
  </si>
  <si>
    <t>ESTRADA FLORIAN JAZMIN JASELL</t>
  </si>
  <si>
    <t>41592127</t>
  </si>
  <si>
    <t>NEYRA CHOQUE GEMMA VANESSA</t>
  </si>
  <si>
    <t>72542338</t>
  </si>
  <si>
    <t>SUAREZ NUÑEZ BRISETT JORELY</t>
  </si>
  <si>
    <t>48067504</t>
  </si>
  <si>
    <t>ZAPATA MALCA CARMEN ROXANA</t>
  </si>
  <si>
    <t>33658515</t>
  </si>
  <si>
    <t>RAMAYCUNA DE MOSQUEDA OLINDA</t>
  </si>
  <si>
    <t>60030957</t>
  </si>
  <si>
    <t>REAP INGA NATALIA</t>
  </si>
  <si>
    <t>42920132</t>
  </si>
  <si>
    <t>GUADALUPE MORI KAREN IBBETH</t>
  </si>
  <si>
    <t>71908785</t>
  </si>
  <si>
    <t>SINCHITULLO CASTILLO ANGEL EDUARDO</t>
  </si>
  <si>
    <t>71341433</t>
  </si>
  <si>
    <t>PORTOCARRERO REYES HEILY MARIA</t>
  </si>
  <si>
    <t>48140077</t>
  </si>
  <si>
    <t>WALTER VASQUEZ SEGUNDO ELI</t>
  </si>
  <si>
    <t>44055988</t>
  </si>
  <si>
    <t>RAMOS HUAMAN NOEMI</t>
  </si>
  <si>
    <t>46490857</t>
  </si>
  <si>
    <t>SIPION ZAPATA CRISS AMELIA</t>
  </si>
  <si>
    <t>47041457</t>
  </si>
  <si>
    <t>CUEVA QUIROZ JOSEPH EDGARDO</t>
  </si>
  <si>
    <t>42353018</t>
  </si>
  <si>
    <t>REYNA FARJE DOILITH RAQUEL</t>
  </si>
  <si>
    <t>73879173</t>
  </si>
  <si>
    <t>ROJAS GUTIERREZ ANITA IVONNE</t>
  </si>
  <si>
    <t>47906229</t>
  </si>
  <si>
    <t>GUEVARA MARIN ZURLITA</t>
  </si>
  <si>
    <t>70807250</t>
  </si>
  <si>
    <t>CARRASCO TARRILLO FLOR YESSENIA</t>
  </si>
  <si>
    <t>44143038</t>
  </si>
  <si>
    <t>CAMPOJO ESTEVES KARIN LISET</t>
  </si>
  <si>
    <t>72887880</t>
  </si>
  <si>
    <t>33738819</t>
  </si>
  <si>
    <t>QUINTANA REYNA JULIO EDWIN</t>
  </si>
  <si>
    <t>42333513</t>
  </si>
  <si>
    <t>PORTOCARRERO PELAEZ MIGUEL ANTONIO</t>
  </si>
  <si>
    <t>70893109</t>
  </si>
  <si>
    <t>TORREJON VARGAS DE MONTANO BIBY FIORELLA</t>
  </si>
  <si>
    <t>45031008</t>
  </si>
  <si>
    <t>HERNANDEZ MELENDEZ ASUNTA</t>
  </si>
  <si>
    <t>70245402</t>
  </si>
  <si>
    <t>BANCES DAVALOS LUZ ELENA</t>
  </si>
  <si>
    <t>44311147</t>
  </si>
  <si>
    <t>MENDOZA HUAMAN NATALY CINTHIA</t>
  </si>
  <si>
    <t>41700140</t>
  </si>
  <si>
    <t>CERCADO MEGO NELIDA</t>
  </si>
  <si>
    <t>43206069</t>
  </si>
  <si>
    <t>GODOS JACINTO JUDITH MARIA</t>
  </si>
  <si>
    <t>44060353</t>
  </si>
  <si>
    <t>HUAMAN ROJAS JOSE CARLOS</t>
  </si>
  <si>
    <t>46268217</t>
  </si>
  <si>
    <t>NAVARRO GUEVARA RAQUEL</t>
  </si>
  <si>
    <t>47147292</t>
  </si>
  <si>
    <t>RUBIO CHAVEZ ALESSANDRA LUCIA</t>
  </si>
  <si>
    <t>70269357</t>
  </si>
  <si>
    <t>OSORIO MENDOZA ANTONI NELSON</t>
  </si>
  <si>
    <t>45770781</t>
  </si>
  <si>
    <t>VILLA MORI JOSE</t>
  </si>
  <si>
    <t>41178736</t>
  </si>
  <si>
    <t>GUEVARA PUERTA PAQUITA LLICELA</t>
  </si>
  <si>
    <t>45371770</t>
  </si>
  <si>
    <t>PIZARRO DIAZ ELIANITH</t>
  </si>
  <si>
    <t>41347804</t>
  </si>
  <si>
    <t>URBINA CARRANZA PAMELA DEL ROCIO</t>
  </si>
  <si>
    <t>42000192</t>
  </si>
  <si>
    <t>DETT DETQUIZAN AMALIA</t>
  </si>
  <si>
    <t>40502570</t>
  </si>
  <si>
    <t>CHURA ARAUJO MIGUEL ANGEL</t>
  </si>
  <si>
    <t>70180697</t>
  </si>
  <si>
    <t>ALFARO ROJAS FIORELA NATIVIDAD</t>
  </si>
  <si>
    <t>41766650</t>
  </si>
  <si>
    <t>GOÑAZ PILCO TULA ALICIA</t>
  </si>
  <si>
    <t>22507201</t>
  </si>
  <si>
    <t>DUEÑAS VARA DALINA</t>
  </si>
  <si>
    <t>47228729</t>
  </si>
  <si>
    <t>JULCA CHUNGA SANDRA YESMIN</t>
  </si>
  <si>
    <t>43240986</t>
  </si>
  <si>
    <t>VASQUEZ PELAEZ LLILMAR</t>
  </si>
  <si>
    <t>48021413</t>
  </si>
  <si>
    <t>ANYACO QUISPE MERY</t>
  </si>
  <si>
    <t>71648951</t>
  </si>
  <si>
    <t>VALLE MAICELO JESSICA</t>
  </si>
  <si>
    <t>46116378</t>
  </si>
  <si>
    <t>VILLANUEVA JULCA ROSBEL</t>
  </si>
  <si>
    <t>74658341</t>
  </si>
  <si>
    <t>47300763</t>
  </si>
  <si>
    <t>SANCHEZ MEDINA NOELINA</t>
  </si>
  <si>
    <t>47550860</t>
  </si>
  <si>
    <t>CHAVEZ VEGA JENNY JOHANA</t>
  </si>
  <si>
    <t>MARCO ANTONIO MAS BACALLA</t>
  </si>
  <si>
    <t>S/N</t>
  </si>
  <si>
    <t>DAMIAN TRIGOSO VARGAS</t>
  </si>
  <si>
    <t>TECNICO EN COMPUTACION EINFORMATICA</t>
  </si>
  <si>
    <t>DIGITADOR</t>
  </si>
  <si>
    <t>ARACELY MERLITH CULQUI HUAMAN</t>
  </si>
  <si>
    <t>TECNICO EN FARMACIA</t>
  </si>
  <si>
    <t>ARTEMIO MIGUEL RAMOS BALDERA</t>
  </si>
  <si>
    <t>ESPECIALISTA EN PSQUIATRIA</t>
  </si>
  <si>
    <t>CARLA ROMINA VILLENA ARROYO</t>
  </si>
  <si>
    <t xml:space="preserve">CARMEN DEL PILAR SEGURA GUEVARA </t>
  </si>
  <si>
    <t>BACH. TURISMO Y ADMINISTRACION</t>
  </si>
  <si>
    <t>CELIA GISELA GARCIA PEREZ</t>
  </si>
  <si>
    <t>DALITH LLUVITZA VIGO INGA</t>
  </si>
  <si>
    <t>EDILENY SILVA VARGAS</t>
  </si>
  <si>
    <t>EDWAR ZABARBURU ROJAS</t>
  </si>
  <si>
    <t>EINER RAMOS PAISIC</t>
  </si>
  <si>
    <t>RAMOS VELA ZAYANITA MARALI</t>
  </si>
  <si>
    <t>ELIANITA GUZMAN MENDOZA</t>
  </si>
  <si>
    <t>FLOR YESSENIA CARRASCO TARRILLO</t>
  </si>
  <si>
    <t>GISELL ROCIO MARTINEZ ANTAZAU</t>
  </si>
  <si>
    <t>GLORIA MENDOZA GUELAC</t>
  </si>
  <si>
    <t>GLIDEMEISTER TELLO DE LA CRUZ</t>
  </si>
  <si>
    <t>IRMA CRUZ BACALLA</t>
  </si>
  <si>
    <t>ASISTENTE INFORMATICO</t>
  </si>
  <si>
    <t>JHON ANLLINSON VARGAS TRAUCO</t>
  </si>
  <si>
    <t>BACHILLER EN INGENERIA DE SISTEMAS</t>
  </si>
  <si>
    <t>APOYO INFORMATICO</t>
  </si>
  <si>
    <t>JHON DENIS SUAREZ ORTIZ</t>
  </si>
  <si>
    <t>JESUS WILFREDO RAMIREZ PONCE</t>
  </si>
  <si>
    <t>JUAN CARLOS NUÑEZ REQUEJO</t>
  </si>
  <si>
    <t>LENING PUSCAN HUAMAN</t>
  </si>
  <si>
    <t>JIMMY IVAN SALAZAR TORREJON</t>
  </si>
  <si>
    <t>JULIO EDWIN QUINTANA REYNA</t>
  </si>
  <si>
    <t xml:space="preserve">APOYO </t>
  </si>
  <si>
    <t>JHON WILLYGREIN VALDEZ MELENDEZ</t>
  </si>
  <si>
    <t>KELLY PAOLA DIAZ HOYO</t>
  </si>
  <si>
    <t>BACHILLER EN ADMINISTRACION DE NEGOCIOS INTERNACIONALES</t>
  </si>
  <si>
    <t>LIC. EN ADMINISTRACION DE EMPRESA</t>
  </si>
  <si>
    <t xml:space="preserve">LOURDES NATIVIDAD VERA TUESTA </t>
  </si>
  <si>
    <t>LUIS ANGEL MELENDEZ MELENDEZ</t>
  </si>
  <si>
    <t>LITA LOJA PAREDES</t>
  </si>
  <si>
    <t>LESLY CELENY GONZALES MARLO</t>
  </si>
  <si>
    <t>EGRESADO CARRERA SEC. EJECUTIVO</t>
  </si>
  <si>
    <t>LLEYMI EVELING RUIZ OROSCO</t>
  </si>
  <si>
    <t>SECRETARIA  EJECUTIVA</t>
  </si>
  <si>
    <t>LUIS FEDERICO HUILCA MAZUELOS</t>
  </si>
  <si>
    <t>EGRESADO CARRERA INGENIERIA AMBIENTAL</t>
  </si>
  <si>
    <t>LURDES CONSUELO LOPEZ BARDALES</t>
  </si>
  <si>
    <t>MARLENY DEL CARMEN VILCARROMERO CARUAJULCA</t>
  </si>
  <si>
    <t>LUZVELIT TORRES LOPEZ</t>
  </si>
  <si>
    <t>LUZ MERLI ALVARADO TAUCA</t>
  </si>
  <si>
    <t>APOYO</t>
  </si>
  <si>
    <t>MEISTER CHUQUI CABAÑAS</t>
  </si>
  <si>
    <t>REYNA MONTANO TOMANGUILLA</t>
  </si>
  <si>
    <t>SILVA BAUTISTA ALZAMORA</t>
  </si>
  <si>
    <t>RONALD JARDY GALVEZ</t>
  </si>
  <si>
    <t>TOMMY JACK DETQUIZAN MORI</t>
  </si>
  <si>
    <t>ESTUDIANTE DE LA CARRERA DE INGENIERIA AMBIENTAL</t>
  </si>
  <si>
    <t>ESTUDISNTE</t>
  </si>
  <si>
    <t>INGENIERO EN SISTEMAS</t>
  </si>
  <si>
    <t>TONY ALBERTO ROJAS TORRES</t>
  </si>
  <si>
    <t>APOYO ASISTENCIAL</t>
  </si>
  <si>
    <t>NATALIA REAP INGA</t>
  </si>
  <si>
    <t>NELIDA CERCADO MEGO</t>
  </si>
  <si>
    <t>MILLY MAITE RAMIREZ ACHA</t>
  </si>
  <si>
    <t>OLIVIA LLAUCE CISNEROS</t>
  </si>
  <si>
    <t>ZAYANITA MARALI RAMOS VELA</t>
  </si>
  <si>
    <t>VICTOR MANUEL DEL CARPIO REYMER</t>
  </si>
  <si>
    <t>WILSON RIVERA MEDINA</t>
  </si>
  <si>
    <t>401 - 955 SALUD BAGUA</t>
  </si>
  <si>
    <t>CAS REGULAR</t>
  </si>
  <si>
    <t>DIGITADORA</t>
  </si>
  <si>
    <t>43137920</t>
  </si>
  <si>
    <t>ADRIANZEN OLANO ARELIS</t>
  </si>
  <si>
    <t>CAS COVID</t>
  </si>
  <si>
    <t>43956115</t>
  </si>
  <si>
    <t>AGKUASH CHIWAN VIRGILIO</t>
  </si>
  <si>
    <t>SIN TITULO</t>
  </si>
  <si>
    <t>TECNICO EN ENFERMERIA I</t>
  </si>
  <si>
    <t>33767696</t>
  </si>
  <si>
    <t>AGKUASH PUJUPAT JOSE LUIS</t>
  </si>
  <si>
    <t>48306720</t>
  </si>
  <si>
    <t>AGREDA AGILA YAQUELINI</t>
  </si>
  <si>
    <t>TECNICO EN REHABIL. Y FISIOT.</t>
  </si>
  <si>
    <t>TECNICA EN FISIOTERAPIA Y REHABILITACION</t>
  </si>
  <si>
    <t>80232374</t>
  </si>
  <si>
    <t>AKINTUI YANKUAG ESEQUIEL</t>
  </si>
  <si>
    <t>TECNICO/A EN ENFERMERIA I</t>
  </si>
  <si>
    <t>46084585</t>
  </si>
  <si>
    <t>AKUTS JUWAU SALCEDO</t>
  </si>
  <si>
    <t>47452354</t>
  </si>
  <si>
    <t>ALARCON MONSALVE FANY</t>
  </si>
  <si>
    <t>TITULADA</t>
  </si>
  <si>
    <t>44753259</t>
  </si>
  <si>
    <t>ALARCON VASQUEZ ELENA</t>
  </si>
  <si>
    <t>ENFERMERA</t>
  </si>
  <si>
    <t>72351912</t>
  </si>
  <si>
    <t>ALCARAZO GUEVARA LEIDY ROXANA</t>
  </si>
  <si>
    <t xml:space="preserve">LICENCIADA EN ENFERMERIA </t>
  </si>
  <si>
    <t>AUXILIAR  ADM,</t>
  </si>
  <si>
    <t>44346492</t>
  </si>
  <si>
    <t>ALDANA ZELADA ANALI</t>
  </si>
  <si>
    <t>SUPERIOR TECNICO</t>
  </si>
  <si>
    <t>TECNOLOGO MED-ESPEC.LABORATORI</t>
  </si>
  <si>
    <t>45932354</t>
  </si>
  <si>
    <t>ALEJANDRIA GARCIA ROBERT ANTONIO</t>
  </si>
  <si>
    <t xml:space="preserve">TECNICO EN ENFERMERIA I </t>
  </si>
  <si>
    <t>70150159</t>
  </si>
  <si>
    <t>ALTAMIRANO RAMIREZ ROSI RAQUEL</t>
  </si>
  <si>
    <t>76251256</t>
  </si>
  <si>
    <t>ALTAMIRANO REQUEJO HEYNER RAUL</t>
  </si>
  <si>
    <t>41285225</t>
  </si>
  <si>
    <t>ALVA RAMIREZ ROSA BERBELINA</t>
  </si>
  <si>
    <t>TECNICA EN SECRETARIADO</t>
  </si>
  <si>
    <t>TECNICO ASIST.</t>
  </si>
  <si>
    <t>48235948</t>
  </si>
  <si>
    <t>AMPAM CHUINTAM DIONICIO</t>
  </si>
  <si>
    <t>70425731</t>
  </si>
  <si>
    <t>ANTIALON SANCHEZ CARMEN STEFANY</t>
  </si>
  <si>
    <t>OBSTETRIZ</t>
  </si>
  <si>
    <t>LIC. EN OBSTETRICIA,</t>
  </si>
  <si>
    <t>CIRUJANA DENTISTA</t>
  </si>
  <si>
    <t>48145992</t>
  </si>
  <si>
    <t>ARANA MENDOZA SAIDA MELISA</t>
  </si>
  <si>
    <t>ODONTOLOGO(A)</t>
  </si>
  <si>
    <t>47560244</t>
  </si>
  <si>
    <t>ARCE GUTIERREZ RENZO DAVID</t>
  </si>
  <si>
    <t>44609391</t>
  </si>
  <si>
    <t>ARCE PILCO GAVI ANDREA</t>
  </si>
  <si>
    <t>44607990</t>
  </si>
  <si>
    <t>ARQUIMEDES CARMONA SUSAN LYNN SYBILA</t>
  </si>
  <si>
    <t>TRABAJADOR DE SERVICIOS GENERALES</t>
  </si>
  <si>
    <t>41948064</t>
  </si>
  <si>
    <t>ARRASCUE ACUÑA VICTOR</t>
  </si>
  <si>
    <t>33560628</t>
  </si>
  <si>
    <t>ATAMAIN ANTONINA JORGE</t>
  </si>
  <si>
    <t>ENFERMERO</t>
  </si>
  <si>
    <t>74649507</t>
  </si>
  <si>
    <t>AVILES ESPINOZA BETTY</t>
  </si>
  <si>
    <t>16749519</t>
  </si>
  <si>
    <t>AYALA NUÑEZ MIRIAM</t>
  </si>
  <si>
    <t>43128827</t>
  </si>
  <si>
    <t>BANCES VENTURA EDITA NOEMY</t>
  </si>
  <si>
    <t>TECNICA EN FARMACIA</t>
  </si>
  <si>
    <t>45447799</t>
  </si>
  <si>
    <t>BARBOZA MUÑOZ ELSY ROSELY</t>
  </si>
  <si>
    <t>47320489</t>
  </si>
  <si>
    <t>BECERRA CHILCON NOEL</t>
  </si>
  <si>
    <t>47293372</t>
  </si>
  <si>
    <t>BECERRA JARA CHARITO</t>
  </si>
  <si>
    <t>44626635</t>
  </si>
  <si>
    <t>BENAVIDES CULQUI EVELYN LORENA</t>
  </si>
  <si>
    <t>33569453</t>
  </si>
  <si>
    <t>BENITES OJEDA BALTAZAR YGNACIO</t>
  </si>
  <si>
    <t>43750830</t>
  </si>
  <si>
    <t>BERMEO MELENDRES YECSAR MAURO</t>
  </si>
  <si>
    <t>33588271</t>
  </si>
  <si>
    <t>BRAVO NUNAYALLE WILMER</t>
  </si>
  <si>
    <t>43082492</t>
  </si>
  <si>
    <t>BRAVO ROMERO EDITA</t>
  </si>
  <si>
    <t>43137924</t>
  </si>
  <si>
    <t>BUSTAMANTE FERNANDEZ NOEMI</t>
  </si>
  <si>
    <t>43654935</t>
  </si>
  <si>
    <t>CABRERA TORRES NORVIL</t>
  </si>
  <si>
    <t>40040130</t>
  </si>
  <si>
    <t>CACERES MACHA CRISTINA ROSARIO</t>
  </si>
  <si>
    <t>43191408</t>
  </si>
  <si>
    <t>CAJUSOL SUCLUPE LIDIA ROXANA</t>
  </si>
  <si>
    <t>29607516</t>
  </si>
  <si>
    <t>CALAPUJA CALAPUJA HOOVER</t>
  </si>
  <si>
    <t>74466769</t>
  </si>
  <si>
    <t>CALLE REYES NOEMI</t>
  </si>
  <si>
    <t>72175688</t>
  </si>
  <si>
    <t>CALUA GONZALES MILAGROS DEL ROSARIO</t>
  </si>
  <si>
    <t>44943128</t>
  </si>
  <si>
    <t>CAMARENA PALOMINO YANINA ESPERANZA</t>
  </si>
  <si>
    <t>44178262</t>
  </si>
  <si>
    <t>CARHUANINA ZAPATA BETSY LIZBETH</t>
  </si>
  <si>
    <t>46809312</t>
  </si>
  <si>
    <t>CARRANZA PEREZ MARLI JHADIT</t>
  </si>
  <si>
    <t>TRABAJADOR DE SERICIOS</t>
  </si>
  <si>
    <t>47279047</t>
  </si>
  <si>
    <t>CARRASCO FLORES DANTE ROLANDO</t>
  </si>
  <si>
    <t>TECNICO ADM,</t>
  </si>
  <si>
    <t>71138443</t>
  </si>
  <si>
    <t>CARRERO OLIVERA BELIZA</t>
  </si>
  <si>
    <t>33583312</t>
  </si>
  <si>
    <t>CARUAJULCA SANCHEZ MAXIMO</t>
  </si>
  <si>
    <t>40477771</t>
  </si>
  <si>
    <t>CASANA SIFUENTES NANCY MARIBEL</t>
  </si>
  <si>
    <t>LIC.EN ENFERMERIA</t>
  </si>
  <si>
    <t>47258080</t>
  </si>
  <si>
    <t>CASTAÑEDA CRUZ YUDITH</t>
  </si>
  <si>
    <t>46526038</t>
  </si>
  <si>
    <t>CASTAÑEDA DE LA CRUZ YUDITH</t>
  </si>
  <si>
    <t>76947203</t>
  </si>
  <si>
    <t>CASTILLO DAMIAN MARYURI NATALY</t>
  </si>
  <si>
    <t>TRABAJADOR DE SERVICIOS</t>
  </si>
  <si>
    <t>10458191</t>
  </si>
  <si>
    <t>CASTILLO ESTELA AUBER</t>
  </si>
  <si>
    <t>72809864</t>
  </si>
  <si>
    <t>CASTILLO QUEZADA PATRICIA</t>
  </si>
  <si>
    <t>06792759</t>
  </si>
  <si>
    <t>CASTRO GARCIA ERIKA ROXANA</t>
  </si>
  <si>
    <t>43771126</t>
  </si>
  <si>
    <t>CASTRO GIL MAGDALENA</t>
  </si>
  <si>
    <t>41732867</t>
  </si>
  <si>
    <t>CAUNA CHAMBILLA LILIANA ELSA</t>
  </si>
  <si>
    <t>45859739</t>
  </si>
  <si>
    <t>CAYETANO BLANCO BUSH MICHAEL</t>
  </si>
  <si>
    <t>45118295</t>
  </si>
  <si>
    <t>CERVANTES MACEDO YSMAEL JUNIOR</t>
  </si>
  <si>
    <t>43800893</t>
  </si>
  <si>
    <t>CERVERA GARCIA IVAN CARLOS</t>
  </si>
  <si>
    <t>LIC. EN BIOLOGIA, MICROBIOLOGIA Y PARASITOLOGIA</t>
  </si>
  <si>
    <t>80620257</t>
  </si>
  <si>
    <t>CERVERA MALCA ELI</t>
  </si>
  <si>
    <t>44480200</t>
  </si>
  <si>
    <t>CHANAME CHINCHAY MARIA ANGELICA</t>
  </si>
  <si>
    <t>46056417</t>
  </si>
  <si>
    <t>CHANDUVI PEÑA GENESIS DEL MILAGRO</t>
  </si>
  <si>
    <t>45327084</t>
  </si>
  <si>
    <t>CHAPOÑAN RAMOS LEYDY KATHERINE</t>
  </si>
  <si>
    <t>40971603</t>
  </si>
  <si>
    <t>CHAVEZ ANCAJIMA JULIA</t>
  </si>
  <si>
    <t>48098772</t>
  </si>
  <si>
    <t>CHAVEZ FERNANDEZ ROCIO</t>
  </si>
  <si>
    <t>42332329</t>
  </si>
  <si>
    <t>CHAVEZ LOAYZA LETICIA BERMELINA</t>
  </si>
  <si>
    <t>41819943</t>
  </si>
  <si>
    <t>CHERRE NIZAMA YENNY ELIZABETH</t>
  </si>
  <si>
    <t>42669175</t>
  </si>
  <si>
    <t>CHINCHAY SANTOS GILMER</t>
  </si>
  <si>
    <t>41948063</t>
  </si>
  <si>
    <t>CHUQUIPOMA SUAREZ JESUS MARTIN</t>
  </si>
  <si>
    <t>16796183</t>
  </si>
  <si>
    <t>CIEZA ALVAN CARMEN LUISA</t>
  </si>
  <si>
    <t>01045267</t>
  </si>
  <si>
    <t>CIEZA GONZALES JULIAN</t>
  </si>
  <si>
    <t>41611527</t>
  </si>
  <si>
    <t>CIEZA MARIN ULISES</t>
  </si>
  <si>
    <t>44086864</t>
  </si>
  <si>
    <t>COLOMA FRIAS GISSELLA ELIZABETH</t>
  </si>
  <si>
    <t>80293653</t>
  </si>
  <si>
    <t>COLUNCHE SANCHEZ LEIDEN BORIS</t>
  </si>
  <si>
    <t>TECNICO ADM.</t>
  </si>
  <si>
    <t>42448100</t>
  </si>
  <si>
    <t>CONTRERAS URRUTIA JAVIER HUMBERTO</t>
  </si>
  <si>
    <t>76057342</t>
  </si>
  <si>
    <t>CORDOVA CHICOMA BRAULIO IVAN</t>
  </si>
  <si>
    <t>43417773</t>
  </si>
  <si>
    <t>CORONADO FERNANDEZ PIER ANDERSON</t>
  </si>
  <si>
    <t>44875341</t>
  </si>
  <si>
    <t>CORONEL MONDRAGON JAIRO</t>
  </si>
  <si>
    <t>48419179</t>
  </si>
  <si>
    <t>CORREA BARRIOS TEOMILA</t>
  </si>
  <si>
    <t>46126660</t>
  </si>
  <si>
    <t>CORREA REQUEJO ROSSINY SMITH</t>
  </si>
  <si>
    <t>41399175</t>
  </si>
  <si>
    <t>CORTEZ NEYRA ELVIA</t>
  </si>
  <si>
    <t>45203236</t>
  </si>
  <si>
    <t>COTRINA CORONEL BERSABE</t>
  </si>
  <si>
    <t>47289842</t>
  </si>
  <si>
    <t>COTRINA DIAZ LEYLA YULIANA</t>
  </si>
  <si>
    <t>40114149</t>
  </si>
  <si>
    <t>CRUZ FLORES EDITA</t>
  </si>
  <si>
    <t>40457084</t>
  </si>
  <si>
    <t>CRUZ PARRA ELDIS IVAN</t>
  </si>
  <si>
    <t>76366865</t>
  </si>
  <si>
    <t>CRUZ RAMOS MABEL YESENIA</t>
  </si>
  <si>
    <t>LIC. EN TECNOLOGIA MEDICA EN MENCION EN TERAPIA FISICA Y REHABILITACION</t>
  </si>
  <si>
    <t>48438695</t>
  </si>
  <si>
    <t>CRUZADO JIMENEZ VANESSA CAROLINA</t>
  </si>
  <si>
    <t>LIC, EN ENFERMERIA</t>
  </si>
  <si>
    <t>47624886</t>
  </si>
  <si>
    <t>CUBAS HERRERA ARACELI</t>
  </si>
  <si>
    <t>47350282</t>
  </si>
  <si>
    <t>CUEVA CASTILLO MILEYDI LILIBET</t>
  </si>
  <si>
    <t>45674536</t>
  </si>
  <si>
    <t>CUEVA EUSEBIO EDITH PILAR</t>
  </si>
  <si>
    <t>80243969</t>
  </si>
  <si>
    <t>DAEKAT ANAG URBANO</t>
  </si>
  <si>
    <t>40568517</t>
  </si>
  <si>
    <t>DAVILA BRAVO ESMERALDA</t>
  </si>
  <si>
    <t>77093683</t>
  </si>
  <si>
    <t>DAVILA TERRONES MIGUEL ANGEL</t>
  </si>
  <si>
    <t>45654300</t>
  </si>
  <si>
    <t>DE LA CRUZ HUAPAYA PAMELA MILUSKA</t>
  </si>
  <si>
    <t>46777461</t>
  </si>
  <si>
    <t>DE LA CRUZ SAAVEDRA YAHAIRA TATIANA</t>
  </si>
  <si>
    <t>42545044</t>
  </si>
  <si>
    <t>DE LA CRUZ SANCHEZ JULIO</t>
  </si>
  <si>
    <t>45323406</t>
  </si>
  <si>
    <t>DELGADO DELGADO LUZ AURORA</t>
  </si>
  <si>
    <t>44330995</t>
  </si>
  <si>
    <t>DELGADO HOYOS GINA PATRICIA</t>
  </si>
  <si>
    <t>72221213</t>
  </si>
  <si>
    <t>DELGADO LEON MADALEINI EDITH</t>
  </si>
  <si>
    <t>43137935</t>
  </si>
  <si>
    <t>SOCIOLOGA</t>
  </si>
  <si>
    <t>45659781</t>
  </si>
  <si>
    <t>DIAZ LOZANO DARWIN</t>
  </si>
  <si>
    <t>SOCIOLOGO(A)</t>
  </si>
  <si>
    <t>40287761</t>
  </si>
  <si>
    <t>DIAZ ROJAS ELMER ELVIN</t>
  </si>
  <si>
    <t>ASISTENTE ADM,</t>
  </si>
  <si>
    <t>74561885</t>
  </si>
  <si>
    <t>DIAZ TORO CECILIA LIZBETH</t>
  </si>
  <si>
    <t>42791763</t>
  </si>
  <si>
    <t>ESAMAT CUÑACHI ELIADA</t>
  </si>
  <si>
    <t>42883116</t>
  </si>
  <si>
    <t>ESPINAL PEREZ JOSMELL</t>
  </si>
  <si>
    <t>43796091</t>
  </si>
  <si>
    <t>ESPINOZA ABANTO YOVANNY</t>
  </si>
  <si>
    <t>46877191</t>
  </si>
  <si>
    <t>ESPINOZA ROMERO ELENI</t>
  </si>
  <si>
    <t>33671092</t>
  </si>
  <si>
    <t>ESTELA SILVA MARLENY YANE</t>
  </si>
  <si>
    <t>72675366</t>
  </si>
  <si>
    <t>FARFAN NIZAMA GIULLIANA</t>
  </si>
  <si>
    <t>44769236</t>
  </si>
  <si>
    <t>FARROÑAN TURKOWSKY SEGUNDO FERNANDO</t>
  </si>
  <si>
    <t>LIC. EN TECNOLOGIA MEDICA-ESP.LAB.CLINICO Y ANAT. PATOLÒGICA,</t>
  </si>
  <si>
    <t>41750860</t>
  </si>
  <si>
    <t>FERNANDEZ ALTAMIRANO HECTOR</t>
  </si>
  <si>
    <t>72121032</t>
  </si>
  <si>
    <t>FERNANDEZ MENDOZA LEYDI ESTHER</t>
  </si>
  <si>
    <t>45487746</t>
  </si>
  <si>
    <t>FERNANDEZ PAZ POLL ALEXANDER</t>
  </si>
  <si>
    <t>45709244</t>
  </si>
  <si>
    <t>FLORES HUAMAN ELENA</t>
  </si>
  <si>
    <t>74153532</t>
  </si>
  <si>
    <t>FLORES PEZO JOHANA</t>
  </si>
  <si>
    <t>74366800</t>
  </si>
  <si>
    <t>FLORES SOTO LORENA</t>
  </si>
  <si>
    <t>46147010</t>
  </si>
  <si>
    <t>GALVEZ PAUCAR JESUS ALEXIS</t>
  </si>
  <si>
    <t>42845271</t>
  </si>
  <si>
    <t>GARCIA DIAZ MARIA VIMIA</t>
  </si>
  <si>
    <t>40833383</t>
  </si>
  <si>
    <t>GIL VILLALOBOS ELIZABETH</t>
  </si>
  <si>
    <t>48426983</t>
  </si>
  <si>
    <t>GOMEZ PILCO ZARELITA</t>
  </si>
  <si>
    <t>45215817</t>
  </si>
  <si>
    <t>GONZALES BARRANTES SINDY LOREN</t>
  </si>
  <si>
    <t>41432698</t>
  </si>
  <si>
    <t>GONZALES CORONADO RUTH DIALENE</t>
  </si>
  <si>
    <t>42437922</t>
  </si>
  <si>
    <t>GONZALES MARTINES REYES</t>
  </si>
  <si>
    <t>48008778</t>
  </si>
  <si>
    <t>GONZALES ZUÑE YESENIA MEDALIT</t>
  </si>
  <si>
    <t>41916088</t>
  </si>
  <si>
    <t>GONZALEZ CORONEL WILSON</t>
  </si>
  <si>
    <t>41915648</t>
  </si>
  <si>
    <t>GONZALEZ ROJAS ELIZABETH</t>
  </si>
  <si>
    <t>45599461</t>
  </si>
  <si>
    <t>GUARDA SALAZAR VICTORIA DEL CARMEN</t>
  </si>
  <si>
    <t>48556723</t>
  </si>
  <si>
    <t>GUERRA BACA YENNIFER CLARIVEL</t>
  </si>
  <si>
    <t>33587373</t>
  </si>
  <si>
    <t>GUERRERO SARMIENTO GLADYS</t>
  </si>
  <si>
    <t>43936086</t>
  </si>
  <si>
    <t>GUEVARA CHUECHA KELI</t>
  </si>
  <si>
    <t>44078640</t>
  </si>
  <si>
    <t>GUEVARA ESTELA ELIZABETH</t>
  </si>
  <si>
    <t>33594062</t>
  </si>
  <si>
    <t>GUEVARA LEZCANO ROSA</t>
  </si>
  <si>
    <t>45481676</t>
  </si>
  <si>
    <t>GUTIERREZ ORTEGA KATHERINE LEONELA</t>
  </si>
  <si>
    <t>76467677</t>
  </si>
  <si>
    <t>HEREDIA ZUÑIGA CEYLY DEL ROCIO</t>
  </si>
  <si>
    <t>42985058</t>
  </si>
  <si>
    <t>HERRERA ALBERCA KARINA LISEET</t>
  </si>
  <si>
    <t>41338496</t>
  </si>
  <si>
    <t>HERRERA GUEVARA DAVID</t>
  </si>
  <si>
    <t>43232709</t>
  </si>
  <si>
    <t>HERRERA RIOS VANESSA AMPARO</t>
  </si>
  <si>
    <t>46694827</t>
  </si>
  <si>
    <t>HUAMAN MARRUFO LIZET</t>
  </si>
  <si>
    <t>44262873</t>
  </si>
  <si>
    <t>HUAMANCHUMO FIESTAS ROBERTO CARLOS</t>
  </si>
  <si>
    <t>71217137</t>
  </si>
  <si>
    <t>HUAMANTA VILLA NILSON JOSE</t>
  </si>
  <si>
    <t>QUIMICO FARMACEUTICO Y BIOQUIMICO</t>
  </si>
  <si>
    <t>33586754</t>
  </si>
  <si>
    <t>IGNACIO CAYAO MARIA NORMA</t>
  </si>
  <si>
    <t>44152675</t>
  </si>
  <si>
    <t>INFANTE GARCIA VIELKA BELISA</t>
  </si>
  <si>
    <t>70254115</t>
  </si>
  <si>
    <t>INGA ALIAGA ODALIZ</t>
  </si>
  <si>
    <t>46057762</t>
  </si>
  <si>
    <t>INGA CAMPOS MAXNEIRA</t>
  </si>
  <si>
    <t>TECNICO AUXILIAR DE LABORATORI</t>
  </si>
  <si>
    <t>33596414</t>
  </si>
  <si>
    <t>INOACH SHAWIT BARTOLOME</t>
  </si>
  <si>
    <t>41104703</t>
  </si>
  <si>
    <t>JAUREGUI ALBARADO ELVIRA</t>
  </si>
  <si>
    <t>47732961</t>
  </si>
  <si>
    <t>JEMPETS YAGKITAI ELIGIO</t>
  </si>
  <si>
    <t>44370850</t>
  </si>
  <si>
    <t>JUAN DE DIOS ZARCO MISAEL BANI</t>
  </si>
  <si>
    <t>43925615</t>
  </si>
  <si>
    <t>KUJI SHAWIT MARY LUISA</t>
  </si>
  <si>
    <t>44050380</t>
  </si>
  <si>
    <t>KUNCHIKUI WAMPUTSAG ALVAN</t>
  </si>
  <si>
    <t>73302617</t>
  </si>
  <si>
    <t>LABORIANO PALACIOS ELENA ELIZABETH</t>
  </si>
  <si>
    <t>43581072</t>
  </si>
  <si>
    <t>LEIVA CUSMA BLANCA FLOR</t>
  </si>
  <si>
    <t>44883209</t>
  </si>
  <si>
    <t>LLIUYACC HUANACHIN MONICA</t>
  </si>
  <si>
    <t>33561120</t>
  </si>
  <si>
    <t>MALCA SERNA NORVIL</t>
  </si>
  <si>
    <t>44220337</t>
  </si>
  <si>
    <t>MALDONADO VICENTE ESMILIA</t>
  </si>
  <si>
    <t>76380614</t>
  </si>
  <si>
    <t>MASHIAN AKUTS JOSE LUIS</t>
  </si>
  <si>
    <t>41330244</t>
  </si>
  <si>
    <t>MEDINA BUSTAMANTE YESICA DEL PILAR</t>
  </si>
  <si>
    <t>43512133</t>
  </si>
  <si>
    <t>MEDINA PEREZ ROSALYM</t>
  </si>
  <si>
    <t>47111208</t>
  </si>
  <si>
    <t>MEJIA CRUZ ESTHER</t>
  </si>
  <si>
    <t>44726502</t>
  </si>
  <si>
    <t>MENDOZA SANDOVAL SEGUNDO FERMIN</t>
  </si>
  <si>
    <t>45626511</t>
  </si>
  <si>
    <t>MENDOZA WILCAMANGO YANETH YOVANI</t>
  </si>
  <si>
    <t>75829266</t>
  </si>
  <si>
    <t>MERA FLORES MARILYN NORELY</t>
  </si>
  <si>
    <t xml:space="preserve">TECNICO EN COMPUTACION </t>
  </si>
  <si>
    <t>45233624</t>
  </si>
  <si>
    <t>MERA MORI VILMA SIDUHIT</t>
  </si>
  <si>
    <t>42214679</t>
  </si>
  <si>
    <t>MERA RODRIGO LUCY YANETH</t>
  </si>
  <si>
    <t>46091720</t>
  </si>
  <si>
    <t>MERA ZULUETA CARLOS DARWIN</t>
  </si>
  <si>
    <t>70069729</t>
  </si>
  <si>
    <t>MESTA CARRASCO JESUS ELIZABETH DE FATIMA</t>
  </si>
  <si>
    <t>33591637</t>
  </si>
  <si>
    <t>MEZA LOYAGA SEGUNDO LEONARDO</t>
  </si>
  <si>
    <t>42407295</t>
  </si>
  <si>
    <t>MILIAN COTRINA JOSE WILMER</t>
  </si>
  <si>
    <t>33562893</t>
  </si>
  <si>
    <t>MILIAN FLORES ESPERANZA</t>
  </si>
  <si>
    <t>44125932</t>
  </si>
  <si>
    <t>MILLA SALAZAR LESLIE IVONNE</t>
  </si>
  <si>
    <t>72001866</t>
  </si>
  <si>
    <t>MOLINA NUÑEZ THATIANA JANET</t>
  </si>
  <si>
    <t>40244078</t>
  </si>
  <si>
    <t>MONJA FARROÑAY SILVIA JUDITH</t>
  </si>
  <si>
    <t>42947660</t>
  </si>
  <si>
    <t>MONTALVO DE LA CRUZ FABIAN ALEXANDER</t>
  </si>
  <si>
    <t>43488116</t>
  </si>
  <si>
    <t>MONTENEGRO PAZ JAIME DANIEL</t>
  </si>
  <si>
    <t>33586542</t>
  </si>
  <si>
    <t>MONTEZA IZQUIERDO WALTER</t>
  </si>
  <si>
    <t>45509562</t>
  </si>
  <si>
    <t>MONTEZA SALAZAR JESSICA LIZBET</t>
  </si>
  <si>
    <t>40071223</t>
  </si>
  <si>
    <t>MUÑOZ TUESTA YESSICA MARITA</t>
  </si>
  <si>
    <t>43346236</t>
  </si>
  <si>
    <t>NAMPAG MASHIAN OLICES</t>
  </si>
  <si>
    <t>47925078</t>
  </si>
  <si>
    <t>NANTIP WISUM ORFA</t>
  </si>
  <si>
    <t>33564865</t>
  </si>
  <si>
    <t>NAVARRO REYNA LIDER</t>
  </si>
  <si>
    <t>80402447</t>
  </si>
  <si>
    <t>NEIRA RODRIGUEZ VICTORIANO</t>
  </si>
  <si>
    <t>45186173</t>
  </si>
  <si>
    <t>NEYRA CAMPOVERDE MARIA TEOTISTA</t>
  </si>
  <si>
    <t>72307404</t>
  </si>
  <si>
    <t>NUNTON CORDOVA KAREN MELISSA</t>
  </si>
  <si>
    <t>46119189</t>
  </si>
  <si>
    <t>NUÑEZ ARANA LUIS JOHAN</t>
  </si>
  <si>
    <t>OBSTETRIA</t>
  </si>
  <si>
    <t>80241226</t>
  </si>
  <si>
    <t>NUÑEZ CASTAÑEDA ROSSMERY MELINA</t>
  </si>
  <si>
    <t>45372601</t>
  </si>
  <si>
    <t>OBLITAS CABRERA CLEIDER</t>
  </si>
  <si>
    <t>73424573</t>
  </si>
  <si>
    <t>ORDINOLA ROQUE RICARDO DANFER</t>
  </si>
  <si>
    <t>72199180</t>
  </si>
  <si>
    <t>ORTEGA CASTRO GREISSY MARIBEL</t>
  </si>
  <si>
    <t>48490966</t>
  </si>
  <si>
    <t>PAAPE ANAG IMILDA</t>
  </si>
  <si>
    <t>77286945</t>
  </si>
  <si>
    <t>PAATI SHIJAP GENYN</t>
  </si>
  <si>
    <t>33582847</t>
  </si>
  <si>
    <t>PARINANGO PRADO MARINA BEATRIZ</t>
  </si>
  <si>
    <t>42497351</t>
  </si>
  <si>
    <t>PASAPERA MONTENEGRO WALTER</t>
  </si>
  <si>
    <t>43981529</t>
  </si>
  <si>
    <t>PAUCAR ROJAS MAGALY</t>
  </si>
  <si>
    <t>33595326</t>
  </si>
  <si>
    <t>PEDRAZA ARRASCUE CESAR</t>
  </si>
  <si>
    <t>42233059</t>
  </si>
  <si>
    <t>PERALTA ACUÑA MARIA RAQUEL</t>
  </si>
  <si>
    <t>73975014</t>
  </si>
  <si>
    <t>PERALTA CHINGAY MAYULI</t>
  </si>
  <si>
    <t>33594365</t>
  </si>
  <si>
    <t>PEREZ ALARCON ELENA</t>
  </si>
  <si>
    <t>77211498</t>
  </si>
  <si>
    <t>PEREZ ESPINOZA VICTORIA</t>
  </si>
  <si>
    <t>47399453</t>
  </si>
  <si>
    <t>PEREZ JARA DIANA MERARI</t>
  </si>
  <si>
    <t>71387652</t>
  </si>
  <si>
    <t>PEREZ LALANGUI MIKE SOFIA</t>
  </si>
  <si>
    <t>27752764</t>
  </si>
  <si>
    <t>PERLECHE WILLIS LUIS ALBERTO</t>
  </si>
  <si>
    <t>72189410</t>
  </si>
  <si>
    <t>PESANTES CASTAÑEDA LIZBETH RUBI</t>
  </si>
  <si>
    <t>46133772</t>
  </si>
  <si>
    <t>PIEDRA HUAMAN DANNY KELLY</t>
  </si>
  <si>
    <t>44624426</t>
  </si>
  <si>
    <t>PIITUG WAMPIU ANTONIO</t>
  </si>
  <si>
    <t>42919650</t>
  </si>
  <si>
    <t>PINCHI HUAYNACARI JESSICA</t>
  </si>
  <si>
    <t>46713200</t>
  </si>
  <si>
    <t>PLASENCIA ALVAREZ LAURA CRISTINA</t>
  </si>
  <si>
    <t>73000918</t>
  </si>
  <si>
    <t>PRETELL FERNANDEZ NATALY ARACELLI</t>
  </si>
  <si>
    <t>71594183</t>
  </si>
  <si>
    <t>PROAÑO BRIONES ROSANGELLA LALESCHKA</t>
  </si>
  <si>
    <t>74447314</t>
  </si>
  <si>
    <t>PUYEN GOICOCHEA CREYSI ESTEFANIA</t>
  </si>
  <si>
    <t>45323398</t>
  </si>
  <si>
    <t>QUEZADA GARCIA MARIA LUCINDA</t>
  </si>
  <si>
    <t>16742871</t>
  </si>
  <si>
    <t>QUIROGA MINO MARIBEL ANGELITA</t>
  </si>
  <si>
    <t>47476871</t>
  </si>
  <si>
    <t>QUIROZ GARCIA CLAUDIA FLOR VANESSA</t>
  </si>
  <si>
    <t>46400218</t>
  </si>
  <si>
    <t>QUIROZ NUÑEZ VICTOR HUGO</t>
  </si>
  <si>
    <t>16680439</t>
  </si>
  <si>
    <t>QUISPE FERNANDEZ JUAN DAVIO</t>
  </si>
  <si>
    <t>80619251</t>
  </si>
  <si>
    <t>QUISPE MALCA JUAN CARLOS</t>
  </si>
  <si>
    <t>33593141</t>
  </si>
  <si>
    <t>RACHO BARBOZA ROSANA</t>
  </si>
  <si>
    <t>44094396</t>
  </si>
  <si>
    <t>REAÑO CASTRO CARLOS ALFREDO</t>
  </si>
  <si>
    <t>45899856</t>
  </si>
  <si>
    <t>REGALADO QUINTANA YENNI JACQUELINE</t>
  </si>
  <si>
    <t>43022611</t>
  </si>
  <si>
    <t>RIOS TEJADA JAIME RONAL</t>
  </si>
  <si>
    <t>72208444</t>
  </si>
  <si>
    <t>RISCO CUEVA EVALUNA EDITH</t>
  </si>
  <si>
    <t>TECNICO LABOR.</t>
  </si>
  <si>
    <t>46064798</t>
  </si>
  <si>
    <t>RIVERA VASQUEZ RAFAEL ANGEL</t>
  </si>
  <si>
    <t>TECNICO EN LABORATORIO CLINICO</t>
  </si>
  <si>
    <t>44166761</t>
  </si>
  <si>
    <t>ROCA KININ WILDER EDUARDO</t>
  </si>
  <si>
    <t>42351676</t>
  </si>
  <si>
    <t>ROCA PIITUG LEVIS</t>
  </si>
  <si>
    <t>46817074</t>
  </si>
  <si>
    <t>RODAS GUERRERO JHOANNA MARGOT</t>
  </si>
  <si>
    <t>46688339</t>
  </si>
  <si>
    <t>RODRIGUEZ SOPLA TANIA LILI</t>
  </si>
  <si>
    <t>71067328</t>
  </si>
  <si>
    <t>ROJAS FERNANDEZ YEINY LUSBEIDY</t>
  </si>
  <si>
    <t>41235805</t>
  </si>
  <si>
    <t>ROJAS NAVARRO ALICIA DEL ROCIO</t>
  </si>
  <si>
    <t>41472677</t>
  </si>
  <si>
    <t>ROJAS SANTA CRUZ MAGALI</t>
  </si>
  <si>
    <t>80255037</t>
  </si>
  <si>
    <t>ROJAS TORRES PERCY</t>
  </si>
  <si>
    <t>46602253</t>
  </si>
  <si>
    <t>ROJAS VASQUEZ ROLANDO</t>
  </si>
  <si>
    <t>01004394</t>
  </si>
  <si>
    <t>ROMERO FERNANDEZ CRISOLOGO</t>
  </si>
  <si>
    <t>33595459</t>
  </si>
  <si>
    <t>ROQUE MEGO MARIA LIDIA</t>
  </si>
  <si>
    <t>47557842</t>
  </si>
  <si>
    <t>ROSAS BAYLON MARLENI LIZBETH</t>
  </si>
  <si>
    <t>10422938</t>
  </si>
  <si>
    <t>ROSILLO CHOQUE AURA MILENA</t>
  </si>
  <si>
    <t>33675719</t>
  </si>
  <si>
    <t>RUIZ MECA GLADYS AMELIA</t>
  </si>
  <si>
    <t>45821447</t>
  </si>
  <si>
    <t>SAAVEDRA ECHEVERRE EDSON GULLIT VLADIMIR</t>
  </si>
  <si>
    <t>44430937</t>
  </si>
  <si>
    <t>SAAVEDRA TORRES CARMEN ANTONIA</t>
  </si>
  <si>
    <t>47790756</t>
  </si>
  <si>
    <t>SAENZ FERNANDEZ ERIKA ZILA</t>
  </si>
  <si>
    <t>43470720</t>
  </si>
  <si>
    <t>SALAZAR LOZANO WILLINTON</t>
  </si>
  <si>
    <t>47219524</t>
  </si>
  <si>
    <t>SALAZAR MARTINEZ JOSE RAUL</t>
  </si>
  <si>
    <t>44411937</t>
  </si>
  <si>
    <t>SALDAÑA PEREZ GEMNY MILLY</t>
  </si>
  <si>
    <t>70084622</t>
  </si>
  <si>
    <t>SALDAÑA TRONCOS JANY KARINA</t>
  </si>
  <si>
    <t>BACHILLER EN CONT</t>
  </si>
  <si>
    <t>41976364</t>
  </si>
  <si>
    <t>SANCHEZ ALARCON LEYNER</t>
  </si>
  <si>
    <t>46047797</t>
  </si>
  <si>
    <t>SANCHEZ ALAYA GISELA KATIA</t>
  </si>
  <si>
    <t>44638952</t>
  </si>
  <si>
    <t>SANCHEZ DIAZ KEILA</t>
  </si>
  <si>
    <t>45672652</t>
  </si>
  <si>
    <t>SANCHEZ ESTELA SUSANN JACQUELINE</t>
  </si>
  <si>
    <t>44765169</t>
  </si>
  <si>
    <t>SANCHEZ GRANDEZ HEIDY YANIRIS</t>
  </si>
  <si>
    <t>33573741</t>
  </si>
  <si>
    <t>SANCHEZ HERNANDEZ MARI ESTEHER</t>
  </si>
  <si>
    <t>47502438</t>
  </si>
  <si>
    <t>SANCHEZ MEGO MONICA MILAGROS</t>
  </si>
  <si>
    <t>47520797</t>
  </si>
  <si>
    <t>SANTA CRUZ MALCA JUAN CARLOS</t>
  </si>
  <si>
    <t>45253289</t>
  </si>
  <si>
    <t>SANTA CRUZ VASQUEZ JHOMER ALBERTO</t>
  </si>
  <si>
    <t>76314268</t>
  </si>
  <si>
    <t>SAUCEDO CARRILLO MARILYN YESENIA</t>
  </si>
  <si>
    <t>80514187</t>
  </si>
  <si>
    <t>SEGURA CUBAS DANTE VIRGILIO</t>
  </si>
  <si>
    <t>42995534</t>
  </si>
  <si>
    <t>SEGURA GUEVARA VICTORIA YSABEL</t>
  </si>
  <si>
    <t>46773808</t>
  </si>
  <si>
    <t>SEGURA OLANO LUIS MIGUEL</t>
  </si>
  <si>
    <t>71242824</t>
  </si>
  <si>
    <t>SERNAQUE ABADIE ANITA STEPHANY</t>
  </si>
  <si>
    <t>41845492</t>
  </si>
  <si>
    <t>SERRANO ALAYO YESBHEL SAUL</t>
  </si>
  <si>
    <t>ESPECIALISTA EN SOPORTE INFORMATICO</t>
  </si>
  <si>
    <t>41768484</t>
  </si>
  <si>
    <t>SERRANO CARRANZA KENETT RONALD</t>
  </si>
  <si>
    <t>75244257</t>
  </si>
  <si>
    <t>SERVAN TRIGOSO MIGUEL ANGEL</t>
  </si>
  <si>
    <t>46234814</t>
  </si>
  <si>
    <t>SHAWIT CHAMIK LEONIDAS</t>
  </si>
  <si>
    <t>46772148</t>
  </si>
  <si>
    <t>SOLIS DE LA CRUZ YANINA VANESSA</t>
  </si>
  <si>
    <t>44415246</t>
  </si>
  <si>
    <t>SOTO ARMAS FREDY ENER</t>
  </si>
  <si>
    <t>42207946</t>
  </si>
  <si>
    <t>SOTO PAREDES DIANA VILMA</t>
  </si>
  <si>
    <t>44839756</t>
  </si>
  <si>
    <t>SUAREZ FLORES LAINER</t>
  </si>
  <si>
    <t>46626032</t>
  </si>
  <si>
    <t>TAFUR GONZALES JAIRO</t>
  </si>
  <si>
    <t>44625395</t>
  </si>
  <si>
    <t>TAKI SUGKA CLEVER</t>
  </si>
  <si>
    <t>46658087</t>
  </si>
  <si>
    <t>TANTALEAN CIEZA EDINSON</t>
  </si>
  <si>
    <t>45301569</t>
  </si>
  <si>
    <t>TAQUI PAZ DATY EDGAR</t>
  </si>
  <si>
    <t>75495369</t>
  </si>
  <si>
    <t>TEJADA SANTAMARIA ALEXANDRA MILAGROS</t>
  </si>
  <si>
    <t>70930990</t>
  </si>
  <si>
    <t>TENE VARGAS FRANK DAVID</t>
  </si>
  <si>
    <t>45571211</t>
  </si>
  <si>
    <t>TERRONES CARRASCO MARINA JHENIFFER</t>
  </si>
  <si>
    <t>42627896</t>
  </si>
  <si>
    <t>TERRONES DELGADO YELINA GUISSELA</t>
  </si>
  <si>
    <t>33572701</t>
  </si>
  <si>
    <t>TERRONES OLIVERA YGNACIO</t>
  </si>
  <si>
    <t>45082268</t>
  </si>
  <si>
    <t>TIMANA MONTEZA GRACIELA DEL PILAR</t>
  </si>
  <si>
    <t>42341248</t>
  </si>
  <si>
    <t>TINEO TANTARICO LUCILA</t>
  </si>
  <si>
    <t>43145988</t>
  </si>
  <si>
    <t>TIWI TSAMAJAIN OBLITAS</t>
  </si>
  <si>
    <t>45424361</t>
  </si>
  <si>
    <t>TORRES CABRERA NIDIA JULIANA</t>
  </si>
  <si>
    <t>00826852</t>
  </si>
  <si>
    <t>TORRES CRUZ ALEJANDRINA</t>
  </si>
  <si>
    <t>42250305</t>
  </si>
  <si>
    <t>TSAJUPUT WAJAJAY MARIA BERTHA</t>
  </si>
  <si>
    <t>40943752</t>
  </si>
  <si>
    <t>UGKUCH TIWI ALGARCIO</t>
  </si>
  <si>
    <t>41424642</t>
  </si>
  <si>
    <t>URBINA ROJAS HELDER</t>
  </si>
  <si>
    <t>75660749</t>
  </si>
  <si>
    <t>URIARTE TAFUR YANETH</t>
  </si>
  <si>
    <t>45211939</t>
  </si>
  <si>
    <t>VALDEZ SANTILLAN TEOFILO</t>
  </si>
  <si>
    <t>47175065</t>
  </si>
  <si>
    <t>VALDIVIA FERNANDEZ JENRRY</t>
  </si>
  <si>
    <t>46013050</t>
  </si>
  <si>
    <t>VALLE DIAZ LUZ AURORA</t>
  </si>
  <si>
    <t>45650681</t>
  </si>
  <si>
    <t>VALQUI TUESTA MARTITA</t>
  </si>
  <si>
    <t>73545751</t>
  </si>
  <si>
    <t>VARGAS CABALLERO DANIELA ESTHER</t>
  </si>
  <si>
    <t>46628687</t>
  </si>
  <si>
    <t>VASQUEZ CUBAS ADALI</t>
  </si>
  <si>
    <t>42064708</t>
  </si>
  <si>
    <t>VASQUEZ GUERRERO ELIDA LILIANA</t>
  </si>
  <si>
    <t>33595271</t>
  </si>
  <si>
    <t>VASQUEZ MEJIA AUSTRAGILDA</t>
  </si>
  <si>
    <t>33595869</t>
  </si>
  <si>
    <t>VASQUEZ MEJIA FAUSTINA</t>
  </si>
  <si>
    <t>45567212</t>
  </si>
  <si>
    <t>VASQUEZ OLIVERA NOEMI</t>
  </si>
  <si>
    <t>44260698</t>
  </si>
  <si>
    <t>VASQUEZ RODRIGUEZ ANGELICA MARIA</t>
  </si>
  <si>
    <t>43593073</t>
  </si>
  <si>
    <t>VASQUEZ SANCHEZ MAGALY</t>
  </si>
  <si>
    <t>43842308</t>
  </si>
  <si>
    <t>VASQUEZ TORRES ELIZABETH</t>
  </si>
  <si>
    <t>80346679</t>
  </si>
  <si>
    <t>VASQUEZ TORRES RAUL</t>
  </si>
  <si>
    <t>33590103</t>
  </si>
  <si>
    <t>VASQUEZ VARGAS MARIA TANIA</t>
  </si>
  <si>
    <t>75995498</t>
  </si>
  <si>
    <t>VEGA BECERRA DALILA RENE</t>
  </si>
  <si>
    <t>10249703</t>
  </si>
  <si>
    <t>VEGA CHACALIAZA JOSE EDUARDO</t>
  </si>
  <si>
    <t>73123532</t>
  </si>
  <si>
    <t>VEGA DAVILA SHEYLA ARACELI</t>
  </si>
  <si>
    <t>33586611</t>
  </si>
  <si>
    <t>VENTURA CALDERON MARIA YOLANDA</t>
  </si>
  <si>
    <t>44163493</t>
  </si>
  <si>
    <t>VENTURA ROJAS LUZ MARIBEL</t>
  </si>
  <si>
    <t>43959012</t>
  </si>
  <si>
    <t>VERA HERRERA GINA DEL ROSARIO</t>
  </si>
  <si>
    <t>42606693</t>
  </si>
  <si>
    <t>VIGIL ROMERO DANTE NIXON</t>
  </si>
  <si>
    <t>33569916</t>
  </si>
  <si>
    <t>VIGO CRUZADO CARLOS MIGUEL</t>
  </si>
  <si>
    <t>33592677</t>
  </si>
  <si>
    <t>TECNICA EN COMPUTACION</t>
  </si>
  <si>
    <t>16802614</t>
  </si>
  <si>
    <t>VILCHERRES VELASQUEZ VERONICA MILAGROS</t>
  </si>
  <si>
    <t>46866590</t>
  </si>
  <si>
    <t>VILCHEZ CHUQUILIN JESSICA CATALINA</t>
  </si>
  <si>
    <t>42753326</t>
  </si>
  <si>
    <t>VILCHEZ DAGOSTINO PAOLA ANDREA</t>
  </si>
  <si>
    <t>41887666</t>
  </si>
  <si>
    <t>VILCHEZ RAMIREZ PERCY</t>
  </si>
  <si>
    <t>41594026</t>
  </si>
  <si>
    <t>VILLA GALVEZ WILIAN</t>
  </si>
  <si>
    <t>77475493</t>
  </si>
  <si>
    <t>VILLANUEVA SALAZAR KARINA ANTONELLA</t>
  </si>
  <si>
    <t>40103573</t>
  </si>
  <si>
    <t>VIVES CASUSOL VIOLETA ANGELA GLORIA</t>
  </si>
  <si>
    <t>43324713</t>
  </si>
  <si>
    <t>WAJAJAY YAUN JUAN DAVID</t>
  </si>
  <si>
    <t>80249371</t>
  </si>
  <si>
    <t>WASUM SHAKAI ABEL</t>
  </si>
  <si>
    <t>33596711</t>
  </si>
  <si>
    <t>WEEPIU AMPAM EMILIANO</t>
  </si>
  <si>
    <t>45320725</t>
  </si>
  <si>
    <t>YAGKUG JEMPE HERNAN</t>
  </si>
  <si>
    <t>45345021</t>
  </si>
  <si>
    <t>YARLEQUE MORE ANALI DE LOS ANGELES</t>
  </si>
  <si>
    <t>43527221</t>
  </si>
  <si>
    <t>YAUN DASEM MONICA</t>
  </si>
  <si>
    <t>41382453</t>
  </si>
  <si>
    <t>YESQUEN CHIRA ESMERALDA SILVIA</t>
  </si>
  <si>
    <t>TECNICO ASIS,</t>
  </si>
  <si>
    <t>48375403</t>
  </si>
  <si>
    <t>AREVALO CARRERO SHEILA LUCERO TATIANA</t>
  </si>
  <si>
    <t>70550974</t>
  </si>
  <si>
    <t>ASTOCHADO GRANADOS THALIA TATIANA</t>
  </si>
  <si>
    <t>AUXILIAR DE ENFERMERIA</t>
  </si>
  <si>
    <t>71334547</t>
  </si>
  <si>
    <t>ATUNCAR BALAREZO MILAGROS</t>
  </si>
  <si>
    <t>40802157</t>
  </si>
  <si>
    <t>BALTAZAR ORUNA YOVANY ARACELIS</t>
  </si>
  <si>
    <t>LICENCIADA EN PSICOLOGIA</t>
  </si>
  <si>
    <t>33571078</t>
  </si>
  <si>
    <t>BARBOZA RAFAEL JOSE ALEJANDRO</t>
  </si>
  <si>
    <t>16656777</t>
  </si>
  <si>
    <t>BRACO MEJIA VICKY MARIELA</t>
  </si>
  <si>
    <t>LIC EN ESTADISTICA</t>
  </si>
  <si>
    <t>72731395</t>
  </si>
  <si>
    <t>BURGA MORI NATALI YESSENIA</t>
  </si>
  <si>
    <t>72374456</t>
  </si>
  <si>
    <t>CAMPOS PAZ DOUGLAS JOAO</t>
  </si>
  <si>
    <t>48116077</t>
  </si>
  <si>
    <t>CANTA POQUIOMA JEIDI</t>
  </si>
  <si>
    <t>45513007</t>
  </si>
  <si>
    <t>CARRANZA MUÑOZ ELVIR</t>
  </si>
  <si>
    <t>47503520</t>
  </si>
  <si>
    <t>CASTILLO LUNA CARMEN ALBANI</t>
  </si>
  <si>
    <t>LIC. EN OBSTETRICIA</t>
  </si>
  <si>
    <t>LIC. EN BIOLOGIA, MICROBIOLOGIA Y PARASITOLOGIA,</t>
  </si>
  <si>
    <t>48039151</t>
  </si>
  <si>
    <t>CHAVEZ TELLO YANELIS</t>
  </si>
  <si>
    <t>LIC. EN TECNOLOGIA MEDICA-ESP.LAB.CLINICO Y ANAT. PATOLÒGICA</t>
  </si>
  <si>
    <t>43696555</t>
  </si>
  <si>
    <t>CUBAS GUEVARA NELLY BERSABE</t>
  </si>
  <si>
    <t>44669051</t>
  </si>
  <si>
    <t>DIAZ RODRIGUEZ ROSA FLOR</t>
  </si>
  <si>
    <t>40756430</t>
  </si>
  <si>
    <t>FERNANDEZ ROMERO JOEL</t>
  </si>
  <si>
    <t>BACHILLER EN DEREHO</t>
  </si>
  <si>
    <t>45620261</t>
  </si>
  <si>
    <t>HERNANDEZ PAZ STEFANY BRISSET</t>
  </si>
  <si>
    <t>AUXILIAR EN LABORATORIO</t>
  </si>
  <si>
    <t>72356106</t>
  </si>
  <si>
    <t>INFANTE REQUEJO CESAR IVAN</t>
  </si>
  <si>
    <t>ESTUDIANTE DE LA FACULTAD DE BIOLOGIA</t>
  </si>
  <si>
    <t>72035221</t>
  </si>
  <si>
    <t>LESCANO ANCAJIMA ASTRID MERCEDES</t>
  </si>
  <si>
    <t>43725714</t>
  </si>
  <si>
    <t>LLAMO JULCA RONAL EDUARDO</t>
  </si>
  <si>
    <t>44133195</t>
  </si>
  <si>
    <t>NUÑEZ ARANA ROXANA LUCILA</t>
  </si>
  <si>
    <t>77017820</t>
  </si>
  <si>
    <t>PAREDES TOLEDO JORGE</t>
  </si>
  <si>
    <t>BACHILLER EN ING. SIST. INF,</t>
  </si>
  <si>
    <t>SECUNDARIALCOMONTENEGPLELA</t>
  </si>
  <si>
    <t>BACHILLER EN ADMINIST,</t>
  </si>
  <si>
    <t>44506966</t>
  </si>
  <si>
    <t>PIZARRO MONTENEGRO GRELY LUCIA</t>
  </si>
  <si>
    <t>EGRESADA TECNICO EN ENFERMERIA</t>
  </si>
  <si>
    <t>BACHILLER EN CONTAB.</t>
  </si>
  <si>
    <t>72757294</t>
  </si>
  <si>
    <t>SANCHEZ VILLALOBOS MARIA ROXANA</t>
  </si>
  <si>
    <t>INGENIERO DE SISTEMAS INFORMATICOS</t>
  </si>
  <si>
    <t>33595248</t>
  </si>
  <si>
    <t>SUAREZ SANTA CRUZ FROD</t>
  </si>
  <si>
    <t>42000177</t>
  </si>
  <si>
    <t>VELARDE FLORES LAURA ELITA</t>
  </si>
  <si>
    <t>80242595</t>
  </si>
  <si>
    <t>VILLALOBOS OLIVOS MARIA YOLANDA</t>
  </si>
  <si>
    <t>70068475</t>
  </si>
  <si>
    <t>VILLALOBOS TORO DALIA</t>
  </si>
  <si>
    <t>46177644</t>
  </si>
  <si>
    <t>ZUÑIGA BUENO SEGUNDO MARTIN</t>
  </si>
  <si>
    <t>45100679</t>
  </si>
  <si>
    <t>AGUILAR AYALA EDWIN MANUEL</t>
  </si>
  <si>
    <t>AGUILAR MALDONADO JEAN CARLOS</t>
  </si>
  <si>
    <t>41693898</t>
  </si>
  <si>
    <t>ALBAN BAUTISTA EDWIN PAOL</t>
  </si>
  <si>
    <t>75934684</t>
  </si>
  <si>
    <t>ASCURRA SAUCEDO MARCO ANTONIO</t>
  </si>
  <si>
    <t>47235254</t>
  </si>
  <si>
    <t>BANCES ROMAN BRIGGITT ROSMERY</t>
  </si>
  <si>
    <t>46716805</t>
  </si>
  <si>
    <t>BUSTAMANTE MONTALVO JESUS</t>
  </si>
  <si>
    <t>48107243</t>
  </si>
  <si>
    <t>CAJUSOL SIADEN KATHERINE LIZETH</t>
  </si>
  <si>
    <t>74468563</t>
  </si>
  <si>
    <t>CALLE WAMPIU LADY</t>
  </si>
  <si>
    <t>CARHUANINA ZAPATA BETSY LISBETH</t>
  </si>
  <si>
    <t>77674010</t>
  </si>
  <si>
    <t>CARRERA PEREZ JEHIMI JAASMIN</t>
  </si>
  <si>
    <t>70059555</t>
  </si>
  <si>
    <t>CHAMBIO TOCTO MARYURI CESARINA</t>
  </si>
  <si>
    <t>46438407</t>
  </si>
  <si>
    <t>CHAVEZ POLO MILCA MAGDALENA</t>
  </si>
  <si>
    <t>71828535</t>
  </si>
  <si>
    <t>CIEZA TORO DIALENI MARILI</t>
  </si>
  <si>
    <t>72496245</t>
  </si>
  <si>
    <t>CORTEZ FOX KATIA MICAELA</t>
  </si>
  <si>
    <t>44169775</t>
  </si>
  <si>
    <t>DIAZ ALTAMIRANO JOEL</t>
  </si>
  <si>
    <t>71877231</t>
  </si>
  <si>
    <t>ESPINOZA CADILLO YULI MARIA</t>
  </si>
  <si>
    <t>48084713</t>
  </si>
  <si>
    <t>HERNANDEZ DAVILA MAGDALENA</t>
  </si>
  <si>
    <t>76001812</t>
  </si>
  <si>
    <t>HOYOS QUIROZ WILMER JESUS</t>
  </si>
  <si>
    <t>47077550</t>
  </si>
  <si>
    <t>HUAMAN DE LA CRUZ JOEL</t>
  </si>
  <si>
    <t>74316598</t>
  </si>
  <si>
    <t>HUAMAN MOZA LIZBETH NATHALY</t>
  </si>
  <si>
    <t>74819352</t>
  </si>
  <si>
    <t>HUAMAN SUYON ANGELA ELIZABET</t>
  </si>
  <si>
    <t>TECNICO EN LABORATORIIO CLINICO</t>
  </si>
  <si>
    <t>73318798</t>
  </si>
  <si>
    <t>HUAYTALLA HERRERA JHERFEEN ALEXIS</t>
  </si>
  <si>
    <t>43812267</t>
  </si>
  <si>
    <t>IDROGO OLANO NELSO</t>
  </si>
  <si>
    <t>47783599</t>
  </si>
  <si>
    <t>IGNACIO GASCO NELSON EDUAR</t>
  </si>
  <si>
    <t>73218837</t>
  </si>
  <si>
    <t>JARA AQUINO ENRIQUE WILFREDO</t>
  </si>
  <si>
    <t>41105924</t>
  </si>
  <si>
    <t>JARA CALDERON NILO</t>
  </si>
  <si>
    <t>48327324</t>
  </si>
  <si>
    <t>JULCA HUACCHILLO CRISTINA</t>
  </si>
  <si>
    <t>TECNICO  EN LABORATORIO</t>
  </si>
  <si>
    <t>40865986</t>
  </si>
  <si>
    <t>LEON CARRASCO FLOR GRACIELA</t>
  </si>
  <si>
    <t>46039182</t>
  </si>
  <si>
    <t>MEGO GARCIA DARLYS MASSIEL</t>
  </si>
  <si>
    <t>33672562</t>
  </si>
  <si>
    <t>MEGO MORI EVA MARIA</t>
  </si>
  <si>
    <t>73433831</t>
  </si>
  <si>
    <t>MENDOZA ESPINOZA IRWIN LORENZO</t>
  </si>
  <si>
    <t>75668546</t>
  </si>
  <si>
    <t>MIJA SOTO JUANITA YANINA</t>
  </si>
  <si>
    <t>76056120</t>
  </si>
  <si>
    <t>MONDRAGON FLORES ANDREA NICOL</t>
  </si>
  <si>
    <t>76669124</t>
  </si>
  <si>
    <t>NAJAMTAI SEJEKAM KAREN WENDY</t>
  </si>
  <si>
    <t>47585583</t>
  </si>
  <si>
    <t>NEIRA GONZALES JAVIER</t>
  </si>
  <si>
    <t>47309901</t>
  </si>
  <si>
    <t>NEIRA LOZADA LUIS MARLO</t>
  </si>
  <si>
    <t>47009127</t>
  </si>
  <si>
    <t>NORIEGA APONTE EDGAR LUIS</t>
  </si>
  <si>
    <t>70444278</t>
  </si>
  <si>
    <t>NORIEGA MUÑOZ HERRLICH JENNIFER</t>
  </si>
  <si>
    <t>40833762</t>
  </si>
  <si>
    <t>PADILLA SANCHEZ MARTHA ANGELICA</t>
  </si>
  <si>
    <t>73971107</t>
  </si>
  <si>
    <t>PALOMINO LLERENA INGRID KIMBERLY</t>
  </si>
  <si>
    <t>70229750</t>
  </si>
  <si>
    <t>PANAIJO OJANAMA ELIAS</t>
  </si>
  <si>
    <t>47297820</t>
  </si>
  <si>
    <t>PEÑA NOEL NURY TATIANA</t>
  </si>
  <si>
    <t>48022518</t>
  </si>
  <si>
    <t>PULSE CUBAS MIRIAM JHANETH</t>
  </si>
  <si>
    <t>46072972</t>
  </si>
  <si>
    <t>QUIROZ AMPUERO JOSE MIGUEL</t>
  </si>
  <si>
    <t>46236734</t>
  </si>
  <si>
    <t>RAMIREZ CALLE JOHANA CAROLINA</t>
  </si>
  <si>
    <t>70804003</t>
  </si>
  <si>
    <t>RAMIREZ GUTIERREZ ZULMA LIZ</t>
  </si>
  <si>
    <t>47568762</t>
  </si>
  <si>
    <t>RAMIREZ GUZMAN MARIA ERLITA</t>
  </si>
  <si>
    <t>77036812</t>
  </si>
  <si>
    <t>REQUEJO CHANDORA FILOMENA ELIZABETH</t>
  </si>
  <si>
    <t>73573501</t>
  </si>
  <si>
    <t>REQUEJO RUIZ NEISER</t>
  </si>
  <si>
    <t>73595329</t>
  </si>
  <si>
    <t>RIMARACHIN RAFAEL YESSENIA LISSBET</t>
  </si>
  <si>
    <t>47972914</t>
  </si>
  <si>
    <t>RODAS AGUILAR BIANCA NATALI</t>
  </si>
  <si>
    <t>45629257</t>
  </si>
  <si>
    <t>ROJAS CALDERON EL SABIO JORGE LUIS ALBERTO</t>
  </si>
  <si>
    <t>76366263</t>
  </si>
  <si>
    <t>SAMEKASH BAKUANTS NELSI</t>
  </si>
  <si>
    <t>71053275</t>
  </si>
  <si>
    <t>SARMIENTO RUIZ THALIA ESTEPHANY DEL PILAR</t>
  </si>
  <si>
    <t>33598977</t>
  </si>
  <si>
    <t>SEJEKAN YUBAN ROLANDO</t>
  </si>
  <si>
    <t>71822629</t>
  </si>
  <si>
    <t>TERAN PEREZ MILAGROS</t>
  </si>
  <si>
    <t>47734678</t>
  </si>
  <si>
    <t>TIRADO MONTENEGRO JOSIAS NATANAHEL</t>
  </si>
  <si>
    <t>47999851</t>
  </si>
  <si>
    <t>VALDEZ TAFUR NERI</t>
  </si>
  <si>
    <t>48686869</t>
  </si>
  <si>
    <t>VALLEJOS DIAZ NAHIARA MONTSERRATT</t>
  </si>
  <si>
    <t>74318464</t>
  </si>
  <si>
    <t>VASQUEZ ILATOMA ERICKA LISSET</t>
  </si>
  <si>
    <t>76654823</t>
  </si>
  <si>
    <t>VILLA MORI MORELIA</t>
  </si>
  <si>
    <t>70078297</t>
  </si>
  <si>
    <t>ZAMORA ROJAS JOSE CARLOS</t>
  </si>
  <si>
    <t>LOCACION DE SERVICIO</t>
  </si>
  <si>
    <t>SERVICIO DE APOYO TECNICO EN TEMAS DE SALUD</t>
  </si>
  <si>
    <t xml:space="preserve"> BARBOZA ALAYA ROSMERY</t>
  </si>
  <si>
    <t>TECNICO SUPERIOR</t>
  </si>
  <si>
    <t>TITULO TECNICO</t>
  </si>
  <si>
    <t xml:space="preserve"> LEON CARRASCO FLOR GRACIELA</t>
  </si>
  <si>
    <t>ACHUAG ACHUAG RODRIGUEZ</t>
  </si>
  <si>
    <t>ALVA PEREZ ROSA JUANA</t>
  </si>
  <si>
    <t>ARRIBASPLATA PISCO LUZ MARIA</t>
  </si>
  <si>
    <t>SERVICIO DE DIGITACION</t>
  </si>
  <si>
    <t>BUSTAMANTE ZORRILLA NILDA</t>
  </si>
  <si>
    <t>SERVICIO DE ATENCION AMBULATORIA</t>
  </si>
  <si>
    <t>CABALLERO CUTIPA JHON DANTE</t>
  </si>
  <si>
    <t>MEDICINA HUMANA</t>
  </si>
  <si>
    <t>COLLANTES NUÑEZ YANET</t>
  </si>
  <si>
    <t>CRUZ RAMOS CLARIZA</t>
  </si>
  <si>
    <t>07492500</t>
  </si>
  <si>
    <t>DELGADO GIL MONICA DEL PILAR</t>
  </si>
  <si>
    <t>SERVICIO DE APOYO ADMINISTRATIVO</t>
  </si>
  <si>
    <t>DIAZ OLIVA CESAR ANTONIO</t>
  </si>
  <si>
    <t>SERVICIO DE TECNICA EN ENFERMERIA PARA ATENCIONES EN CONSULTA EXTERNA</t>
  </si>
  <si>
    <t>SERVICIO DE QUIMICO FARMACEUTICO ESPECIALIZADO EN EL SERVICIO DE FARMACIA CENTRAL</t>
  </si>
  <si>
    <t>HUIMAN ALTAMIRANO MARIA ELITA</t>
  </si>
  <si>
    <t>SERVICIO DE APOYO AL DIAGNOSTICO - LABORATORIO CLINICO</t>
  </si>
  <si>
    <t>LIZANA CRUZADO DANIELA NIKOLL</t>
  </si>
  <si>
    <t>LOPEZ HERNANDEZ CLEYDY FLORIBEL</t>
  </si>
  <si>
    <t>MARCHENA PALACIOS NANCI</t>
  </si>
  <si>
    <t>SERVICIO SECRETARIAL Y ORDENAMIENTO ARCHIVISTICO</t>
  </si>
  <si>
    <t>MERA FLORES DOLLY MARIAM</t>
  </si>
  <si>
    <t>MERCHOL DIAZ HELEN ROSSMERY</t>
  </si>
  <si>
    <t>SERVICIO MANTENIMIENTO Y DE LIMPIEZA DE LOCAL</t>
  </si>
  <si>
    <t>PEREZ MOLINA JOSE RIGOBERTO</t>
  </si>
  <si>
    <t>SIN PROFESION</t>
  </si>
  <si>
    <t>SERVICIO DE ASISTENTE ADMINISTRATIVO Y LOGISTICO</t>
  </si>
  <si>
    <t>PINEDO DIAZ OMAR</t>
  </si>
  <si>
    <t>SERVICIO DE APOYO EN SISTEMAS INFORMATICOS</t>
  </si>
  <si>
    <t>RIMARACHIN ALARCON LEIDY ROXANA</t>
  </si>
  <si>
    <t>RIVEROS BERNA ANITA LUCIA</t>
  </si>
  <si>
    <t>SERVICIO DE REGISTRO Y DIGITACION DE SALIDA  DE MEDICAMENTOS, MATERIAL MEDICO Y PRODUCTOS FARMACEUTICOS Y AFINES</t>
  </si>
  <si>
    <t>RODRIGUEZ ORTIZ YESELI MILENA</t>
  </si>
  <si>
    <t>RODRIGUEZ PERALTA RYBYN PAVEL</t>
  </si>
  <si>
    <t>ROJAS AÑAZCO LUIS LEANDRO DE JESUS</t>
  </si>
  <si>
    <t>ATENCIONES ESPECIALIZADAS EN APOYO A ENFERMERIA</t>
  </si>
  <si>
    <t>ROJAS ZUÑIGA YANELI PILAR</t>
  </si>
  <si>
    <t>ENFERMERIA</t>
  </si>
  <si>
    <t>SANCHEZ ALAYA JESSICA PATRICIA</t>
  </si>
  <si>
    <t>SERVICIO DE APOYO EN LA SEGURIDAD Y VIGILANCIA DE LOCALES</t>
  </si>
  <si>
    <t>SUAREZ BECERRA JANELY</t>
  </si>
  <si>
    <t>SERVICIO ESPECIALIZADO DE OBSTETRICIA</t>
  </si>
  <si>
    <t>TAKAYAMA ZELADA ANA ISABEL</t>
  </si>
  <si>
    <t>TARRILLO MERA YOSANALI</t>
  </si>
  <si>
    <t>UGKUM JINTACH SERGIO</t>
  </si>
  <si>
    <t>UGKUSH MAYAN KELVIN</t>
  </si>
  <si>
    <t>VALLEJOS TORRES MARITZA</t>
  </si>
  <si>
    <t>VASQUEZ RIVERA YESSICA MALENI</t>
  </si>
  <si>
    <t>SERVICIO DE AUXILIAR EN ENFERMERÍA</t>
  </si>
  <si>
    <t>SERVICIO DE SOPORTE INFORMATICO</t>
  </si>
  <si>
    <t>VIDARTE OCHOA JUAN CARLOS</t>
  </si>
  <si>
    <t>ZABALETA EPIQUIEN MARJHORY</t>
  </si>
  <si>
    <t>SERVICIO DE LIMPIEZA DE LOCALES</t>
  </si>
  <si>
    <t xml:space="preserve">FLORES ALVARADO MARIBEL </t>
  </si>
  <si>
    <t>BARBOZA TUESTA LITA ANILDA</t>
  </si>
  <si>
    <t>4</t>
  </si>
  <si>
    <t>CHAMIK TSEGKUAN LUCRECIA</t>
  </si>
  <si>
    <t>DIAZ OLIVERA ELVA JUDIT</t>
  </si>
  <si>
    <t>DIAZ SILVA DERLY</t>
  </si>
  <si>
    <t>JUWAU PAATI MELISSA</t>
  </si>
  <si>
    <t>WEEPIU YUBAU MAIRA PILAR</t>
  </si>
  <si>
    <t>NINAQUISPE DELGADO MARLENY</t>
  </si>
  <si>
    <t>VASQUEZ PEREZ MAYRA LISET</t>
  </si>
  <si>
    <t>VILLEGAS CARRASCO ROSARIA ELIZABETH</t>
  </si>
  <si>
    <t>SERVICIO DE ENFERMERÍA</t>
  </si>
  <si>
    <t>DÍAZ COLLANTES MARÍA EDITH</t>
  </si>
  <si>
    <t>SERVICIO DE PROCESAMIENTO DE DATOS</t>
  </si>
  <si>
    <t>CHAPOÑAN FERNANDEZ SYNTYA VERONICA LIZ</t>
  </si>
  <si>
    <t>402 - 998 HOSPITAL DE APOYO CHACHAPOYAS</t>
  </si>
  <si>
    <t>46552267</t>
  </si>
  <si>
    <t>AGUILAR CAMAN VIANNEY NOEMI</t>
  </si>
  <si>
    <t>LIC. EN ENFERMERÍA</t>
  </si>
  <si>
    <t>41574081</t>
  </si>
  <si>
    <t>AGUIRRE HUABLOCHO KARINA NATIVIDAD</t>
  </si>
  <si>
    <t>BACH EN ADMINISTRACIÓN</t>
  </si>
  <si>
    <t>43474521</t>
  </si>
  <si>
    <t>ALDAZ CAMPOVERDE JESUS FERNANDO</t>
  </si>
  <si>
    <t>TEC. EN MANTENIMIENTO</t>
  </si>
  <si>
    <t>TECNICO COMPLETA</t>
  </si>
  <si>
    <t>72926268</t>
  </si>
  <si>
    <t>ALVA VILCA MILAGROS</t>
  </si>
  <si>
    <t>TEC. EN LABORATORIO</t>
  </si>
  <si>
    <t>46305797</t>
  </si>
  <si>
    <t>ALVARADO ANGELES YESICA MILAGROS</t>
  </si>
  <si>
    <t>46424681</t>
  </si>
  <si>
    <t>ALVARADO CULQUI BELTRAN</t>
  </si>
  <si>
    <t>TEC. EN ENFERMERÍA</t>
  </si>
  <si>
    <t>TECNOLOGO MEDICO</t>
  </si>
  <si>
    <t>45686919</t>
  </si>
  <si>
    <t>ALVARADO VIGO CINTHIA VANESA</t>
  </si>
  <si>
    <t>42082568</t>
  </si>
  <si>
    <t>ARANA BUELOT DANA KELLYN</t>
  </si>
  <si>
    <t>CAPACITACION OCUPACIONAL</t>
  </si>
  <si>
    <t>07747819</t>
  </si>
  <si>
    <t>ARELLANOS CHAPPA GLADIS DEL ROSIO</t>
  </si>
  <si>
    <t>40678957</t>
  </si>
  <si>
    <t>ARELLANOS MENDOZA CARMEN</t>
  </si>
  <si>
    <t>40719255</t>
  </si>
  <si>
    <t>BARRERA CHUQUIZUTA LLENI</t>
  </si>
  <si>
    <t>43594730</t>
  </si>
  <si>
    <t>BAZAN VASQUEZ ALINA</t>
  </si>
  <si>
    <t>33431482</t>
  </si>
  <si>
    <t>CABAÑAS OYARCE ROCIO BELDAD</t>
  </si>
  <si>
    <t>47281460</t>
  </si>
  <si>
    <t>CACERES LLATANCE BIOLETA</t>
  </si>
  <si>
    <t>AUXILIAR DE NUTRICION</t>
  </si>
  <si>
    <t>33424052</t>
  </si>
  <si>
    <t>CALDERON VALLE TERESA JESUS</t>
  </si>
  <si>
    <t>44939248</t>
  </si>
  <si>
    <t>CARRASCO CERDAN SEGUNDO ELLISON</t>
  </si>
  <si>
    <t>33408439</t>
  </si>
  <si>
    <t>CASTRO PIZARRO JENRRI</t>
  </si>
  <si>
    <t>44893333</t>
  </si>
  <si>
    <t>CERVERA HERRERA MARLENI</t>
  </si>
  <si>
    <t>ADMINISTRADOR(A)</t>
  </si>
  <si>
    <t>40877942</t>
  </si>
  <si>
    <t>CHAVEZ SANTOS YTMAR TATIANA</t>
  </si>
  <si>
    <t>LIC. EN ADMINISTRACIÓN</t>
  </si>
  <si>
    <t>46463793</t>
  </si>
  <si>
    <t>CHERO RUMICHE KATY YAQUELINE</t>
  </si>
  <si>
    <t>44893322</t>
  </si>
  <si>
    <t>CHUQUI LOPEZ ANY MADELEINEE</t>
  </si>
  <si>
    <t>46132086</t>
  </si>
  <si>
    <t>CHUQUIPA VEGA JIMY MERCEDES</t>
  </si>
  <si>
    <t>47114837</t>
  </si>
  <si>
    <t>CHUQUIZUTA CARUAJULCA SONIA</t>
  </si>
  <si>
    <t>46132093</t>
  </si>
  <si>
    <t>COLLANTES CORDOVA LESLY RUTH</t>
  </si>
  <si>
    <t>33423258</t>
  </si>
  <si>
    <t>COMECA GOMEZ DOLIBET</t>
  </si>
  <si>
    <t>41951498</t>
  </si>
  <si>
    <t>CORONEL OCMIN DAYSI SOCORRO</t>
  </si>
  <si>
    <t>33432660</t>
  </si>
  <si>
    <t>CORREA DUIRE LUIS ALBERTO</t>
  </si>
  <si>
    <t>74422919</t>
  </si>
  <si>
    <t>CRUZ HUAMAN NOHELIT</t>
  </si>
  <si>
    <t>45152205</t>
  </si>
  <si>
    <t>CULQUI VALLE DIANA VANESSA</t>
  </si>
  <si>
    <t>33729943</t>
  </si>
  <si>
    <t>CUMBIA MORI ANICETA</t>
  </si>
  <si>
    <t>40463029</t>
  </si>
  <si>
    <t>ESCALANTE CHAVEZ AIDE YANET</t>
  </si>
  <si>
    <t>46832422</t>
  </si>
  <si>
    <t>ESCOBEDO JALK NISBETT</t>
  </si>
  <si>
    <t>46684780</t>
  </si>
  <si>
    <t>FERNANDEZ YPANAQUE YESSICA DEL MILAGROS</t>
  </si>
  <si>
    <t>45747286</t>
  </si>
  <si>
    <t>FRIAS FERNANDEZ MARIA ISABEL</t>
  </si>
  <si>
    <t>44568876</t>
  </si>
  <si>
    <t>FUENTES MONTOYA JANETH MARCELA</t>
  </si>
  <si>
    <t>40091125</t>
  </si>
  <si>
    <t>GARCIA GUEVARA JESSICA</t>
  </si>
  <si>
    <t>41467650</t>
  </si>
  <si>
    <t>GOMEZ GUEVARA FANNY MARGOLITH</t>
  </si>
  <si>
    <t>42440637</t>
  </si>
  <si>
    <t>GONZALES BEJARANO RITA AMELIA</t>
  </si>
  <si>
    <t>2503-ASIST. LEGAL</t>
  </si>
  <si>
    <t>72889474</t>
  </si>
  <si>
    <t>GONZALES CRISPIN IVAN EDZON</t>
  </si>
  <si>
    <t>46021498</t>
  </si>
  <si>
    <t>GONZALES PORTOCARRERO KELLY</t>
  </si>
  <si>
    <t>47811715</t>
  </si>
  <si>
    <t>GORMAS GUIMAC JESSIBEL</t>
  </si>
  <si>
    <t>40822418</t>
  </si>
  <si>
    <t>GRANDEZ PISCO PRISCILA MILAGROS</t>
  </si>
  <si>
    <t>33436355</t>
  </si>
  <si>
    <t>GUIOP PUIQUIN MARCELINA</t>
  </si>
  <si>
    <t>48063312</t>
  </si>
  <si>
    <t>GUIVIN LAPIZ AMPARO</t>
  </si>
  <si>
    <t>10267834</t>
  </si>
  <si>
    <t>GUTIERREZ ARAUJO EISTEN ANTONIO</t>
  </si>
  <si>
    <t>70129589</t>
  </si>
  <si>
    <t>GUTIERREZ CHAVEZ ROSMERY</t>
  </si>
  <si>
    <t>70129591</t>
  </si>
  <si>
    <t>GUTIERREZ CHAVEZ ZULY</t>
  </si>
  <si>
    <t>47010881</t>
  </si>
  <si>
    <t>GUTIERREZ FUENTES EDIDIANE DEL ROSARIO</t>
  </si>
  <si>
    <t>41149597</t>
  </si>
  <si>
    <t>GUTIERREZ MELENDEZ ZAID LORENA</t>
  </si>
  <si>
    <t>33431069</t>
  </si>
  <si>
    <t>HERRERA ROMERO MARIA HERLINDA</t>
  </si>
  <si>
    <t>45387979</t>
  </si>
  <si>
    <t>HUAMAN GUEVARA JOSE DESIDERIO</t>
  </si>
  <si>
    <t>46173508</t>
  </si>
  <si>
    <t>HUAMAN HUAMAN NOELITA</t>
  </si>
  <si>
    <t>40554820</t>
  </si>
  <si>
    <t>HUAMAN VALQUI IRENE</t>
  </si>
  <si>
    <t>0701-ABOGADO I</t>
  </si>
  <si>
    <t>45482835</t>
  </si>
  <si>
    <t>INFANTE MORI ELLEN ARABELA</t>
  </si>
  <si>
    <t>26694694</t>
  </si>
  <si>
    <t>LEON CISNEROS HILDEGARD</t>
  </si>
  <si>
    <t>42294266</t>
  </si>
  <si>
    <t>LOJA PICON WAGNER</t>
  </si>
  <si>
    <t>41404297</t>
  </si>
  <si>
    <t>LOJA PICON YHONY</t>
  </si>
  <si>
    <t>44747817</t>
  </si>
  <si>
    <t>MALQUI ZUTA JHULY</t>
  </si>
  <si>
    <t>41085916</t>
  </si>
  <si>
    <t>MAS JIMENEZ MERCEDES</t>
  </si>
  <si>
    <t>41924626</t>
  </si>
  <si>
    <t>MEDINA BACALLA JENNY MARLITH</t>
  </si>
  <si>
    <t>45404645</t>
  </si>
  <si>
    <t>MELENDEZ MENDOZA PERLA IRIS</t>
  </si>
  <si>
    <t>33408360</t>
  </si>
  <si>
    <t>MENDOZA CEDILLO MARIA NELIDA</t>
  </si>
  <si>
    <t>33430585</t>
  </si>
  <si>
    <t>MENDOZA CHUQUIZUTA MAGALY</t>
  </si>
  <si>
    <t>46268214</t>
  </si>
  <si>
    <t>MENDOZA COLLANTES ASUNCIONA</t>
  </si>
  <si>
    <t>AUXILIAR EN CONTABILIDAD</t>
  </si>
  <si>
    <t>73692054</t>
  </si>
  <si>
    <t>48414231</t>
  </si>
  <si>
    <t>MENDOZA PINGUS SABY SARAY</t>
  </si>
  <si>
    <t>41696260</t>
  </si>
  <si>
    <t>MEZA AREVALO FIDEL</t>
  </si>
  <si>
    <t>17444230</t>
  </si>
  <si>
    <t>MONTALVAN CASTILLO FLORA FLORENCIA</t>
  </si>
  <si>
    <t>44068634</t>
  </si>
  <si>
    <t>MONTENEGRO TUESTA HELEN SANDYBEL</t>
  </si>
  <si>
    <t>73902778</t>
  </si>
  <si>
    <t>MORI CHAVEZ MARIA ISABEL</t>
  </si>
  <si>
    <t>41596170</t>
  </si>
  <si>
    <t>MUÑOZ MORI JEN JESTTER</t>
  </si>
  <si>
    <t>48371171</t>
  </si>
  <si>
    <t>MUÑOZ SANTILLAN ROSARIO</t>
  </si>
  <si>
    <t>TEC. EN COMPUTACION</t>
  </si>
  <si>
    <t>45222786</t>
  </si>
  <si>
    <t>NOVOA AQUINO ELSA</t>
  </si>
  <si>
    <t>72516678</t>
  </si>
  <si>
    <t>OBANDO JALK CHRISTY JANET</t>
  </si>
  <si>
    <t>45148851</t>
  </si>
  <si>
    <t>ORBEGOSO TENORIO VILMA</t>
  </si>
  <si>
    <t>46414566</t>
  </si>
  <si>
    <t>ORTEGA VIDAURRE KATHERINE CAROLAYN</t>
  </si>
  <si>
    <t>47868933</t>
  </si>
  <si>
    <t>PAREDES DIAZ MARCOS RICARDO</t>
  </si>
  <si>
    <t>70466078</t>
  </si>
  <si>
    <t>PEREZ LABAJOS GIULLIANA ASTRID</t>
  </si>
  <si>
    <t>33425336</t>
  </si>
  <si>
    <t>PILCO CULQUI ZADIT CONSUELO</t>
  </si>
  <si>
    <t>42055024</t>
  </si>
  <si>
    <t>POQUIOMA ALVA CESAR HUGO</t>
  </si>
  <si>
    <t>45027706</t>
  </si>
  <si>
    <t>PORTOCARRERO LOPEZ MANUELITA</t>
  </si>
  <si>
    <t>46206256</t>
  </si>
  <si>
    <t>PORTOCARRERO PEREZ LEYLITH</t>
  </si>
  <si>
    <t>70214121</t>
  </si>
  <si>
    <t>PUERTA MAS MARICIELO</t>
  </si>
  <si>
    <t>45343912</t>
  </si>
  <si>
    <t>PUSCAN SALAZAR CARMELITA MERCEDES</t>
  </si>
  <si>
    <t>46982898</t>
  </si>
  <si>
    <t>QUILO CHAVEZ MARIA ROCIO</t>
  </si>
  <si>
    <t>41816359</t>
  </si>
  <si>
    <t>QUINTANA TANTALEAN YANNY MARIBEL</t>
  </si>
  <si>
    <t>33408477</t>
  </si>
  <si>
    <t>RAMAYCUNA LOPEZ ANITA DE JESUS</t>
  </si>
  <si>
    <t>45970099</t>
  </si>
  <si>
    <t>RAMIREZ MARTINEZ AYDEE</t>
  </si>
  <si>
    <t>42989790</t>
  </si>
  <si>
    <t>REIS VARGAS JULIO RAFAEL</t>
  </si>
  <si>
    <t>45235314</t>
  </si>
  <si>
    <t>RELUZ CAMPOS PERLITA ARACELY</t>
  </si>
  <si>
    <t>MEDIDA CAUTELAR</t>
  </si>
  <si>
    <t>80344673</t>
  </si>
  <si>
    <t>REYES LOJA EUGENIO</t>
  </si>
  <si>
    <t>44021433</t>
  </si>
  <si>
    <t>REYNA LUCERO ROSA AURORA</t>
  </si>
  <si>
    <t>42966912</t>
  </si>
  <si>
    <t>REYNA VILCA CECILIA MILAGROS</t>
  </si>
  <si>
    <t>41286183</t>
  </si>
  <si>
    <t>RIOS PICCINE MARITA KAREN</t>
  </si>
  <si>
    <t>33405400</t>
  </si>
  <si>
    <t>RIVASPLATA CHUQUIPIONDO LUZ EDELMIRA</t>
  </si>
  <si>
    <t>46204704</t>
  </si>
  <si>
    <t>ROJAS EPQUIN AZELITH</t>
  </si>
  <si>
    <t>48295435</t>
  </si>
  <si>
    <t>ROJAS GUIOP DAYSY MARLITH</t>
  </si>
  <si>
    <t>47870351</t>
  </si>
  <si>
    <t>ROJAS LOJA EDWIN</t>
  </si>
  <si>
    <t>42625433</t>
  </si>
  <si>
    <t>ROSARIO RODRIGUEZ ROSA MIGUELINA</t>
  </si>
  <si>
    <t>45740993</t>
  </si>
  <si>
    <t>RUBIO MIO ELDA LUZ</t>
  </si>
  <si>
    <t>72392592</t>
  </si>
  <si>
    <t>RUIZ BARRANTES RENZO GUILLERMO</t>
  </si>
  <si>
    <t>47396803</t>
  </si>
  <si>
    <t>SANCHEZ CUENCA DENIA NATALIA</t>
  </si>
  <si>
    <t>41030559</t>
  </si>
  <si>
    <t>SANCHEZ MORI MILAGROS</t>
  </si>
  <si>
    <t>27736323</t>
  </si>
  <si>
    <t>SANCHEZ PASTOR GISELDA IVONNE</t>
  </si>
  <si>
    <t>43571715</t>
  </si>
  <si>
    <t>SANCHEZ VIGO JOSEFA ROXANA</t>
  </si>
  <si>
    <t>45877324</t>
  </si>
  <si>
    <t>SANTILLAN PINEDO JOSE LIMBER</t>
  </si>
  <si>
    <t>40877934</t>
  </si>
  <si>
    <t>SANTILLAN SALDAÑA IRMA</t>
  </si>
  <si>
    <t>42295028</t>
  </si>
  <si>
    <t>SERVAN REYNA DANELIT</t>
  </si>
  <si>
    <t>41868103</t>
  </si>
  <si>
    <t>SERVAN REYNA YAQUELINE</t>
  </si>
  <si>
    <t>41172580</t>
  </si>
  <si>
    <t>SERVAN ROJAS JANET</t>
  </si>
  <si>
    <t>LIC. CIENCIAS DE LA COMUNICACIÓN</t>
  </si>
  <si>
    <t>40338914</t>
  </si>
  <si>
    <t>SERVAN SALAZAR ELSA JHAMET</t>
  </si>
  <si>
    <t>45258450</t>
  </si>
  <si>
    <t>SILVA CHAVEZ EDITH</t>
  </si>
  <si>
    <t>70805910</t>
  </si>
  <si>
    <t>SILVA DIAZ AYDA</t>
  </si>
  <si>
    <t>43956189</t>
  </si>
  <si>
    <t>TAFUR PORTOCARRERO DEYSY</t>
  </si>
  <si>
    <t>43148760</t>
  </si>
  <si>
    <t>TELLO AREVALO IDALITH</t>
  </si>
  <si>
    <t>41820980</t>
  </si>
  <si>
    <t>TERRONES MORI ITALA</t>
  </si>
  <si>
    <t>75895415</t>
  </si>
  <si>
    <t>TIRADO CUSMA JEINER JIMY</t>
  </si>
  <si>
    <t>40506274</t>
  </si>
  <si>
    <t>TORRES CULQUI CARMELA</t>
  </si>
  <si>
    <t>71997754</t>
  </si>
  <si>
    <t>TRIGOSO VILCA KRISTHIAN CESAR</t>
  </si>
  <si>
    <t>ESTUDIENTE DE CONTABILIDAD</t>
  </si>
  <si>
    <t>TEC. INCOMPLETO</t>
  </si>
  <si>
    <t>44763482</t>
  </si>
  <si>
    <t>TUESTA BONIFAZ CLAUDIA MELISSA</t>
  </si>
  <si>
    <t>10407641</t>
  </si>
  <si>
    <t>TUESTA MUÑOZ JAMMERLY ISELA</t>
  </si>
  <si>
    <t>33408475</t>
  </si>
  <si>
    <t>TUESTA SOPLIN JUANITO</t>
  </si>
  <si>
    <t>46574424</t>
  </si>
  <si>
    <t>VALENCIA PIZARRO ZULMI LIZETH</t>
  </si>
  <si>
    <t>43463832</t>
  </si>
  <si>
    <t>VALLE GRANDEZ JACKELINE</t>
  </si>
  <si>
    <t>72807403</t>
  </si>
  <si>
    <t>VALLE MONTENEGRO MELIZA</t>
  </si>
  <si>
    <t>43914133</t>
  </si>
  <si>
    <t>VALQUI GOMEZ ROCIO NATALI</t>
  </si>
  <si>
    <t>42567568</t>
  </si>
  <si>
    <t>VARGAS MELENDEZ ROGER ALMEIDER</t>
  </si>
  <si>
    <t>09407555</t>
  </si>
  <si>
    <t>VASQUEZ MORALES PATRICIA TOMASA</t>
  </si>
  <si>
    <t>46328302</t>
  </si>
  <si>
    <t>VASQUEZ ROJAS MARIBEL</t>
  </si>
  <si>
    <t>42181132</t>
  </si>
  <si>
    <t>VEGA ALVARADO JOHN HENRY</t>
  </si>
  <si>
    <t>73495765</t>
  </si>
  <si>
    <t>VELA AREVALO MARDELI</t>
  </si>
  <si>
    <t>TECNICO/A EN LOGISTICA</t>
  </si>
  <si>
    <t>41574079</t>
  </si>
  <si>
    <t>VELA TISNADO GUIMNER</t>
  </si>
  <si>
    <t>TEC. EN ADMINISTRACION</t>
  </si>
  <si>
    <t>42568357</t>
  </si>
  <si>
    <t>VELASQUEZ ZELADA LLANELY</t>
  </si>
  <si>
    <t>42917319</t>
  </si>
  <si>
    <t>VERA MEZA ABEL FRANCISCO</t>
  </si>
  <si>
    <t>41175924</t>
  </si>
  <si>
    <t>VERA MEZA EMERSON</t>
  </si>
  <si>
    <t>72245244</t>
  </si>
  <si>
    <t>VILCA GOMEZ HEYSEN MANUEL</t>
  </si>
  <si>
    <t>33407477</t>
  </si>
  <si>
    <t>VILCARROMERO AÑAZCO MIRTHA EDITH</t>
  </si>
  <si>
    <t>47032379</t>
  </si>
  <si>
    <t>VILCARROMERO PINEDO ROSA ASUNTA</t>
  </si>
  <si>
    <t>46347851</t>
  </si>
  <si>
    <t>VILLEGAS ROJAS SUSAN RAQUEL</t>
  </si>
  <si>
    <t>73102397</t>
  </si>
  <si>
    <t>VILLOSLADA BARDALES THALIA ELIZABETH</t>
  </si>
  <si>
    <t>0951-ESP. ADMINIST. I</t>
  </si>
  <si>
    <t>77490434</t>
  </si>
  <si>
    <t>YARIHUAMAN SANCHEZ NATALIA GUADALUPE</t>
  </si>
  <si>
    <t>41149595</t>
  </si>
  <si>
    <t>YNGA CASTAÑEDA MARICEL</t>
  </si>
  <si>
    <t>40128342</t>
  </si>
  <si>
    <t>YOPLAC RITUAY FELIPE</t>
  </si>
  <si>
    <t>70864365</t>
  </si>
  <si>
    <t>ZUTA MENDOZA KAREN DEL ROCIO</t>
  </si>
  <si>
    <t>TÉCNICO EN ENFERMERIA</t>
  </si>
  <si>
    <t>AGUILAR VALQUI EDELFRIDA</t>
  </si>
  <si>
    <t>ARBILDO VILCA CINTYA ISABEL</t>
  </si>
  <si>
    <t>AUXILIAR EN LIMPIEZA</t>
  </si>
  <si>
    <t>AREVALO CAMACHO CRECENCIA CONSUELO</t>
  </si>
  <si>
    <t xml:space="preserve">LICENCIADA EN TECNLOLOGIA MÉDICA </t>
  </si>
  <si>
    <t>BURGA BUSTAMANTE BETSY</t>
  </si>
  <si>
    <t>LICENCIADA EN TECNLOLOGIA MÉDICA</t>
  </si>
  <si>
    <t>CABRERA MOROCHO KATY JAJAIRA</t>
  </si>
  <si>
    <t>RECURSOS ORDINARIOS - RECURSOS DIRECTAMENTE RECAUDADOS</t>
  </si>
  <si>
    <t>MEDICO ESPECIALISTA</t>
  </si>
  <si>
    <t>CARRANZA CASTAÑEDA FRANK JHONEL</t>
  </si>
  <si>
    <t>MÉDICO ESPECIALISTA EN REUMATOLOGIA</t>
  </si>
  <si>
    <t>LICENCIADA EN ENFERMERIA</t>
  </si>
  <si>
    <t>CASTILLO CULQUERRICRA MABELY</t>
  </si>
  <si>
    <t>CASTRO TORO EDITH MAGALI</t>
  </si>
  <si>
    <t>TECNOLOGO MÉDICO</t>
  </si>
  <si>
    <t>CHILON RIOJAS ROCIO DEL MILAGRO</t>
  </si>
  <si>
    <t>ATENCIONES DE LOS USUARIOS</t>
  </si>
  <si>
    <t>CUIPAL CHUQUIZUTA NILVER FLORENTINO</t>
  </si>
  <si>
    <t>DIAZ MUÑOZ ASUNTA MILAGROS</t>
  </si>
  <si>
    <t>MÉDICO ESPECIALISTA EN TRAUMATOLOGIA</t>
  </si>
  <si>
    <t>FLORES PEREDA RUBEN ALFONSO</t>
  </si>
  <si>
    <t>GAMONAL SALAZAR ELIZABETH</t>
  </si>
  <si>
    <t>GARCIA VELASQUEZ KATY LLANIXA</t>
  </si>
  <si>
    <t>GONZALES FLORES ERICKA VANESSA</t>
  </si>
  <si>
    <t>MÉDICO INTERNISTA</t>
  </si>
  <si>
    <t>GRADOS VITONERA VICTOR FERNANDO</t>
  </si>
  <si>
    <t>TÉCNICO EN LABORATORIO</t>
  </si>
  <si>
    <t>MANEJO DE HISTORIAS CLINICAS</t>
  </si>
  <si>
    <t>HUAMAN CACHAY MARIA CRUZ</t>
  </si>
  <si>
    <t>INGA VELAYARCE LOIDA</t>
  </si>
  <si>
    <t>TÉCNICO EN FARMACIA</t>
  </si>
  <si>
    <t>LAPIZ ANGULO ROSA ERLINDA</t>
  </si>
  <si>
    <t xml:space="preserve"> LICENCIADA EN ENFERMERIA</t>
  </si>
  <si>
    <t>LIMAY SANTILLAN CELIA</t>
  </si>
  <si>
    <t>MARCHENA SERRANO CINTHYA PAOLA</t>
  </si>
  <si>
    <t>SECRETARIA EN LA UNIDAD DE ESTADISTICA</t>
  </si>
  <si>
    <t>MAS BACALLA JUDITH</t>
  </si>
  <si>
    <t>MEDRANO CHAVEZ LEIDY</t>
  </si>
  <si>
    <t xml:space="preserve"> PERSONAL DE CARPINTERIA</t>
  </si>
  <si>
    <t>MONTENEGRO FERNANDEZ AMARILIS JACQUELINE</t>
  </si>
  <si>
    <t>MUÑOZ TAFUR SILVIA ISABEL</t>
  </si>
  <si>
    <t>AUXILIAR CITAS POR TELEFONO</t>
  </si>
  <si>
    <t>OBANDO JALK CHRISTY JANETH</t>
  </si>
  <si>
    <t>PACHERRES BUSTAMANTE MERLY NEVENKA</t>
  </si>
  <si>
    <t>TECNLOLOGIA MÉDICA -ESPECIALISTA</t>
  </si>
  <si>
    <t>PEREZ GARCIA GREYSSI STEFANY DEL MILAGRO</t>
  </si>
  <si>
    <t>PUERTA VILLANUEVA MILAGROS</t>
  </si>
  <si>
    <t>LICENCIADA EN NUTRICION</t>
  </si>
  <si>
    <t>PULACHE COTRINA ADELA ABIGAIL</t>
  </si>
  <si>
    <t>AUXILIAR DE LIMPIEZA</t>
  </si>
  <si>
    <t>QUINTANA PORTOCARRERO JANETH</t>
  </si>
  <si>
    <t>RAYMUNDO JAUREGUI PILAR</t>
  </si>
  <si>
    <t>LICENCIADA ADMINISTRACION</t>
  </si>
  <si>
    <t>ROJAS MORI DAYSI DEL PILAR</t>
  </si>
  <si>
    <t>MEDICO ANESTESIOLOGO</t>
  </si>
  <si>
    <t>ROMERO HERRERA KELITA</t>
  </si>
  <si>
    <t>09794605</t>
  </si>
  <si>
    <t>SALINAS DEL ROSARIO DAVID ENRIQUE</t>
  </si>
  <si>
    <t>TAFUR MESIA NALY</t>
  </si>
  <si>
    <t xml:space="preserve"> AUXILIAR DE LIMPIEZA</t>
  </si>
  <si>
    <t>TEJADA ALVARADO FERNANDO</t>
  </si>
  <si>
    <t>DIGITADOR DE LAS PRESTACIONES</t>
  </si>
  <si>
    <t>VARGAS CHAVEZ JIANINA</t>
  </si>
  <si>
    <t>LICENCIADA EN TECNLOLOGIA</t>
  </si>
  <si>
    <t>VASQUEZ BUSTAMANTE FANY</t>
  </si>
  <si>
    <t xml:space="preserve"> LICENCIADA EN TECNLOLOGIA</t>
  </si>
  <si>
    <t xml:space="preserve"> MÉDICO ESPECIALISTA</t>
  </si>
  <si>
    <t>VELAZCO QUIÑONES NADIA ARLETH</t>
  </si>
  <si>
    <t>INGENIERO BIOMEDICO</t>
  </si>
  <si>
    <t>VILCHEZ CULQUI JORGE LUIS</t>
  </si>
  <si>
    <t>VILCHEZ HUILCA JANET LILIANA</t>
  </si>
  <si>
    <t xml:space="preserve">LICENCIADA ENFERMERIA </t>
  </si>
  <si>
    <t>LICENCIADA ENFERMERIA</t>
  </si>
  <si>
    <t xml:space="preserve">TECNICA EN ENEFERMERIA </t>
  </si>
  <si>
    <t>VELA CABALLERO LOURDES ROCIO</t>
  </si>
  <si>
    <t>LICENCIADA EN ADMINISTRACIÓN</t>
  </si>
  <si>
    <t>GOICOCHEA RUIZ VILMA</t>
  </si>
  <si>
    <t>GUADIAMOS MONTALVAN LIZETH JHOANA</t>
  </si>
  <si>
    <t>APOYO EN LA IMPLEMENTACION Y SEGUIMIENTO</t>
  </si>
  <si>
    <t>ESPECIALISTA EN DERMATOLOGIA</t>
  </si>
  <si>
    <t>WONG ZUMAETA GLADYS NATHALIE</t>
  </si>
  <si>
    <t>403 - 1101 HOSPITAL DE APOYO BAGUA</t>
  </si>
  <si>
    <t>ADMINISTRATIVO</t>
  </si>
  <si>
    <t>41635175</t>
  </si>
  <si>
    <t>ARRASCUE VIDARTE ORLANDO</t>
  </si>
  <si>
    <t>21435757</t>
  </si>
  <si>
    <t>BALBUENA MARAÑON ENRIQUE EBERTO</t>
  </si>
  <si>
    <t>73332969</t>
  </si>
  <si>
    <t>VILLALOBOS VASQUEZ ROXANA DEL PILAR</t>
  </si>
  <si>
    <t>44444700</t>
  </si>
  <si>
    <t>MARTINEZ BERMEO DIEGO HUMBERTO</t>
  </si>
  <si>
    <t>71818234</t>
  </si>
  <si>
    <t>IZQUIERDO ALEJANDRIA CINTYA LIZBET</t>
  </si>
  <si>
    <t>ADMINISTRATIVO CONTABLE</t>
  </si>
  <si>
    <t>76019041</t>
  </si>
  <si>
    <t>CHAPOÑAN SANCHEZ CARLOS WILDER</t>
  </si>
  <si>
    <t>ASISTENCIAL</t>
  </si>
  <si>
    <t>74122461</t>
  </si>
  <si>
    <t>MENDOZA MESTANZA KATHERINE CLEOFE</t>
  </si>
  <si>
    <t>ASISTENTE EN SERVICIO DE SALUD</t>
  </si>
  <si>
    <t>46856801</t>
  </si>
  <si>
    <t>PALACIOS AGUILAR TEIDY IVAN</t>
  </si>
  <si>
    <t>75799167</t>
  </si>
  <si>
    <t>33561876</t>
  </si>
  <si>
    <t>ABANTO ABANTO ROSA BERNARDITA</t>
  </si>
  <si>
    <t>73439403</t>
  </si>
  <si>
    <t>CASTILLO RAMIREZ RONALDO ALEXEY</t>
  </si>
  <si>
    <t>76080284</t>
  </si>
  <si>
    <t>COLLANTES LINGAN LUVI MARISEL</t>
  </si>
  <si>
    <t>43345299</t>
  </si>
  <si>
    <t>GUEVARA ALVAREZ NELLY</t>
  </si>
  <si>
    <t>72927774</t>
  </si>
  <si>
    <t>MINCHAN HUACCHA JOSE LEANDRO</t>
  </si>
  <si>
    <t>72736627</t>
  </si>
  <si>
    <t>SALAS TANK JUNIOR ABEL</t>
  </si>
  <si>
    <t>71055655</t>
  </si>
  <si>
    <t>LOPEZ RAMIREZ GREYLA KATHERINE ALEJANDRA</t>
  </si>
  <si>
    <t>77658783</t>
  </si>
  <si>
    <t>PAZ ALBERCA FANNY DIANA</t>
  </si>
  <si>
    <t>47227975</t>
  </si>
  <si>
    <t>VELA YOMONA ALEXANDER</t>
  </si>
  <si>
    <t>42821443</t>
  </si>
  <si>
    <t>LEONARDO LEYVA ANGEL ELEAZAR</t>
  </si>
  <si>
    <t>BACHILLER EN ARQUITECTURA</t>
  </si>
  <si>
    <t>72210224</t>
  </si>
  <si>
    <t>CIEZA TANTA RONY MILER</t>
  </si>
  <si>
    <t>45917451</t>
  </si>
  <si>
    <t>ALTAMIRANO MEGO CARLOS HUMBERTO</t>
  </si>
  <si>
    <t>46664823</t>
  </si>
  <si>
    <t>CHAVEZ SALDAÑA ANGEL WILFREDO</t>
  </si>
  <si>
    <t>71060037</t>
  </si>
  <si>
    <t>LOPEZ RAMIREZ JOAN ROSSALY</t>
  </si>
  <si>
    <t>72731403</t>
  </si>
  <si>
    <t>RIMARACHIN SUAREZ MARGARITA YULEISI</t>
  </si>
  <si>
    <t>70674885</t>
  </si>
  <si>
    <t>LOPEZ FERNANDEZ INGRID ASTRID</t>
  </si>
  <si>
    <t>71642077</t>
  </si>
  <si>
    <t>MELENDEZ VENTURA CARMEN MARILU</t>
  </si>
  <si>
    <t>47850338</t>
  </si>
  <si>
    <t>TARRILLO CERVERA CINTHIA JEM</t>
  </si>
  <si>
    <t>21565690</t>
  </si>
  <si>
    <t>BAUTISTA HUALPA YENY RITA</t>
  </si>
  <si>
    <t>33591627</t>
  </si>
  <si>
    <t>BURGA MIRES MARIA MERCEDES</t>
  </si>
  <si>
    <t>46189015</t>
  </si>
  <si>
    <t>DIAZ NUÑEZ PERLA SOLEDAD</t>
  </si>
  <si>
    <t>41570429</t>
  </si>
  <si>
    <t>GUERRERO CARRILLO YDA</t>
  </si>
  <si>
    <t>45959568</t>
  </si>
  <si>
    <t>MACALOPU TORRES SANDRA INES</t>
  </si>
  <si>
    <t>45450446</t>
  </si>
  <si>
    <t>MORANTE ARBULU TIANNY MICHELLE</t>
  </si>
  <si>
    <t>16753428</t>
  </si>
  <si>
    <t>SAMILLAN SAMILLAN MIRIAM GISELA</t>
  </si>
  <si>
    <t>44591052</t>
  </si>
  <si>
    <t>VASQUEZ BERRIOS LAURA ANICA</t>
  </si>
  <si>
    <t>33588545</t>
  </si>
  <si>
    <t>BALCAZAR DIAZ BLANCA FLOR</t>
  </si>
  <si>
    <t>BAYLON DIAZ ARACELY DEL PILAR</t>
  </si>
  <si>
    <t>CALDERON ROMAN LISHBET YORDANA</t>
  </si>
  <si>
    <t>41937776</t>
  </si>
  <si>
    <t>GUEVARA FERNANDEZ ROSARIO</t>
  </si>
  <si>
    <t>46534545</t>
  </si>
  <si>
    <t>INFANTES RODRIGUEZ RUTH MARIA</t>
  </si>
  <si>
    <t>42680237</t>
  </si>
  <si>
    <t>MEJIA CCAHUANA CHELA CELEDONIA</t>
  </si>
  <si>
    <t>47085289</t>
  </si>
  <si>
    <t>MONTALVAN CALDERON MACYORI ALEXANDRA</t>
  </si>
  <si>
    <t>47190716</t>
  </si>
  <si>
    <t>MOREY MIRANO ROSARIO DEL PILAR</t>
  </si>
  <si>
    <t>44608452</t>
  </si>
  <si>
    <t>PALACIO HUERTA JENNIFFER ZULEIMA</t>
  </si>
  <si>
    <t>PATAZCA MONTALVO KATHERINE LISETH</t>
  </si>
  <si>
    <t>45643339</t>
  </si>
  <si>
    <t>PINEDA PALACIOS KAREEN PAOLA</t>
  </si>
  <si>
    <t>47289916</t>
  </si>
  <si>
    <t>SANDOVAL GUERRA LEYDI MEDALYT</t>
  </si>
  <si>
    <t>45890675</t>
  </si>
  <si>
    <t>TORRES SILVA AURORA NOEMI</t>
  </si>
  <si>
    <t>75392370</t>
  </si>
  <si>
    <t>VARGAS LINARES YENNIFER LISSETH</t>
  </si>
  <si>
    <t>44746736</t>
  </si>
  <si>
    <t>PEREZ GUERRERO GABRIELA</t>
  </si>
  <si>
    <t>76450076</t>
  </si>
  <si>
    <t>DIAZ DIAZ LILIANA</t>
  </si>
  <si>
    <t>72723224</t>
  </si>
  <si>
    <t>NUÑEZ TORRES SILVANA MILAGROS</t>
  </si>
  <si>
    <t>44255140</t>
  </si>
  <si>
    <t>BARRETO ARBAÑIL CLAUDIA CONSUELO</t>
  </si>
  <si>
    <t>42433864</t>
  </si>
  <si>
    <t>VARGAS PEREZ NELLY</t>
  </si>
  <si>
    <t>45664126</t>
  </si>
  <si>
    <t>70899863</t>
  </si>
  <si>
    <t>CELIS SALAZAR TATIANA MARYURI DEL ROSARIO</t>
  </si>
  <si>
    <t>44919178</t>
  </si>
  <si>
    <t>CELIS SALAZAR VANESSA ARACELLI</t>
  </si>
  <si>
    <t>71069972</t>
  </si>
  <si>
    <t>GONZALES SEGURA FLOR MARIELA</t>
  </si>
  <si>
    <t>45877018</t>
  </si>
  <si>
    <t>GUTIERREZ EPQUIN ANIBAL SIMON</t>
  </si>
  <si>
    <t>76829027</t>
  </si>
  <si>
    <t>URIARTE DIAZ YUSUNY YUBEL</t>
  </si>
  <si>
    <t>47870909</t>
  </si>
  <si>
    <t>ORDOÑEZ CARRASCO DANNI MEDALY</t>
  </si>
  <si>
    <t>47230898</t>
  </si>
  <si>
    <t>VALLEJOS REQUEJO MARIA NANCI</t>
  </si>
  <si>
    <t>74812849</t>
  </si>
  <si>
    <t>HUAMAN VILLANUEVA DELSI YAKELIN</t>
  </si>
  <si>
    <t>70068472</t>
  </si>
  <si>
    <t>IZQUIERDO CABRERA JAIME</t>
  </si>
  <si>
    <t>47201775</t>
  </si>
  <si>
    <t>VILLEGAS RIVERA CESAR AUGUSTO</t>
  </si>
  <si>
    <t>70040102</t>
  </si>
  <si>
    <t>ABAD JURUPE GUILLERMO JOAO</t>
  </si>
  <si>
    <t>JEFE DE AREA</t>
  </si>
  <si>
    <t>41548124</t>
  </si>
  <si>
    <t>SANCHEZ ZELADA ROXANA KARINA</t>
  </si>
  <si>
    <t>44780331</t>
  </si>
  <si>
    <t>CALLAÑAUPA QUINTANILLA CLAUDIA GLORIA</t>
  </si>
  <si>
    <t>46438401</t>
  </si>
  <si>
    <t>CRISANTO QUIROZ CARMEN JUDITH</t>
  </si>
  <si>
    <t>40255021</t>
  </si>
  <si>
    <t>GARATE CHAMBILLA DELIA MARINA</t>
  </si>
  <si>
    <t>71070881</t>
  </si>
  <si>
    <t>RABANAL COLLANTES FANNY LUPITA</t>
  </si>
  <si>
    <t>70476770</t>
  </si>
  <si>
    <t>MENDOCILLA GUERRERO CLAUDIA PAMELA</t>
  </si>
  <si>
    <t>47863844</t>
  </si>
  <si>
    <t>SULLCA FARGE MIGUEL USGARDO</t>
  </si>
  <si>
    <t>44303057</t>
  </si>
  <si>
    <t>SALCEDO CABEZAS NARDIETH NANCY</t>
  </si>
  <si>
    <t>20724445</t>
  </si>
  <si>
    <t>ALVARADO SANTIVAÑEZ VICTOR DANIEL</t>
  </si>
  <si>
    <t>70676048</t>
  </si>
  <si>
    <t>LOPEZ ARCE JUNIOR ALEJANDRO</t>
  </si>
  <si>
    <t>45247186</t>
  </si>
  <si>
    <t>SERRANO CAJO LUIS ANGEL</t>
  </si>
  <si>
    <t>42351895</t>
  </si>
  <si>
    <t>TIRADO PINEDO ALEXANDER ARISTEDES</t>
  </si>
  <si>
    <t>71636079</t>
  </si>
  <si>
    <t>PEREIRA ANYOSA JORGE JESUS</t>
  </si>
  <si>
    <t>MEDICO CIRUGIA GENERAL</t>
  </si>
  <si>
    <t>09513923</t>
  </si>
  <si>
    <t>VILLANUEVA ARELLANO JAVIER JUAN</t>
  </si>
  <si>
    <t>41554796</t>
  </si>
  <si>
    <t>VILLARREAL MALCA DANY DANIEL</t>
  </si>
  <si>
    <t>42839367</t>
  </si>
  <si>
    <t>BONILLA ACHACA MARCELA</t>
  </si>
  <si>
    <t>70932670</t>
  </si>
  <si>
    <t>CARRILLO CARMEN NADIA YOSSELU</t>
  </si>
  <si>
    <t>46562324</t>
  </si>
  <si>
    <t>CASTRO ALVAREZ DIANA DEL PILAR</t>
  </si>
  <si>
    <t>71055656</t>
  </si>
  <si>
    <t>TORRES CORONEL ARACELY</t>
  </si>
  <si>
    <t>45099444</t>
  </si>
  <si>
    <t>IBAÑEZ AGURTO KERYM AMALY</t>
  </si>
  <si>
    <t>73316747</t>
  </si>
  <si>
    <t>TULLUME SANCHEZ ESTEFANY ESTHER</t>
  </si>
  <si>
    <t>40866160</t>
  </si>
  <si>
    <t>VILLALOBOS ZUÑIGA DORIS JESSICA</t>
  </si>
  <si>
    <t>46100174</t>
  </si>
  <si>
    <t>FONTENLA CORDOVA RONALD</t>
  </si>
  <si>
    <t>45319036</t>
  </si>
  <si>
    <t>HERNANDEZ RUIZ JUAN CARLOS</t>
  </si>
  <si>
    <t>44552286</t>
  </si>
  <si>
    <t>GUERRERO CARRILLO LESLIE</t>
  </si>
  <si>
    <t>41616615</t>
  </si>
  <si>
    <t>FACUNDO VICENTE LUZ MARINA</t>
  </si>
  <si>
    <t>71104581</t>
  </si>
  <si>
    <t>PEREZ VALLEJOS CYNTHIA MERCEDES</t>
  </si>
  <si>
    <t>42661146</t>
  </si>
  <si>
    <t>FLORES CAMPOS DILSIA LILA</t>
  </si>
  <si>
    <t>41665344</t>
  </si>
  <si>
    <t>ALFARO LUCERO JOSE DANIEL</t>
  </si>
  <si>
    <t>33579050</t>
  </si>
  <si>
    <t>HUACCHA MALCA VILMA</t>
  </si>
  <si>
    <t>42891812</t>
  </si>
  <si>
    <t>MUÑOZ VILLENA JOSE DAVID</t>
  </si>
  <si>
    <t>16802020</t>
  </si>
  <si>
    <t>SEGURA HUAMAN SONIA</t>
  </si>
  <si>
    <t>41329756</t>
  </si>
  <si>
    <t>VILLENA ZAPATA MARIA LILIANA</t>
  </si>
  <si>
    <t>41618402</t>
  </si>
  <si>
    <t>FERNANDEZ CAMPOS SILVIA</t>
  </si>
  <si>
    <t>41844609</t>
  </si>
  <si>
    <t>SEGURA BALLADARES DEISY LESLYE</t>
  </si>
  <si>
    <t>73370251</t>
  </si>
  <si>
    <t>CHAVEZ MERA JIM BRANDON SMITH</t>
  </si>
  <si>
    <t>TECNICO CONTABLE</t>
  </si>
  <si>
    <t>45141396</t>
  </si>
  <si>
    <t>CULQUE GUIVIN GENESIS</t>
  </si>
  <si>
    <t>47478708</t>
  </si>
  <si>
    <t>HERRERA MEDINA SUSAN GIOVANNY</t>
  </si>
  <si>
    <t>70550915</t>
  </si>
  <si>
    <t>QUINTANA CAYAO GREYSI SHOANY</t>
  </si>
  <si>
    <t>72536382</t>
  </si>
  <si>
    <t>QUIROZ REYES LEIDY ELIZABETH</t>
  </si>
  <si>
    <t>73533940</t>
  </si>
  <si>
    <t>DELGADO DIAZ ELVA ZUCETI</t>
  </si>
  <si>
    <t>76388512</t>
  </si>
  <si>
    <t>RAMOS RAMOS BETZABE</t>
  </si>
  <si>
    <t>45370260</t>
  </si>
  <si>
    <t>CHAVEZ MUÑOZ FERMINA MILAGROS</t>
  </si>
  <si>
    <t>44785798</t>
  </si>
  <si>
    <t>FARFAN TANTALEAN EDSON EDYR</t>
  </si>
  <si>
    <t>41273476</t>
  </si>
  <si>
    <t>HUAYCAMA PINEDO CHELLY DEL PILAR</t>
  </si>
  <si>
    <t>47575503</t>
  </si>
  <si>
    <t>MEDINA RUIZ FABIOLA MADELEYNE</t>
  </si>
  <si>
    <t>42478778</t>
  </si>
  <si>
    <t>MENDOZA CIENFUEGOS EMELINA</t>
  </si>
  <si>
    <t>72722845</t>
  </si>
  <si>
    <t>RIVERA SANDOVAL YESSENIA</t>
  </si>
  <si>
    <t>72073523</t>
  </si>
  <si>
    <t>DAVILA CORONEL YESENIA</t>
  </si>
  <si>
    <t>47605675</t>
  </si>
  <si>
    <t>DELGADO PUPUCHE MELISSA PAOLA</t>
  </si>
  <si>
    <t>80232996</t>
  </si>
  <si>
    <t>IZQUIERDO ESPINAQUE EDITH YANET</t>
  </si>
  <si>
    <t>43572935</t>
  </si>
  <si>
    <t>FLORES RAMOS WILMER</t>
  </si>
  <si>
    <t>45134855</t>
  </si>
  <si>
    <t>FUSTAMANTE ALARCON LUCERO LIZBETH</t>
  </si>
  <si>
    <t>27745192</t>
  </si>
  <si>
    <t>JURUPE GASTULO MIRIAM LILIANA</t>
  </si>
  <si>
    <t>43581069</t>
  </si>
  <si>
    <t>PEREZ QUEVEDO FRANKLIN ROSBELT</t>
  </si>
  <si>
    <t>42542564</t>
  </si>
  <si>
    <t>72941251</t>
  </si>
  <si>
    <t>URIOL ESPARRAGA MIRLY MARILI</t>
  </si>
  <si>
    <t>44396933</t>
  </si>
  <si>
    <t>YRIGOIN RIMARACHIN ALFONSO</t>
  </si>
  <si>
    <t>42589176</t>
  </si>
  <si>
    <t>ALARCON CESPEDES LUCY MAYBEL</t>
  </si>
  <si>
    <t>33586299</t>
  </si>
  <si>
    <t>AYALA MERA NELIDA</t>
  </si>
  <si>
    <t>74950612</t>
  </si>
  <si>
    <t>CERCADO HUAMAN SANDRA</t>
  </si>
  <si>
    <t>40023270</t>
  </si>
  <si>
    <t>CHUQUIMANGO DELGADO JEEHN KELY</t>
  </si>
  <si>
    <t>70070385</t>
  </si>
  <si>
    <t>CRUZADO RODRIGUEZ JUDITH YAHAIRA</t>
  </si>
  <si>
    <t>43187354</t>
  </si>
  <si>
    <t>FARFAN TANTALEAN YANIFFER RUTH</t>
  </si>
  <si>
    <t>47918330</t>
  </si>
  <si>
    <t>JUWAU CUMBIA MONICA</t>
  </si>
  <si>
    <t>46133768</t>
  </si>
  <si>
    <t>MONDRAGON POMIANO BERTHA EMELINA</t>
  </si>
  <si>
    <t>76393923</t>
  </si>
  <si>
    <t>PAREDEZ VILLOSLADA MARIA MERCEDES</t>
  </si>
  <si>
    <t>43276113</t>
  </si>
  <si>
    <t>QUIROZ ROQUE CESAR WILFREDO</t>
  </si>
  <si>
    <t>42769543</t>
  </si>
  <si>
    <t>RIVERA SANCHEZ MARITZA</t>
  </si>
  <si>
    <t>46817082</t>
  </si>
  <si>
    <t>SUAREZ HUAMAN NATALY</t>
  </si>
  <si>
    <t>45869249</t>
  </si>
  <si>
    <t>TORRES LOZADA ARELI</t>
  </si>
  <si>
    <t>47241546</t>
  </si>
  <si>
    <t>VARGAS QUISPE ITALA KESLY</t>
  </si>
  <si>
    <t>BARDALES TAPIA ROSA ISABEL</t>
  </si>
  <si>
    <t>41624768</t>
  </si>
  <si>
    <t>CAYAO CUBAS NANCY RUTH</t>
  </si>
  <si>
    <t>CHAPOÑAN ALVAREZ HILDA LISGOT</t>
  </si>
  <si>
    <t>76190329</t>
  </si>
  <si>
    <t>CHAVEZ CAMPOS JOSE MANUEL</t>
  </si>
  <si>
    <t>72814515</t>
  </si>
  <si>
    <t>FERNANDEZ SANDOVAL RUTH</t>
  </si>
  <si>
    <t>71067325</t>
  </si>
  <si>
    <t>LLUNCOR TERRONES ARACELI VICTORIA</t>
  </si>
  <si>
    <t>46983773</t>
  </si>
  <si>
    <t>RAMOS ROJAS YESENIA</t>
  </si>
  <si>
    <t>45849068</t>
  </si>
  <si>
    <t>SILVA YAJAHUANCA EDITA</t>
  </si>
  <si>
    <t>47964506</t>
  </si>
  <si>
    <t>TORRES MERLO NEYDIS HIENER</t>
  </si>
  <si>
    <t>43384881</t>
  </si>
  <si>
    <t>VASQUEZ DELGADO FABIOLA MARISOL</t>
  </si>
  <si>
    <t>47090692</t>
  </si>
  <si>
    <t>VASQUEZ ESPINOZA AMALY ROSALIA</t>
  </si>
  <si>
    <t>44803926</t>
  </si>
  <si>
    <t>VILELA ESPINOZA YANET TATIANA</t>
  </si>
  <si>
    <t>42863951</t>
  </si>
  <si>
    <t>ADRIANZEN DIAZ DENISSE YEMINNA</t>
  </si>
  <si>
    <t>76959030</t>
  </si>
  <si>
    <t>CARRANZA HUANCAS DEYSY</t>
  </si>
  <si>
    <t>42869446</t>
  </si>
  <si>
    <t>CARRASCO MERLO JESUS ALITA</t>
  </si>
  <si>
    <t>16793912</t>
  </si>
  <si>
    <t>CUEVA BARDALES DE HERRERA LILIANA ESTHER</t>
  </si>
  <si>
    <t>40898827</t>
  </si>
  <si>
    <t>GIL CASTILLO ELIS MILAGROS</t>
  </si>
  <si>
    <t>46119192</t>
  </si>
  <si>
    <t>43384711</t>
  </si>
  <si>
    <t>MALCA NUÑEZ SARITA DEL PILAR</t>
  </si>
  <si>
    <t>73528087</t>
  </si>
  <si>
    <t>MENDOZA DELGADO ANITA</t>
  </si>
  <si>
    <t>47667752</t>
  </si>
  <si>
    <t>MUÑOZ RIOS LUISA MARILI</t>
  </si>
  <si>
    <t>43594357</t>
  </si>
  <si>
    <t>NAVAL CHILCON RAQUEL</t>
  </si>
  <si>
    <t>42047776</t>
  </si>
  <si>
    <t>OCHOA BUSTAMANTE SHISELA</t>
  </si>
  <si>
    <t>72916796</t>
  </si>
  <si>
    <t>RAMIREZ HERNANDEZ LENIN YESSENIA</t>
  </si>
  <si>
    <t>42948597</t>
  </si>
  <si>
    <t>SANCHEZ BARDALES SILVIA YANET</t>
  </si>
  <si>
    <t>33590480</t>
  </si>
  <si>
    <t>VELARDE FLORES LUCY AMPARO</t>
  </si>
  <si>
    <t>45026534</t>
  </si>
  <si>
    <t>BARDALES PEREZ LEYVA</t>
  </si>
  <si>
    <t>75313689</t>
  </si>
  <si>
    <t>CASTAÑEDA TERRONES JOISER ARACELY</t>
  </si>
  <si>
    <t>46597928</t>
  </si>
  <si>
    <t>CASTILLO GOMEZ CINTYA YESSENIA</t>
  </si>
  <si>
    <t>74318137</t>
  </si>
  <si>
    <t>GONZALES COTRINA YESSENIA STEFANY</t>
  </si>
  <si>
    <t>74613683</t>
  </si>
  <si>
    <t>HUACHES CHAMBES MARIXZA</t>
  </si>
  <si>
    <t>75925973</t>
  </si>
  <si>
    <t>MONCADA GONZALES ESMERALDA LUZ CLARITA</t>
  </si>
  <si>
    <t>73645070</t>
  </si>
  <si>
    <t>MONTERO CARMEN JUNIOR</t>
  </si>
  <si>
    <t>72431421</t>
  </si>
  <si>
    <t>MOZA LINGAN EMELY EDITH</t>
  </si>
  <si>
    <t>77209876</t>
  </si>
  <si>
    <t>TORRES PALOMINO ROSMERY NATHALY</t>
  </si>
  <si>
    <t>72289297</t>
  </si>
  <si>
    <t>VIDAURRE CHILCON LESLY YASMIN</t>
  </si>
  <si>
    <t>42399812</t>
  </si>
  <si>
    <t>APONTE MERINO CATHERINE DEL ROSARIO</t>
  </si>
  <si>
    <t>77355780</t>
  </si>
  <si>
    <t>GUEVARA TAPIA DIANA LESLY</t>
  </si>
  <si>
    <t>46931468</t>
  </si>
  <si>
    <t>RAFAEL LINAREZ NOEMI</t>
  </si>
  <si>
    <t>33591334</t>
  </si>
  <si>
    <t>TANTA LLIQUE FANY ITAMAR</t>
  </si>
  <si>
    <t>43055085</t>
  </si>
  <si>
    <t>TINEO VALLES SOCORRO ANA</t>
  </si>
  <si>
    <t>43052112</t>
  </si>
  <si>
    <t>43701678</t>
  </si>
  <si>
    <t>ROQUE MEGO JOVITA</t>
  </si>
  <si>
    <t>43398036</t>
  </si>
  <si>
    <t>CHAVEZ HUACCHA ROSMERY</t>
  </si>
  <si>
    <t>73431273</t>
  </si>
  <si>
    <t>CORONEL TOCTO NEIL ABNER</t>
  </si>
  <si>
    <t>46100420</t>
  </si>
  <si>
    <t>AYAY TEJADA DIANA DENISSE</t>
  </si>
  <si>
    <t>72353461</t>
  </si>
  <si>
    <t>MONTEZA LLONTOP CESAR FERNANDO</t>
  </si>
  <si>
    <t>46288165</t>
  </si>
  <si>
    <t>VARGAS URIARTE BANNESA SMITH</t>
  </si>
  <si>
    <t>41058074</t>
  </si>
  <si>
    <t>VILLALOBOS GAMARRA SANDRA URSULA</t>
  </si>
  <si>
    <t>48035996</t>
  </si>
  <si>
    <t>VILLEGAS CARRASCO OLMENARA</t>
  </si>
  <si>
    <t>75596797</t>
  </si>
  <si>
    <t>DE LA CRUZ REYES LILIAN IRENE</t>
  </si>
  <si>
    <t>43858471</t>
  </si>
  <si>
    <t>FLORES CAMPOS GIOVANY</t>
  </si>
  <si>
    <t>71099093</t>
  </si>
  <si>
    <t>SAUCEDO RUIZ MAX KEVIN</t>
  </si>
  <si>
    <t>72146640</t>
  </si>
  <si>
    <t>MEJIA VEGA THALIA FIORELLA</t>
  </si>
  <si>
    <t>33588054</t>
  </si>
  <si>
    <t>DIAZ VIGO ORLANDO</t>
  </si>
  <si>
    <t>TECNICO EN TRANSPORTE</t>
  </si>
  <si>
    <t>16451874</t>
  </si>
  <si>
    <t>GONZALES VILLEGAS JORGE LUIS</t>
  </si>
  <si>
    <t>80151101</t>
  </si>
  <si>
    <t>PRADO CORTEZ PABLO ALFREDO</t>
  </si>
  <si>
    <t>41866908</t>
  </si>
  <si>
    <t>ZULUETA VITON DAISY FANNY</t>
  </si>
  <si>
    <t>46545806</t>
  </si>
  <si>
    <t>ELERA CORDOVA WANDER SAMUEL</t>
  </si>
  <si>
    <t>42910625</t>
  </si>
  <si>
    <t>LOZADA DIAZ DIANA YALINI</t>
  </si>
  <si>
    <t>CAJUSOL MERINO JARDELI MARIA</t>
  </si>
  <si>
    <t>72361491</t>
  </si>
  <si>
    <t>FERNANDEZ SUAREZ SHIRLEY BEATRIZ</t>
  </si>
  <si>
    <t>73224560</t>
  </si>
  <si>
    <t>GONZALES GARCIA JORGE ANTONIO</t>
  </si>
  <si>
    <t>47659974</t>
  </si>
  <si>
    <t>PACHAMORA TORRES MATILDE SHUNELLI</t>
  </si>
  <si>
    <t>33662549</t>
  </si>
  <si>
    <t>ALVAREZ LOZANO MARIA LICIDA</t>
  </si>
  <si>
    <t>33564112</t>
  </si>
  <si>
    <t>BAYONA NEVADO MANFREDO</t>
  </si>
  <si>
    <t>33589129</t>
  </si>
  <si>
    <t>CHOLAN ARCE DORIS ESTHER</t>
  </si>
  <si>
    <t>33590970</t>
  </si>
  <si>
    <t>CRUZ CORRALES MANUEL</t>
  </si>
  <si>
    <t>42047771</t>
  </si>
  <si>
    <t>DILAS CHOLAN VILMA JANETH</t>
  </si>
  <si>
    <t>ILATOMA LARA CLAUDELINA</t>
  </si>
  <si>
    <t>33588837</t>
  </si>
  <si>
    <t>LOPEZ CERNA FANNY BIVIAN</t>
  </si>
  <si>
    <t>16712710</t>
  </si>
  <si>
    <t>LOZANO ESPINOZA VICTORIA</t>
  </si>
  <si>
    <t>17533002</t>
  </si>
  <si>
    <t>MEGO FERNANDEZ JULIO CESAR</t>
  </si>
  <si>
    <t>41915646</t>
  </si>
  <si>
    <t>RIVERA ESTELA JOEL</t>
  </si>
  <si>
    <t>44918371</t>
  </si>
  <si>
    <t>RUBIO CUBAS MAGALY</t>
  </si>
  <si>
    <t>33592191</t>
  </si>
  <si>
    <t>SANCHEZ SANCHEZ LUIS GABRIEL</t>
  </si>
  <si>
    <t>80559386</t>
  </si>
  <si>
    <t>SANDOVAL RUEDA SHEILLAH MARIA DEL CARMEN</t>
  </si>
  <si>
    <t>33589837</t>
  </si>
  <si>
    <t>SORIANO FERRE TERESA VICTORIA</t>
  </si>
  <si>
    <t>33566425</t>
  </si>
  <si>
    <t>TEJADA PALOMINO SEGUNDA JULIA</t>
  </si>
  <si>
    <t>45108225</t>
  </si>
  <si>
    <t>VASQUEZ BURGA ESPERANZA</t>
  </si>
  <si>
    <t>33595683</t>
  </si>
  <si>
    <t>ALVAREZ ILATOMA IRMA</t>
  </si>
  <si>
    <t>02814872</t>
  </si>
  <si>
    <t>CARMEN PANTA MARGARITA</t>
  </si>
  <si>
    <t>48174487</t>
  </si>
  <si>
    <t>CARRASCO OBLITAS ERIK FRANCISCO</t>
  </si>
  <si>
    <t>75221757</t>
  </si>
  <si>
    <t>CASTAÑEDA TERRONES JOUSEP HANDERSON</t>
  </si>
  <si>
    <t>46380090</t>
  </si>
  <si>
    <t>MEJIA PANGALIMA MARLENY</t>
  </si>
  <si>
    <t>33588810</t>
  </si>
  <si>
    <t>CASTAÑEDA MENDOZA FELIX JORGE</t>
  </si>
  <si>
    <t>41483909</t>
  </si>
  <si>
    <t>DAVILA PASAPERA CARLOS ALBERTO</t>
  </si>
  <si>
    <t>41310303</t>
  </si>
  <si>
    <t>DIAZ JULON WILIAN NIXON</t>
  </si>
  <si>
    <t>80291412</t>
  </si>
  <si>
    <t>GRANADOS SACA CARLOS IVAN</t>
  </si>
  <si>
    <t>41483906</t>
  </si>
  <si>
    <t>MONJA FARROÑAY ARMIN BELTRAN</t>
  </si>
  <si>
    <t>73364062</t>
  </si>
  <si>
    <t>VALDIVIESO VELA OSCAR JEREMY</t>
  </si>
  <si>
    <t>44680799</t>
  </si>
  <si>
    <t>VASQUEZ RIPALDA EDWIN EDILBERTO</t>
  </si>
  <si>
    <t>41876100</t>
  </si>
  <si>
    <t>VELARDE FLORES LUIS ALBERTO</t>
  </si>
  <si>
    <t>73315525</t>
  </si>
  <si>
    <t>TORO RIVERA JEISON JOEL</t>
  </si>
  <si>
    <t>404 - 1350 SALUD UTCUBAMBA</t>
  </si>
  <si>
    <t>71351436</t>
  </si>
  <si>
    <t>ABAD ABAD ANA MARIA</t>
  </si>
  <si>
    <t>TITULO  TECNICO</t>
  </si>
  <si>
    <t>47620640</t>
  </si>
  <si>
    <t>ABAD ABAD JAMBER YONEL</t>
  </si>
  <si>
    <t>40942981</t>
  </si>
  <si>
    <t>ACUÑA TINOCO MARGARITA</t>
  </si>
  <si>
    <t>44931103</t>
  </si>
  <si>
    <t>AGREDA HUATANGARE JESSICA MALU</t>
  </si>
  <si>
    <t>45524296</t>
  </si>
  <si>
    <t>ALARCON DIAZ MARIA BERTHA</t>
  </si>
  <si>
    <t>43933892</t>
  </si>
  <si>
    <t>ALARCON FERNANDEZ MARILU</t>
  </si>
  <si>
    <t>71088004</t>
  </si>
  <si>
    <t>ALARCON SAAVEDRA CARMEN ROSALIA</t>
  </si>
  <si>
    <t>40358423</t>
  </si>
  <si>
    <t>ALBITRES AGUIRRE MARLENY</t>
  </si>
  <si>
    <t>73331809</t>
  </si>
  <si>
    <t>ALTAMIRANO ZEÑA MARIA MERCEDES</t>
  </si>
  <si>
    <t>41148041</t>
  </si>
  <si>
    <t>ALVARADO HERRERA VILMA ROSA</t>
  </si>
  <si>
    <t>40072354</t>
  </si>
  <si>
    <t>ALVARADO LOZANO GLADIS ELENA</t>
  </si>
  <si>
    <t>44478695</t>
  </si>
  <si>
    <t>AMPUERO MORALES FILIBERTO</t>
  </si>
  <si>
    <t>41897611</t>
  </si>
  <si>
    <t>ANGELES VILAS ELVA SADITH</t>
  </si>
  <si>
    <t>45942607</t>
  </si>
  <si>
    <t>ARAUJO SALDAÑA JHOVANY ESTHER</t>
  </si>
  <si>
    <t>71083926</t>
  </si>
  <si>
    <t>ARBAÑIL RABANAL ADELA ESTEFANY</t>
  </si>
  <si>
    <t>70863899</t>
  </si>
  <si>
    <t>ARICA VASQUEZ ALICIA NOEMI</t>
  </si>
  <si>
    <t>45344723</t>
  </si>
  <si>
    <t>ARMIJOS COLALA JOLMER</t>
  </si>
  <si>
    <t>48023733</t>
  </si>
  <si>
    <t>AYAY GUEVARA WILSON</t>
  </si>
  <si>
    <t>47731767</t>
  </si>
  <si>
    <t>BALLENA MONTEZA ELSA KATHERINE</t>
  </si>
  <si>
    <t>AUXILIAR DE MANTENIMIENTO</t>
  </si>
  <si>
    <t>40295742</t>
  </si>
  <si>
    <t>BALLONA PAIVA JOSE ALFREDO</t>
  </si>
  <si>
    <t>47649904</t>
  </si>
  <si>
    <t>BARDALES TAPIA BERTHA ELVIRA</t>
  </si>
  <si>
    <t>73347173</t>
  </si>
  <si>
    <t>BECERRA SANCHEZ YAJAIRA ELIBETH</t>
  </si>
  <si>
    <t>40665279</t>
  </si>
  <si>
    <t>BERRU GUIDINO ELSA DISLENY</t>
  </si>
  <si>
    <t>44823502</t>
  </si>
  <si>
    <t>BONILLA FLORES AMELIA ELIZET</t>
  </si>
  <si>
    <t>40275735</t>
  </si>
  <si>
    <t>BUSTAMANTE CHAVEZ ELISA</t>
  </si>
  <si>
    <t>40343660</t>
  </si>
  <si>
    <t>BUSTAMANTE FERNANDEZ ROSA ESPERANZA</t>
  </si>
  <si>
    <t>41861469</t>
  </si>
  <si>
    <t>BUSTAMANTE RIVERA WILLIAN</t>
  </si>
  <si>
    <t>44070123</t>
  </si>
  <si>
    <t>BUSTAMANTE SANCHEZ OFERLINDA</t>
  </si>
  <si>
    <t>ANALISTA EN PRESUPUESTO</t>
  </si>
  <si>
    <t>42274678</t>
  </si>
  <si>
    <t>CABREJOS QUIROZ LETICIA AZUCENA</t>
  </si>
  <si>
    <t>43896198</t>
  </si>
  <si>
    <t>CABRERA BUSTAMANTE EMELINA</t>
  </si>
  <si>
    <t>43581447</t>
  </si>
  <si>
    <t>CABRERA FERNANDEZ MARCIAL</t>
  </si>
  <si>
    <t>46565417</t>
  </si>
  <si>
    <t>CABRERA OLANO LUZ MERY</t>
  </si>
  <si>
    <t>73214074</t>
  </si>
  <si>
    <t>CABRERA VILLALOBOS NOEMI LIZAMAR</t>
  </si>
  <si>
    <t>ENCARGADO DE ARCHIVO</t>
  </si>
  <si>
    <t>46212408</t>
  </si>
  <si>
    <t>CALDERON LLAMO GRIBOYED LEVCHUK IVANOVITCH</t>
  </si>
  <si>
    <t>46685869</t>
  </si>
  <si>
    <t>CALDERON MENDOZA YUBIXA EDYTH</t>
  </si>
  <si>
    <t>46402144</t>
  </si>
  <si>
    <t>CAMACHO IZQUIERDO MARIBEL</t>
  </si>
  <si>
    <t>41097362</t>
  </si>
  <si>
    <t>CAMPOS REQUEJO CONSUELO MABEL</t>
  </si>
  <si>
    <t>46578056</t>
  </si>
  <si>
    <t>CANALES DIOSES ANITA LUISA</t>
  </si>
  <si>
    <t>21513388</t>
  </si>
  <si>
    <t>CARPIO HERNANDEZ JOSE ALBERTO</t>
  </si>
  <si>
    <t>47181449</t>
  </si>
  <si>
    <t>CARRANZA DIAZ REBECA</t>
  </si>
  <si>
    <t>76480200</t>
  </si>
  <si>
    <t>CARRANZA RIMARACHIN FLOR DELIZA</t>
  </si>
  <si>
    <t>45222837</t>
  </si>
  <si>
    <t>CARRASCO CARHUAJULCA EINER</t>
  </si>
  <si>
    <t>70835260</t>
  </si>
  <si>
    <t>CARRASCO DIAZ LOIVER ENRIQUE</t>
  </si>
  <si>
    <t>47864745</t>
  </si>
  <si>
    <t>CARRERO ACHA BLANCA FLOR</t>
  </si>
  <si>
    <t>71587751</t>
  </si>
  <si>
    <t>CARUAJULCA CHAVEZ NEXAR YOVER</t>
  </si>
  <si>
    <t>42630885</t>
  </si>
  <si>
    <t>CASTILLO RODRIGUEZ LUIS ENRIQUE</t>
  </si>
  <si>
    <t>27434329</t>
  </si>
  <si>
    <t>CASTILLO TINEO MERCEDES</t>
  </si>
  <si>
    <t>33669547</t>
  </si>
  <si>
    <t>CASTRO CHUQUICAHUA TEOFILO</t>
  </si>
  <si>
    <t>43646680</t>
  </si>
  <si>
    <t>CASTRO GALLO ROXANA</t>
  </si>
  <si>
    <t>44986701</t>
  </si>
  <si>
    <t>CASTRO RAMIREZ DORALIZA</t>
  </si>
  <si>
    <t>43553257</t>
  </si>
  <si>
    <t>CERRO SAMAME DEYSI YANETH</t>
  </si>
  <si>
    <t>42645721</t>
  </si>
  <si>
    <t>CHAMBA SALAZAR MARISOL</t>
  </si>
  <si>
    <t>43232023</t>
  </si>
  <si>
    <t>CHAVEZ DAVILA TERESA EDITA</t>
  </si>
  <si>
    <t>48414791</t>
  </si>
  <si>
    <t>CHAVEZ FERNANDEZ DIANA</t>
  </si>
  <si>
    <t>44223945</t>
  </si>
  <si>
    <t>CHAVEZ MONSALVE WILLAN MARINO</t>
  </si>
  <si>
    <t>42456781</t>
  </si>
  <si>
    <t>CHAVEZ SOLANO YULISHA</t>
  </si>
  <si>
    <t>46291988</t>
  </si>
  <si>
    <t>CHERO MILLONES ROSA IRENE</t>
  </si>
  <si>
    <t>74443314</t>
  </si>
  <si>
    <t>CHINGO PORTAL LALO JOSE</t>
  </si>
  <si>
    <t>41836427</t>
  </si>
  <si>
    <t>CHUQUILIN ANGULO HEIDY DIANA</t>
  </si>
  <si>
    <t>80303212</t>
  </si>
  <si>
    <t>CHUQUIMANGO AGIP HIDELFONSO</t>
  </si>
  <si>
    <t>48521352</t>
  </si>
  <si>
    <t>CHUQUIMANGO VASQUEZ RUT CONSUELO</t>
  </si>
  <si>
    <t>43976420</t>
  </si>
  <si>
    <t>CLAVO ALVARADO SARITA</t>
  </si>
  <si>
    <t>46888731</t>
  </si>
  <si>
    <t>CLAVO CUBAS PIER ALEXANDER</t>
  </si>
  <si>
    <t>73663964</t>
  </si>
  <si>
    <t>COLUNCHE FLORES MARIA ELITA</t>
  </si>
  <si>
    <t>33673035</t>
  </si>
  <si>
    <t>COLUNCHE TICLLA MARILU</t>
  </si>
  <si>
    <t>40238645</t>
  </si>
  <si>
    <t>CONSANCHILON HOYOS LIDIA</t>
  </si>
  <si>
    <t>80536957</t>
  </si>
  <si>
    <t>COPIA CRUZ JOSE SAMUEL</t>
  </si>
  <si>
    <t>45829009</t>
  </si>
  <si>
    <t>CORDOVA DELGADO MORONI</t>
  </si>
  <si>
    <t>44103756</t>
  </si>
  <si>
    <t>CORDOVA MANOSALVA GLORIA</t>
  </si>
  <si>
    <t>42070286</t>
  </si>
  <si>
    <t>CORONEL PORTILLA DIANA</t>
  </si>
  <si>
    <t>45832938</t>
  </si>
  <si>
    <t>CORONEL SANCHEZ GLADIS</t>
  </si>
  <si>
    <t>42570239</t>
  </si>
  <si>
    <t>CORONEL SILVA EDELITA</t>
  </si>
  <si>
    <t>80249053</t>
  </si>
  <si>
    <t>CORRALES PEREZ DELMER BLADIMIR</t>
  </si>
  <si>
    <t>48214454</t>
  </si>
  <si>
    <t>CORRALES VASQUEZ ROSA FAVIOLA</t>
  </si>
  <si>
    <t>70084588</t>
  </si>
  <si>
    <t>CORTEZ CUBAS KARELL LIZZETH</t>
  </si>
  <si>
    <t>45512602</t>
  </si>
  <si>
    <t>CORTEZ MARIN LUZ EMELITA</t>
  </si>
  <si>
    <t>46302615</t>
  </si>
  <si>
    <t>CRUZ HEREDIA LEYDI</t>
  </si>
  <si>
    <t>43274142</t>
  </si>
  <si>
    <t>CRUZ SUAREZ JONNY</t>
  </si>
  <si>
    <t>41505853</t>
  </si>
  <si>
    <t>CRUZ TORRES MARIA ANITA</t>
  </si>
  <si>
    <t>70849277</t>
  </si>
  <si>
    <t>CUBAS BERNAL HAYDEE REBECA</t>
  </si>
  <si>
    <t>41674460</t>
  </si>
  <si>
    <t>CUBAS CAMACHO ELVA</t>
  </si>
  <si>
    <t>45056481</t>
  </si>
  <si>
    <t>CUBAS CRUZ JHESSY</t>
  </si>
  <si>
    <t>47538568</t>
  </si>
  <si>
    <t>CUBAS GOMEZ RONALD</t>
  </si>
  <si>
    <t>41879351</t>
  </si>
  <si>
    <t>CUSTODIO MEDINA ALEX ELIAZAR</t>
  </si>
  <si>
    <t>43864334</t>
  </si>
  <si>
    <t>DAVILA CORONEL LILIANA MARILIT</t>
  </si>
  <si>
    <t>43628183</t>
  </si>
  <si>
    <t>DE LA CRUZ PRETEL DE SILVA INGRID MARILU</t>
  </si>
  <si>
    <t>43353029</t>
  </si>
  <si>
    <t>DELGADO CABRERA EDILBERTO</t>
  </si>
  <si>
    <t>41271389</t>
  </si>
  <si>
    <t>DELGADO CALDERON MAGNA MEDALI</t>
  </si>
  <si>
    <t>47089725</t>
  </si>
  <si>
    <t>DELGADO SANCHEZ STEPHANIE CAROLINA</t>
  </si>
  <si>
    <t>70084621</t>
  </si>
  <si>
    <t>DIAZ BRAVO CLAYRE JAQUELINE</t>
  </si>
  <si>
    <t>48818752</t>
  </si>
  <si>
    <t>DIAZ CIEZA ELIDA</t>
  </si>
  <si>
    <t>33675920</t>
  </si>
  <si>
    <t>DIAZ CUBAS ANITA</t>
  </si>
  <si>
    <t>45744582</t>
  </si>
  <si>
    <t>DIAZ DAVILA NELSON JHONY</t>
  </si>
  <si>
    <t>33670370</t>
  </si>
  <si>
    <t>DIAZ DIAZ PORFIRIO</t>
  </si>
  <si>
    <t>43342227</t>
  </si>
  <si>
    <t>DIAZ GONZALES DEYSI</t>
  </si>
  <si>
    <t>72367769</t>
  </si>
  <si>
    <t>DIAZ HEREDIA SHIRLEY BRIGGITE</t>
  </si>
  <si>
    <t>45365660</t>
  </si>
  <si>
    <t>DIAZ ROJAS MARIA DORILA</t>
  </si>
  <si>
    <t>70906938</t>
  </si>
  <si>
    <t>DIAZ VILLANUEVA DIONILA</t>
  </si>
  <si>
    <t>40451394</t>
  </si>
  <si>
    <t>DOMINGUEZ BERRU ARCELY NOEMI</t>
  </si>
  <si>
    <t>48029238</t>
  </si>
  <si>
    <t>ESTEVES GARCIA MILAGROS SOLEDAD</t>
  </si>
  <si>
    <t>33567612</t>
  </si>
  <si>
    <t>FERIA PUELLES MARCO ANTONIO</t>
  </si>
  <si>
    <t>33678277</t>
  </si>
  <si>
    <t>FERNANDEZ CHUQUIZUTA LITA</t>
  </si>
  <si>
    <t>33678771</t>
  </si>
  <si>
    <t>FERNANDEZ DIAZ ABEL OCTAVIO</t>
  </si>
  <si>
    <t>33676807</t>
  </si>
  <si>
    <t>FERNANDEZ RISCO NELY</t>
  </si>
  <si>
    <t>42340607</t>
  </si>
  <si>
    <t>FERNANDEZ VASQUEZ LEILIS SUSANA</t>
  </si>
  <si>
    <t>33655788</t>
  </si>
  <si>
    <t>FLORES GONZALES LUZDINA</t>
  </si>
  <si>
    <t>71069901</t>
  </si>
  <si>
    <t>FLORES RAMIREZ MARIA MAGDALENA</t>
  </si>
  <si>
    <t>41066446</t>
  </si>
  <si>
    <t>FLORES RAMOS EIDA</t>
  </si>
  <si>
    <t>73534076</t>
  </si>
  <si>
    <t>FLORES VASQUEZ JORDAN EMILIANO</t>
  </si>
  <si>
    <t>33673314</t>
  </si>
  <si>
    <t>FLORES VASQUEZ VIOLETA</t>
  </si>
  <si>
    <t>33670926</t>
  </si>
  <si>
    <t>FLORIAN DAVILA JOSEFINA</t>
  </si>
  <si>
    <t>44618747</t>
  </si>
  <si>
    <t>GALLARDO DAVILA LISETH PETRONILA</t>
  </si>
  <si>
    <t>33671458</t>
  </si>
  <si>
    <t>GAMARRA CABRERA SERGIO HUMBERTO</t>
  </si>
  <si>
    <t>47120493</t>
  </si>
  <si>
    <t>GARCIA CASTILLO LEYDI CATHERINE</t>
  </si>
  <si>
    <t>72218002</t>
  </si>
  <si>
    <t>GASTELO DAVILA BRYAN</t>
  </si>
  <si>
    <t>45047907</t>
  </si>
  <si>
    <t>GOMEZ VALLEJO GLORIA MARGARITA</t>
  </si>
  <si>
    <t>47218754</t>
  </si>
  <si>
    <t>GONZA GARCIA GOIBER</t>
  </si>
  <si>
    <t>72928471</t>
  </si>
  <si>
    <t>GONZALES ANDONAYRE ELIANA LUCINDA</t>
  </si>
  <si>
    <t>42562128</t>
  </si>
  <si>
    <t>GONZALES BARBOZA NELIDA</t>
  </si>
  <si>
    <t>TECNICO EN INFORMATICA</t>
  </si>
  <si>
    <t>33578873</t>
  </si>
  <si>
    <t>GONZALES HEREDIA AMERICA</t>
  </si>
  <si>
    <t>47646920</t>
  </si>
  <si>
    <t>GONZALEZ VASQUEZ YAKELINI</t>
  </si>
  <si>
    <t>40600939</t>
  </si>
  <si>
    <t>GORDILLO ANDRADE OSCAR</t>
  </si>
  <si>
    <t>44163528</t>
  </si>
  <si>
    <t>GRANDA COTRINA MIRTHA</t>
  </si>
  <si>
    <t>33659421</t>
  </si>
  <si>
    <t>GUERRERO CRUZALEGUI GILMER</t>
  </si>
  <si>
    <t>45277761</t>
  </si>
  <si>
    <t>GUEVARA CHANTA YANINA ELIZABETH</t>
  </si>
  <si>
    <t>46570583</t>
  </si>
  <si>
    <t>GUEVARA COLLANTES LIDER</t>
  </si>
  <si>
    <t>80688485</t>
  </si>
  <si>
    <t>GUEVARA GUAMURO ELVA FAVIOLA</t>
  </si>
  <si>
    <t>33677654</t>
  </si>
  <si>
    <t>GUEVARA PEREZ JUANITO</t>
  </si>
  <si>
    <t>33655763</t>
  </si>
  <si>
    <t>GUEVARA ROJAS REYNALDO</t>
  </si>
  <si>
    <t>71086289</t>
  </si>
  <si>
    <t>GUEVARA SANCHEZ ADAMS TOMAS</t>
  </si>
  <si>
    <t>47189649</t>
  </si>
  <si>
    <t>GUEVARA TAPIA RAYSA YAMALI</t>
  </si>
  <si>
    <t>71193725</t>
  </si>
  <si>
    <t>GUIOP HUAMAN DEYVIN</t>
  </si>
  <si>
    <t>44069802</t>
  </si>
  <si>
    <t>HEREDIA CABRERA ELVIRA</t>
  </si>
  <si>
    <t>40961704</t>
  </si>
  <si>
    <t>HEREDIA PORRAS JOSE DAVID</t>
  </si>
  <si>
    <t>46400221</t>
  </si>
  <si>
    <t>HERNANDEZ DIAZ ZARELITA</t>
  </si>
  <si>
    <t>46542260</t>
  </si>
  <si>
    <t>HERNANDEZ GARCIA HITLER</t>
  </si>
  <si>
    <t>42897924</t>
  </si>
  <si>
    <t>HERNANDEZ LIZANA MERLIT ESMIT</t>
  </si>
  <si>
    <t>45010545</t>
  </si>
  <si>
    <t>HIDROGO AREVALO LUZ RAQUEL</t>
  </si>
  <si>
    <t>70071686</t>
  </si>
  <si>
    <t>IDROGO CORONEL WILER PETIT</t>
  </si>
  <si>
    <t>45089014</t>
  </si>
  <si>
    <t>IDROGO PEREZ LENIN EINER</t>
  </si>
  <si>
    <t>33669502</t>
  </si>
  <si>
    <t>IRIGOIN MARRUFO NORVIL</t>
  </si>
  <si>
    <t>46948234</t>
  </si>
  <si>
    <t>IZQUIERDO ROJAS MARLENY YULIANA</t>
  </si>
  <si>
    <t>47385650</t>
  </si>
  <si>
    <t>JARA DELGADO CARLOS JUNIOR</t>
  </si>
  <si>
    <t>42179368</t>
  </si>
  <si>
    <t>JIMENEZ SAAVEDRA MARIA ROSARIO</t>
  </si>
  <si>
    <t>40942970</t>
  </si>
  <si>
    <t>JIMENEZ SALAZAR HENRY</t>
  </si>
  <si>
    <t>40850430</t>
  </si>
  <si>
    <t>JULCA GUERRERO NERY</t>
  </si>
  <si>
    <t>43278112</t>
  </si>
  <si>
    <t>JULCA MENDOZA SILVIA</t>
  </si>
  <si>
    <t>47164305</t>
  </si>
  <si>
    <t>JULCA SANTILLAN SAMMY JEYNER</t>
  </si>
  <si>
    <t>41618403</t>
  </si>
  <si>
    <t>LEON GUEVARA BELERMINA</t>
  </si>
  <si>
    <t>47143008</t>
  </si>
  <si>
    <t>LEYVA SEVERINO KERINE</t>
  </si>
  <si>
    <t>40564548</t>
  </si>
  <si>
    <t>LIZANA TACILIA VIVIANA ELIZABETH</t>
  </si>
  <si>
    <t>45986960</t>
  </si>
  <si>
    <t>LLAMO MONDRAGON JUAN CARLOS</t>
  </si>
  <si>
    <t>72446544</t>
  </si>
  <si>
    <t>LLAMO MONDRAGON ROSA</t>
  </si>
  <si>
    <t>46847436</t>
  </si>
  <si>
    <t>LLANOS CAYACA LUZ NELLY</t>
  </si>
  <si>
    <t>43176529</t>
  </si>
  <si>
    <t>LLONTOP QUINTANA JOSE ALAN</t>
  </si>
  <si>
    <t>70211822</t>
  </si>
  <si>
    <t>LOPEZ TORREJON MARIA CRISTINA</t>
  </si>
  <si>
    <t>41298927</t>
  </si>
  <si>
    <t>LOPEZ VERA DANITZA</t>
  </si>
  <si>
    <t>40850446</t>
  </si>
  <si>
    <t>LOZANO AREVALO AOSBER</t>
  </si>
  <si>
    <t>47164582</t>
  </si>
  <si>
    <t>LOZANO TAPIA HECTOR RIGOBERTO</t>
  </si>
  <si>
    <t>45219939</t>
  </si>
  <si>
    <t>LUMBA TERRONES LUZ ELENA</t>
  </si>
  <si>
    <t>46376785</t>
  </si>
  <si>
    <t>MARIN GUEVARA PATRICIA OFELIA</t>
  </si>
  <si>
    <t>41332543</t>
  </si>
  <si>
    <t>MARTINEZ FERNANDEZ YENY JANET</t>
  </si>
  <si>
    <t>09993682</t>
  </si>
  <si>
    <t>MARTINEZ GUADALUPE NANCY</t>
  </si>
  <si>
    <t>47331235</t>
  </si>
  <si>
    <t>MARTINEZ MEGO LILITA</t>
  </si>
  <si>
    <t>33671188</t>
  </si>
  <si>
    <t>MEDINA VASQUEZ MARIA ELENA</t>
  </si>
  <si>
    <t>80321794</t>
  </si>
  <si>
    <t>MEDINA VILLEGAS RONSES BENJAMIN</t>
  </si>
  <si>
    <t>48029412</t>
  </si>
  <si>
    <t>MEJIA COTRINA JANET JACKELINE</t>
  </si>
  <si>
    <t>44579230</t>
  </si>
  <si>
    <t>MEJIA RUIZ HITAÑA MEYSAR</t>
  </si>
  <si>
    <t>40916126</t>
  </si>
  <si>
    <t>MELENDEZ TRAUCO GLADYS MARITZA</t>
  </si>
  <si>
    <t>40937595</t>
  </si>
  <si>
    <t>MENCHOLA TORRES NARHYA ESTELA</t>
  </si>
  <si>
    <t>41393456</t>
  </si>
  <si>
    <t>MENDOZA ALVITES YOVANY</t>
  </si>
  <si>
    <t>70850971</t>
  </si>
  <si>
    <t>MENDOZA MELENDEZ MIRIAN MERCEDES</t>
  </si>
  <si>
    <t>71818464</t>
  </si>
  <si>
    <t>MENDOZA ORTEGA MILAGROS JAMILET</t>
  </si>
  <si>
    <t>43539000</t>
  </si>
  <si>
    <t>MERA OROSCO LUISA VICTORIA</t>
  </si>
  <si>
    <t>09456689</t>
  </si>
  <si>
    <t>MERA SALAZAR MAHYERLEN GOLDIE</t>
  </si>
  <si>
    <t>71547933</t>
  </si>
  <si>
    <t>MERINO GUEVARA JHAQUELINE</t>
  </si>
  <si>
    <t>44287294</t>
  </si>
  <si>
    <t>MESTANZA JIMENEZ SELENE</t>
  </si>
  <si>
    <t>44805259</t>
  </si>
  <si>
    <t>MOLOCHO ESTELA IRMA</t>
  </si>
  <si>
    <t>40762018</t>
  </si>
  <si>
    <t>MONTALVAN DELGADO ELVA</t>
  </si>
  <si>
    <t>48180767</t>
  </si>
  <si>
    <t>MONTALVAN PARIHUAMAN ROXANA</t>
  </si>
  <si>
    <t>41269873</t>
  </si>
  <si>
    <t>MONTALVO VASQUEZ DAVID</t>
  </si>
  <si>
    <t>70430734</t>
  </si>
  <si>
    <t>MONTEZA BUSTAMANTE TATIANA ELVIRA</t>
  </si>
  <si>
    <t>72628557</t>
  </si>
  <si>
    <t>MORI VILCHEZ ROLY</t>
  </si>
  <si>
    <t>33678724</t>
  </si>
  <si>
    <t>MUÑOZ BARBOZA MELVA</t>
  </si>
  <si>
    <t>40343647</t>
  </si>
  <si>
    <t>MUÑOZ CHAVEZ VICTOR MANUEL</t>
  </si>
  <si>
    <t>70077678</t>
  </si>
  <si>
    <t>NIÑO RODRIGUEZ JASSANIA IRENE</t>
  </si>
  <si>
    <t>41750142</t>
  </si>
  <si>
    <t>NUÑEZ ABANTO LIZ DORIS</t>
  </si>
  <si>
    <t>27420591</t>
  </si>
  <si>
    <t>NUÑEZ CAMPOS ALADINO</t>
  </si>
  <si>
    <t>47849689</t>
  </si>
  <si>
    <t>NUÑEZ MEJIA DIANA</t>
  </si>
  <si>
    <t>71497535</t>
  </si>
  <si>
    <t>NUÑEZ PEREZ FIORELA KATHERINE</t>
  </si>
  <si>
    <t>33664014</t>
  </si>
  <si>
    <t>NUÑEZ TAPIA TEODORICO</t>
  </si>
  <si>
    <t>45762946</t>
  </si>
  <si>
    <t>NUÑEZ VENTURA RUDDY EMELY</t>
  </si>
  <si>
    <t>42949047</t>
  </si>
  <si>
    <t>OBLITAS DAVILA AMBERLE</t>
  </si>
  <si>
    <t>43279278</t>
  </si>
  <si>
    <t>OLANO DAVILA LUCY MAGALY</t>
  </si>
  <si>
    <t>45730644</t>
  </si>
  <si>
    <t>OLANO DIAZ EVA</t>
  </si>
  <si>
    <t>43350620</t>
  </si>
  <si>
    <t>OLANO MANOSALVA ZULY NELU</t>
  </si>
  <si>
    <t>46167441</t>
  </si>
  <si>
    <t>OSORIO REYES BETTY MILAGROS</t>
  </si>
  <si>
    <t>CONTADORA PUBLICO</t>
  </si>
  <si>
    <t>43896965</t>
  </si>
  <si>
    <t>PARDO PERALTA MARIA DENIS</t>
  </si>
  <si>
    <t>40928631</t>
  </si>
  <si>
    <t>PAUCAR AYLLON JACQUELINE MARGOT</t>
  </si>
  <si>
    <t>33663978</t>
  </si>
  <si>
    <t>PEREZ BURGA LEONILDA</t>
  </si>
  <si>
    <t>74494045</t>
  </si>
  <si>
    <t>PEREZ CARRASCO OSMER OMAR</t>
  </si>
  <si>
    <t>41354832</t>
  </si>
  <si>
    <t>PEREZ CHINGO FERNANDO</t>
  </si>
  <si>
    <t>71104652</t>
  </si>
  <si>
    <t>PEREZ COLCHADO CARLOS ALEXANDER JHONATAN</t>
  </si>
  <si>
    <t>71104649</t>
  </si>
  <si>
    <t>PEREZ COLCHADO NATALLY STEFANNY</t>
  </si>
  <si>
    <t>45095056</t>
  </si>
  <si>
    <t>PEREZ GUEVARA NANCY SULEMA</t>
  </si>
  <si>
    <t>46490876</t>
  </si>
  <si>
    <t>PEREZ HUAMAN FLOR ALELI</t>
  </si>
  <si>
    <t>45041053</t>
  </si>
  <si>
    <t>PEREZ LLANOS NELIDA</t>
  </si>
  <si>
    <t>46046278</t>
  </si>
  <si>
    <t>PEREZ YLATOMA OSVIT</t>
  </si>
  <si>
    <t>45724609</t>
  </si>
  <si>
    <t>POICON TEJADA ELVIS JESUS</t>
  </si>
  <si>
    <t>47041237</t>
  </si>
  <si>
    <t>PUITIZA LUCANO CLARITA MELISSA</t>
  </si>
  <si>
    <t>21428951</t>
  </si>
  <si>
    <t>QUINCHO PALOMINO ESTHER SILVIA</t>
  </si>
  <si>
    <t>48687993</t>
  </si>
  <si>
    <t>QUINTANA LABAN JANDER</t>
  </si>
  <si>
    <t>73324205</t>
  </si>
  <si>
    <t>QUINTANA PAICO AYDEE ESTEFANY</t>
  </si>
  <si>
    <t>40152028</t>
  </si>
  <si>
    <t>QUIROZ AGUILAR JOSE ALEJANDRO</t>
  </si>
  <si>
    <t>71220431</t>
  </si>
  <si>
    <t>QUIROZ GAMARRA MERCY</t>
  </si>
  <si>
    <t>72752343</t>
  </si>
  <si>
    <t>QUISPE ALCALDE KAREN DANIELA</t>
  </si>
  <si>
    <t>46012420</t>
  </si>
  <si>
    <t>RAFAEL VASQUEZ MILTON NEVIN</t>
  </si>
  <si>
    <t>80291834</t>
  </si>
  <si>
    <t>RAMIREZ REGALADO BLANCA LILA</t>
  </si>
  <si>
    <t>TECNICO EN ADQUISICIONES</t>
  </si>
  <si>
    <t>70071456</t>
  </si>
  <si>
    <t>RAMIREZ SOLSOL EVER ELI</t>
  </si>
  <si>
    <t>45424621</t>
  </si>
  <si>
    <t>RAMIREZ VASQUEZ SANDRA ELIZABETH</t>
  </si>
  <si>
    <t>42672120</t>
  </si>
  <si>
    <t>RAMOS MENDOZA NADALI GLORIA</t>
  </si>
  <si>
    <t>16783041</t>
  </si>
  <si>
    <t>RAMOS NIÑOPE ANA FLOR</t>
  </si>
  <si>
    <t>47263360</t>
  </si>
  <si>
    <t>RAZURI CASTRO MELISSA DESIREE</t>
  </si>
  <si>
    <t>47346091</t>
  </si>
  <si>
    <t>REGALADO PEREZ YOVER</t>
  </si>
  <si>
    <t>44005284</t>
  </si>
  <si>
    <t>REQUEJO JIMENEZ EDITH VANESSA</t>
  </si>
  <si>
    <t>44154841</t>
  </si>
  <si>
    <t>REYES ARTEAGA JEAN CARLOS</t>
  </si>
  <si>
    <t>70070510</t>
  </si>
  <si>
    <t>REYNA PARIHUAMAN SONIA</t>
  </si>
  <si>
    <t>45143377</t>
  </si>
  <si>
    <t>RIOJA MEDINA JOSE UBALDO</t>
  </si>
  <si>
    <t>47853124</t>
  </si>
  <si>
    <t>RODRIGO CORONEL LUZ ELITA</t>
  </si>
  <si>
    <t>46057767</t>
  </si>
  <si>
    <t>RODRIGO PEREZ DEYSI MADELYN</t>
  </si>
  <si>
    <t>43844975</t>
  </si>
  <si>
    <t>ROJAS NUNCEVAY ZULY ESTHER</t>
  </si>
  <si>
    <t>48176014</t>
  </si>
  <si>
    <t>ROJAS PEDRAZA MARIA EDIT</t>
  </si>
  <si>
    <t>45617069</t>
  </si>
  <si>
    <t>ROJAS SERRANO ELITA</t>
  </si>
  <si>
    <t>75842885</t>
  </si>
  <si>
    <t>ROJAS TERRONES MARLITA</t>
  </si>
  <si>
    <t>44281230</t>
  </si>
  <si>
    <t>ROMERO SANCHEZ LITA SARILETH</t>
  </si>
  <si>
    <t>46791271</t>
  </si>
  <si>
    <t>ROSILLO CORDOVA DAIVIS ANTONY</t>
  </si>
  <si>
    <t>46828465</t>
  </si>
  <si>
    <t>RUBIO CABRERA EDWIN OVET</t>
  </si>
  <si>
    <t>70560345</t>
  </si>
  <si>
    <t>RUBIO DELGADO LEEDY NORY</t>
  </si>
  <si>
    <t>27754639</t>
  </si>
  <si>
    <t>RUBIO VARGAS MARIA EVA</t>
  </si>
  <si>
    <t>43514907</t>
  </si>
  <si>
    <t>RUIZ CARHUAJULCA ELITA</t>
  </si>
  <si>
    <t>44568361</t>
  </si>
  <si>
    <t>RUIZ IDROGO JOSE ALFREDO</t>
  </si>
  <si>
    <t>47045535</t>
  </si>
  <si>
    <t>RUIZ IDROGO MARIA ISABET</t>
  </si>
  <si>
    <t>46534978</t>
  </si>
  <si>
    <t>RUIZ VILLALOBOS GEINER CHERRE</t>
  </si>
  <si>
    <t>70559186</t>
  </si>
  <si>
    <t>SALAZAR HERNANDEZ ARLEE</t>
  </si>
  <si>
    <t>AUXILIAR DE ARCHIVO</t>
  </si>
  <si>
    <t>33672461</t>
  </si>
  <si>
    <t>SALAZAR SIGUEÑAS JOSE LUIS</t>
  </si>
  <si>
    <t>47263152</t>
  </si>
  <si>
    <t>SALDAÑA MOLOCHO RITA LY</t>
  </si>
  <si>
    <t>70564110</t>
  </si>
  <si>
    <t>SALDAÑA VARGAS DUDLEY YARUMY</t>
  </si>
  <si>
    <t>46681857</t>
  </si>
  <si>
    <t>SANCHEZ CALLACA JORGE LUIS</t>
  </si>
  <si>
    <t>33671682</t>
  </si>
  <si>
    <t>SANCHEZ GORDILLO JULIO</t>
  </si>
  <si>
    <t>42030023</t>
  </si>
  <si>
    <t>SANCHEZ LOZANO SEGUNDO ENRIQUE</t>
  </si>
  <si>
    <t>43127316</t>
  </si>
  <si>
    <t>SANCHEZ SEGURA EVERTH HENRY</t>
  </si>
  <si>
    <t>33590918</t>
  </si>
  <si>
    <t>SANCHEZ SIGUEÑAS MARIA DEL PILAR</t>
  </si>
  <si>
    <t>41085462</t>
  </si>
  <si>
    <t>SANCHEZ VEGA ARSENIO</t>
  </si>
  <si>
    <t>33672871</t>
  </si>
  <si>
    <t>SANCHEZ VILLANUEVA MANUEL</t>
  </si>
  <si>
    <t>44175986</t>
  </si>
  <si>
    <t>SANCHEZ YLATOMA DIANILA</t>
  </si>
  <si>
    <t>43437906</t>
  </si>
  <si>
    <t>SANDOVAL BRITO JORGE LUIS</t>
  </si>
  <si>
    <t>45995341</t>
  </si>
  <si>
    <t>SAUCEDO OSORIO MAGGALY</t>
  </si>
  <si>
    <t>46699187</t>
  </si>
  <si>
    <t>SEGURA PEREZ JEINER</t>
  </si>
  <si>
    <t>42745146</t>
  </si>
  <si>
    <t>SEGURA SAMANIEGO TANIA YOVANNY</t>
  </si>
  <si>
    <t>47587911</t>
  </si>
  <si>
    <t>SERRANO CULQUIPOMA ANALI</t>
  </si>
  <si>
    <t>TECNICO CONTABILIDAD</t>
  </si>
  <si>
    <t>80535087</t>
  </si>
  <si>
    <t>SERRATO ROQUE EMERITA AIDEE</t>
  </si>
  <si>
    <t>TECNICO DE ALMACEN</t>
  </si>
  <si>
    <t>17432015</t>
  </si>
  <si>
    <t>SILVA CARRETERO JOSE GUSTAVO</t>
  </si>
  <si>
    <t>42631795</t>
  </si>
  <si>
    <t>SILVA MEDINA JOSE EFRAIN</t>
  </si>
  <si>
    <t>02683422</t>
  </si>
  <si>
    <t>SOSA ALZAMORA SILVIA</t>
  </si>
  <si>
    <t>47099568</t>
  </si>
  <si>
    <t>SOTO FERNANDEZ ELMER SERGIO</t>
  </si>
  <si>
    <t>41917291</t>
  </si>
  <si>
    <t>TAFUR SUAREZ MARIA ELSA</t>
  </si>
  <si>
    <t>46777810</t>
  </si>
  <si>
    <t>TANTAJULCA GARCIA DEISY</t>
  </si>
  <si>
    <t>45639073</t>
  </si>
  <si>
    <t>TANTALEAN LINARES PAJITA ELISA</t>
  </si>
  <si>
    <t>46644820</t>
  </si>
  <si>
    <t>TARRILLO BURGA FANY</t>
  </si>
  <si>
    <t>70561571</t>
  </si>
  <si>
    <t>TARRILLO PERALTA DEISY ADICELA</t>
  </si>
  <si>
    <t>47616212</t>
  </si>
  <si>
    <t>TARRILLO RUIZ NILLY</t>
  </si>
  <si>
    <t>74488455</t>
  </si>
  <si>
    <t>TAVARA SANDOVAL PRISCILA MASSIEL</t>
  </si>
  <si>
    <t>44707125</t>
  </si>
  <si>
    <t>TELLO VASQUEZ EMILIA</t>
  </si>
  <si>
    <t>45239399</t>
  </si>
  <si>
    <t>TEZEN RAMOS LEYDI ELIZABETH</t>
  </si>
  <si>
    <t>72621423</t>
  </si>
  <si>
    <t>TIMANA HUAMAN ANNY LIZETTE</t>
  </si>
  <si>
    <t>ANALISTA DE PROCESOS LOGISTICO</t>
  </si>
  <si>
    <t>45567214</t>
  </si>
  <si>
    <t>TINEO DIAZ NESTOR FERDINAND</t>
  </si>
  <si>
    <t>33672692</t>
  </si>
  <si>
    <t>TOCTO BANCES ELSA MARIA</t>
  </si>
  <si>
    <t>47249543</t>
  </si>
  <si>
    <t>TONGO ALARCON MERLY</t>
  </si>
  <si>
    <t>45794261</t>
  </si>
  <si>
    <t>TORO FERNANDEZ DILSA</t>
  </si>
  <si>
    <t>73315524</t>
  </si>
  <si>
    <t>TORO RIVERA LILIAN KARINA</t>
  </si>
  <si>
    <t>45966306</t>
  </si>
  <si>
    <t>TORRES GONZALES YOVANY LIZETH</t>
  </si>
  <si>
    <t>72866872</t>
  </si>
  <si>
    <t>TORRES MORI VANESA LIZET</t>
  </si>
  <si>
    <t>47841494</t>
  </si>
  <si>
    <t>TSEGKUAN SANCHEZ ROSA LISSETH</t>
  </si>
  <si>
    <t>46847431</t>
  </si>
  <si>
    <t>UGAZ GONZALES LIMBER ANDERSON</t>
  </si>
  <si>
    <t>43800894</t>
  </si>
  <si>
    <t>UGAZ RODRIGUEZ DILMER</t>
  </si>
  <si>
    <t>TECNICO EN ESTADISTICA</t>
  </si>
  <si>
    <t>45022369</t>
  </si>
  <si>
    <t>UGAZ RODRIGUEZ MARIA DEYSI</t>
  </si>
  <si>
    <t>43411300</t>
  </si>
  <si>
    <t>VALDIVIEZO RIVERA LILIANA</t>
  </si>
  <si>
    <t>72918449</t>
  </si>
  <si>
    <t>VALLEJOS CORREA HEIDY HELISBET</t>
  </si>
  <si>
    <t>48169017</t>
  </si>
  <si>
    <t>VARGAS GARCIA ALEX BELLYNG</t>
  </si>
  <si>
    <t>00832208</t>
  </si>
  <si>
    <t>VASQUEZ AVELLANEDA HERODITA</t>
  </si>
  <si>
    <t>45694982</t>
  </si>
  <si>
    <t>VASQUEZ RUIZ ADELINA LUZ</t>
  </si>
  <si>
    <t>44831965</t>
  </si>
  <si>
    <t>VASQUEZ TANTALEAN NIEVES EDITA</t>
  </si>
  <si>
    <t>44869983</t>
  </si>
  <si>
    <t>VASQUEZ TAPIA ROSA</t>
  </si>
  <si>
    <t>41484496</t>
  </si>
  <si>
    <t>VASQUEZ TORRES LIDA YOBANY</t>
  </si>
  <si>
    <t>70850354</t>
  </si>
  <si>
    <t>VASQUEZ VEGA MARIA LEYDI</t>
  </si>
  <si>
    <t>70850355</t>
  </si>
  <si>
    <t>VEGA CRUZ MARIA DILCIA</t>
  </si>
  <si>
    <t>70852528</t>
  </si>
  <si>
    <t>VEGA VASQUEZ NILVER MARCIAL</t>
  </si>
  <si>
    <t>47212998</t>
  </si>
  <si>
    <t>VICENTE MONTEZA MARGARITA ROCIO</t>
  </si>
  <si>
    <t>41180719</t>
  </si>
  <si>
    <t>VIDAL BAUTISTA JACKELINE DEL ROSARIO</t>
  </si>
  <si>
    <t>41663587</t>
  </si>
  <si>
    <t>44762500</t>
  </si>
  <si>
    <t>VIDAURRE BARRAGAN INDIRA OFELIA</t>
  </si>
  <si>
    <t>33671967</t>
  </si>
  <si>
    <t>VIDAURRE TAPIA MILAGROS</t>
  </si>
  <si>
    <t>45545125</t>
  </si>
  <si>
    <t>VILCHEZ TARRILLO ERMES</t>
  </si>
  <si>
    <t>44586855</t>
  </si>
  <si>
    <t>VILLACORTA BARBOZA LILA</t>
  </si>
  <si>
    <t>33666774</t>
  </si>
  <si>
    <t>VILLALOBOS QUISPE VIDAL</t>
  </si>
  <si>
    <t>44834808</t>
  </si>
  <si>
    <t>VILLANUEVA ACOSTA LISS KARIN</t>
  </si>
  <si>
    <t>46022913</t>
  </si>
  <si>
    <t>VILLOSLADA MONTEZA EYNA</t>
  </si>
  <si>
    <t>41375513</t>
  </si>
  <si>
    <t>YÑAPE TRUJILLO ROY JACK</t>
  </si>
  <si>
    <t>33671163</t>
  </si>
  <si>
    <t>YRIGOIN NUÑEZ YRENE</t>
  </si>
  <si>
    <t>46466120</t>
  </si>
  <si>
    <t>ZURITA MUÑOZ WILMER</t>
  </si>
  <si>
    <t>45734467</t>
  </si>
  <si>
    <t>ZUTA REQUEJO NANCY</t>
  </si>
  <si>
    <t>TERCEROS</t>
  </si>
  <si>
    <t>GUTIERREZ BERRU RICARDO ALBERTO</t>
  </si>
  <si>
    <t>405 - 1664 SALUD CONDORCANQUI</t>
  </si>
  <si>
    <t>47103591</t>
  </si>
  <si>
    <t>MASHIGKASH NUÑEZ FRANKIL GERARDO</t>
  </si>
  <si>
    <t>S. COMPLETA</t>
  </si>
  <si>
    <t>48096583</t>
  </si>
  <si>
    <t>BANCES FRANCIA ANALI JESSENIA</t>
  </si>
  <si>
    <t>PUMARICRA IMPI SINTIA YAMALI</t>
  </si>
  <si>
    <t>RESPONSABLE DE FARMACIA</t>
  </si>
  <si>
    <t>45165621</t>
  </si>
  <si>
    <t>BARBOZA REYES LUZ MARINA</t>
  </si>
  <si>
    <t>TEC. EN FARMACIA</t>
  </si>
  <si>
    <t xml:space="preserve">ADMINISTRADOR </t>
  </si>
  <si>
    <t>40848329</t>
  </si>
  <si>
    <t>PERCY LOPEZ SALDAÑA</t>
  </si>
  <si>
    <t>NO TARIFADOS</t>
  </si>
  <si>
    <t>44444656</t>
  </si>
  <si>
    <t>RIPALDA PEREZ VERONICA CATHERINE</t>
  </si>
  <si>
    <t>CABANILLAS ROMERO LESLI</t>
  </si>
  <si>
    <t>COCINERA</t>
  </si>
  <si>
    <t>44407671</t>
  </si>
  <si>
    <t>CACHAY GUIELAC DEYCI CARINA</t>
  </si>
  <si>
    <t>SENCUNDARIA</t>
  </si>
  <si>
    <t>42136617</t>
  </si>
  <si>
    <t>WAMPUTSAG SEJEKAM FREDY EDMUNDO</t>
  </si>
  <si>
    <t>ENFERMERA (O)</t>
  </si>
  <si>
    <t>47126675</t>
  </si>
  <si>
    <t>PERALES RAMIREZ SAMY ESTEFANY</t>
  </si>
  <si>
    <t>72158654</t>
  </si>
  <si>
    <t>CHUQUIZUTA YALTA CYNTHIA ROCIO</t>
  </si>
  <si>
    <t>ENCARGADA DE FARMACIA</t>
  </si>
  <si>
    <t>44591437</t>
  </si>
  <si>
    <t>CUJICAT TOLEDO LIZBETH</t>
  </si>
  <si>
    <t>44211775</t>
  </si>
  <si>
    <t>ESPINOZA TINEDO MERY FRANCISCA</t>
  </si>
  <si>
    <t>LIC. OBSTETRA</t>
  </si>
  <si>
    <t>43835056</t>
  </si>
  <si>
    <t>FLORES PIZANGO LISENIA</t>
  </si>
  <si>
    <t>APOYO COMO SECRETARIA</t>
  </si>
  <si>
    <t>72424699</t>
  </si>
  <si>
    <t>TANIA SHACAMAJO MASHIAN</t>
  </si>
  <si>
    <t>NUTRICIONISTA</t>
  </si>
  <si>
    <t>47353101</t>
  </si>
  <si>
    <t>ISLA RENGIFO CINTHIA PRISSILA</t>
  </si>
  <si>
    <t>44543308</t>
  </si>
  <si>
    <t>ANGELES QUIÑONES MARLON CARLO</t>
  </si>
  <si>
    <t>48439372</t>
  </si>
  <si>
    <t>DEBBIE ELINA CHOTA GONZALES</t>
  </si>
  <si>
    <t>TEC EN ENFERMERIA</t>
  </si>
  <si>
    <t>KAROL KINVERLY MONTAÑO CABRERA</t>
  </si>
  <si>
    <t>TEC. ENFERMERIA</t>
  </si>
  <si>
    <t>76756321</t>
  </si>
  <si>
    <t>KAIKAT KIAK ERCILIA</t>
  </si>
  <si>
    <t>74474595</t>
  </si>
  <si>
    <t>SAMEKASH PIJUCHKUN ALFEO</t>
  </si>
  <si>
    <t>76626754</t>
  </si>
  <si>
    <t>BARBOZA PANDO YHON CARLOS</t>
  </si>
  <si>
    <t>45284944</t>
  </si>
  <si>
    <t>SHIMPUKAT TENAZOA LADY DIANA</t>
  </si>
  <si>
    <t>SEC. COMPLETA</t>
  </si>
  <si>
    <t>RESPONSABLE PLANTA OXIGENO</t>
  </si>
  <si>
    <t>17555091</t>
  </si>
  <si>
    <t>ALCANTARA LARREA ARMANDO DEMETRIO</t>
  </si>
  <si>
    <t>70069727</t>
  </si>
  <si>
    <t>MENDOZA MALCA SONIA</t>
  </si>
  <si>
    <t>PERSONAL LIMPIEZA</t>
  </si>
  <si>
    <t>33760519</t>
  </si>
  <si>
    <t>NUÑEZ CERRON CESAR AUGUSTO</t>
  </si>
  <si>
    <t>33761165</t>
  </si>
  <si>
    <t>PEAS TSENGUAN MARIA VICENTA</t>
  </si>
  <si>
    <t>46688060</t>
  </si>
  <si>
    <t>CAMACHO GARRIDO ARACELLI VIANEY</t>
  </si>
  <si>
    <t>47759958</t>
  </si>
  <si>
    <t>MAYAN TSAMAJAIN LEVI</t>
  </si>
  <si>
    <t>45339894</t>
  </si>
  <si>
    <t>SHIMPU AUGUSTO GERSON</t>
  </si>
  <si>
    <t>80619202</t>
  </si>
  <si>
    <t>PIAPIA MASHINGASH DAN</t>
  </si>
  <si>
    <t>33764928</t>
  </si>
  <si>
    <t>PUMARICRA CARDOZO NERI</t>
  </si>
  <si>
    <t>PERSONAL DE COCINA</t>
  </si>
  <si>
    <t>47476161</t>
  </si>
  <si>
    <t>SUICH AMPAM NEMIA</t>
  </si>
  <si>
    <t>42151966</t>
  </si>
  <si>
    <t>TINCHO TIJIAS LIDIA</t>
  </si>
  <si>
    <t>42144831</t>
  </si>
  <si>
    <t>PEREDA TTITO GIOVANNA GERALDINE</t>
  </si>
  <si>
    <t>LIC.PSICOLOGÌA</t>
  </si>
  <si>
    <t>PERSONAL DE COCINERA</t>
  </si>
  <si>
    <t>43020586</t>
  </si>
  <si>
    <t>TORRES NANCHI CLOTILDE</t>
  </si>
  <si>
    <t>77356281</t>
  </si>
  <si>
    <t>NUNGUME PIRUCHO HERMAN</t>
  </si>
  <si>
    <t>47605787</t>
  </si>
  <si>
    <t>VIDAURRE CAJUSOL SEGUNDO</t>
  </si>
  <si>
    <t>43681085</t>
  </si>
  <si>
    <t>BONIA REQUEJO SEGUNDO JOSE</t>
  </si>
  <si>
    <t>SECUNDARIA  COMPLETA</t>
  </si>
  <si>
    <t>74740535</t>
  </si>
  <si>
    <t>SAMANIEGO MICAYO MIRELLA</t>
  </si>
  <si>
    <t>PERSONAL DE LAVANDERIA</t>
  </si>
  <si>
    <t>45360979</t>
  </si>
  <si>
    <t>EDITH BERTHA PETSA CUJA</t>
  </si>
  <si>
    <t>33767914</t>
  </si>
  <si>
    <t>YAMPIS ANAG AMALIA</t>
  </si>
  <si>
    <t>19096550</t>
  </si>
  <si>
    <t>CHIGNE MOZOMBITE CARMEN SOFIA</t>
  </si>
  <si>
    <t>72806262</t>
  </si>
  <si>
    <t>RAMIREZ ARROBO DEYLI</t>
  </si>
  <si>
    <t>AUXILIAR EN ENFERMERIA</t>
  </si>
  <si>
    <t>76694739</t>
  </si>
  <si>
    <t>TUCHIA TIMIAS CARINA</t>
  </si>
  <si>
    <t>EGRESADA DE ENF.</t>
  </si>
  <si>
    <t>EGRESADA DE ENFER.</t>
  </si>
  <si>
    <t>EGRESADA</t>
  </si>
  <si>
    <t>ODONTOLOGO</t>
  </si>
  <si>
    <t>41633856</t>
  </si>
  <si>
    <t>CASTELLARES MALPARTIDA MIGUEL ANGEL</t>
  </si>
  <si>
    <t>44678493</t>
  </si>
  <si>
    <t>DOLORES TIWI MASHIAN</t>
  </si>
  <si>
    <t>45301568</t>
  </si>
  <si>
    <t>SANCHEZ TARRILLO WILDER</t>
  </si>
  <si>
    <t>BUSTAMANTE CORONEL MARILU</t>
  </si>
  <si>
    <t>LICENCIADO EN OBSTETRIZ</t>
  </si>
  <si>
    <t>47016928</t>
  </si>
  <si>
    <t>VENEGAS MIRANDA ELIANA MARCELA</t>
  </si>
  <si>
    <t>42046757</t>
  </si>
  <si>
    <t>BUQUEZ ZAMORA LUZ ELENA</t>
  </si>
  <si>
    <t>TECNICO INFORMATICO</t>
  </si>
  <si>
    <t>45774527</t>
  </si>
  <si>
    <t>PEÑA YARLEQUÉ DANNY ALEXANDER</t>
  </si>
  <si>
    <t>42212826</t>
  </si>
  <si>
    <t>PIOC TENAZOA GRISELDA ROCIO</t>
  </si>
  <si>
    <t>44330999</t>
  </si>
  <si>
    <t>UKUNCHAM SAMEKASH NERIO</t>
  </si>
  <si>
    <t>43157869</t>
  </si>
  <si>
    <t>CHIJIAP ESACH CLARIVEL</t>
  </si>
  <si>
    <t>76170054</t>
  </si>
  <si>
    <t>RODRIGUEZ CORONEL DANY</t>
  </si>
  <si>
    <t>07529170</t>
  </si>
  <si>
    <t>TUESTA MENDOZA MARIA MAGALY</t>
  </si>
  <si>
    <t>TEC. EN ENFERMERIA I</t>
  </si>
  <si>
    <t>MALQUI VILCHEZ MARIA LUCY</t>
  </si>
  <si>
    <t>45782799</t>
  </si>
  <si>
    <t>QUILLAS HUIZA YESICA YESENIA</t>
  </si>
  <si>
    <t>71858851</t>
  </si>
  <si>
    <t>ABEL HECTOR CAMPOS FRIAS</t>
  </si>
  <si>
    <t>47393488</t>
  </si>
  <si>
    <t>WAM WAJAI LUCY</t>
  </si>
  <si>
    <t>48112681</t>
  </si>
  <si>
    <t>TSAKIM AMPUSH RENE</t>
  </si>
  <si>
    <t>46859282</t>
  </si>
  <si>
    <t>CORONADO RISCO ROXANA</t>
  </si>
  <si>
    <t>45943595</t>
  </si>
  <si>
    <t>ITURREGUI SENCIO GLORIA ROSARIO</t>
  </si>
  <si>
    <t>45343723</t>
  </si>
  <si>
    <t>SHAWIT SHAKAI AVELINO</t>
  </si>
  <si>
    <t>48488794</t>
  </si>
  <si>
    <t>JINTACH WISHU LUCIA</t>
  </si>
  <si>
    <t>01046725</t>
  </si>
  <si>
    <t>MIÑO YUMBLA MARIA ESTHER</t>
  </si>
  <si>
    <t>42016368</t>
  </si>
  <si>
    <t>PESAQUE PISCOYA EDWARD AQUILES</t>
  </si>
  <si>
    <t>46888764</t>
  </si>
  <si>
    <t>QUIACO AUSHUQUI ARTIDORO</t>
  </si>
  <si>
    <t>48488795</t>
  </si>
  <si>
    <t>ROMERO CRUZ GLADIS</t>
  </si>
  <si>
    <t>47516736</t>
  </si>
  <si>
    <t>TETSA DAEKAT GRIMALDO</t>
  </si>
  <si>
    <t xml:space="preserve">TECNICO EN ENFERMERIA </t>
  </si>
  <si>
    <t>42869441</t>
  </si>
  <si>
    <t>WEEPIU MATIAS KEN</t>
  </si>
  <si>
    <t>'48317044</t>
  </si>
  <si>
    <t>ESASH WAMPANKIT YHESSICA</t>
  </si>
  <si>
    <t>46946427</t>
  </si>
  <si>
    <t>WIPIO ORREGO JOSE ALAIN</t>
  </si>
  <si>
    <t>43092585</t>
  </si>
  <si>
    <t>ESCOBEDO TANGOA ALISBETH MARDIT</t>
  </si>
  <si>
    <t>33765968</t>
  </si>
  <si>
    <t>JINTACH PUJUPAT LEONARDO</t>
  </si>
  <si>
    <t>33760001</t>
  </si>
  <si>
    <t>KIAK TOMAS ALBERTO</t>
  </si>
  <si>
    <t>75704115</t>
  </si>
  <si>
    <t>UJUKAM JUAN VIVIANA</t>
  </si>
  <si>
    <t>47392277</t>
  </si>
  <si>
    <t>PADILLA TSEJEM ANDY MERY</t>
  </si>
  <si>
    <t>76557027</t>
  </si>
  <si>
    <t>AMPUSH CHUIN REINERIO</t>
  </si>
  <si>
    <t>46233341</t>
  </si>
  <si>
    <t>SAMEKASH TII MARLENY</t>
  </si>
  <si>
    <t>74567383</t>
  </si>
  <si>
    <t>UMPUNCHIN AUSHUQUI FRANKLIN</t>
  </si>
  <si>
    <t>46023588</t>
  </si>
  <si>
    <t>RAMIREZ SILVA HERNAN</t>
  </si>
  <si>
    <t>60384933</t>
  </si>
  <si>
    <t>OSCAR ANTUN  KANTUASH</t>
  </si>
  <si>
    <t>MAXIMO TAISH SHUMBUCAT</t>
  </si>
  <si>
    <t>TEC. SANITARIO I</t>
  </si>
  <si>
    <t>BEVERLY ISABEL NEJERO WEEPIU</t>
  </si>
  <si>
    <t>TEC. EN ENFERIA</t>
  </si>
  <si>
    <t>47872855</t>
  </si>
  <si>
    <t>FERNANDEZ CASTILLO GISELLA LUCERO</t>
  </si>
  <si>
    <t>48855634</t>
  </si>
  <si>
    <t>ESASH UGKUCH NORVIL EDGAR</t>
  </si>
  <si>
    <t>74740933</t>
  </si>
  <si>
    <t>INGA SHIGKIKAT MAGALY</t>
  </si>
  <si>
    <t>AGKUASH DAEKAT PAYUAG REQUEJO</t>
  </si>
  <si>
    <t>ELIGIO JEMPETS YAGKITAI</t>
  </si>
  <si>
    <t>74482630</t>
  </si>
  <si>
    <t>LIS ESTELA CORDOVA NAYASH</t>
  </si>
  <si>
    <t>46375007</t>
  </si>
  <si>
    <t>ATSUAM ARROBO LUCIO</t>
  </si>
  <si>
    <t>47337772</t>
  </si>
  <si>
    <t>AGUILAR MARTINEZ SERGIO LUIS</t>
  </si>
  <si>
    <t>17634454</t>
  </si>
  <si>
    <t>CAJUSOL BANCES MANUEL REYES</t>
  </si>
  <si>
    <t>44152561</t>
  </si>
  <si>
    <t>CATIP TAWAN RENOIR</t>
  </si>
  <si>
    <t>44702981</t>
  </si>
  <si>
    <t>PAATI TSEJEM EULALIA</t>
  </si>
  <si>
    <t>TECNICA DE FARMACIA</t>
  </si>
  <si>
    <t>75665776</t>
  </si>
  <si>
    <t>SANTISTEBAN SANCHEZ DEYSI MARLENY</t>
  </si>
  <si>
    <t>33768289</t>
  </si>
  <si>
    <t>SEJEKAM YUBAU EFRAIN</t>
  </si>
  <si>
    <t>46821509</t>
  </si>
  <si>
    <t>VASQUEZ LEONARDO YENY DEL PILAR</t>
  </si>
  <si>
    <t>47516741</t>
  </si>
  <si>
    <t>OLVIN UNKUM ATSUAM</t>
  </si>
  <si>
    <t>EGRESADA DE ENFERMERIA</t>
  </si>
  <si>
    <t>LIZMETH DANITZA TUESTA YAGKUG</t>
  </si>
  <si>
    <t>WAMPANKIT TIMIAS GUDELIA WAAS</t>
  </si>
  <si>
    <t>48428543</t>
  </si>
  <si>
    <t>WISUM CHIMPA ERMETO</t>
  </si>
  <si>
    <t>76352815</t>
  </si>
  <si>
    <t>VERDINIA UGKUCH GIUCAN</t>
  </si>
  <si>
    <t>73331407</t>
  </si>
  <si>
    <t>SEJEKAM QUISTON HILMER ERNESTO</t>
  </si>
  <si>
    <t>44063018</t>
  </si>
  <si>
    <t>NUJIGKUS UGKUCH VALENTINO</t>
  </si>
  <si>
    <t>77495090</t>
  </si>
  <si>
    <t>DAEKAT AGKUASH MIGUEL SHIMPU</t>
  </si>
  <si>
    <t>TEC. EN LABORATORIO I</t>
  </si>
  <si>
    <t>76328505</t>
  </si>
  <si>
    <t>TANKAMASH UGKUCH MARIA BELEN</t>
  </si>
  <si>
    <t>47537905</t>
  </si>
  <si>
    <t>CHIMPA ANTUN ELICIANO</t>
  </si>
  <si>
    <t>42484681</t>
  </si>
  <si>
    <t>YAMPIS YAGKUAG JUAN OTTO</t>
  </si>
  <si>
    <t>32983790</t>
  </si>
  <si>
    <t>VALERIO MILLA GRAFDEY STEINK</t>
  </si>
  <si>
    <t>48205796</t>
  </si>
  <si>
    <t>KUNCHIKUI CHUMPI WILFREDO</t>
  </si>
  <si>
    <t>46741613</t>
  </si>
  <si>
    <t>YOPLAC VELA REYNA LUZ</t>
  </si>
  <si>
    <t>OBSTETRA I</t>
  </si>
  <si>
    <t>PEÑA CARRILLO JIMMY PERCY</t>
  </si>
  <si>
    <t>01119429</t>
  </si>
  <si>
    <t>BARTRA AREVALO ANGELICA DEFATIMA</t>
  </si>
  <si>
    <t>MAYAN CHIGKUN DINO OTONIEL</t>
  </si>
  <si>
    <t>43961314</t>
  </si>
  <si>
    <t>JEMPEKIT KUJA ELVIN</t>
  </si>
  <si>
    <t>61667818</t>
  </si>
  <si>
    <t>JUWEP KANTUASH MARCOS</t>
  </si>
  <si>
    <t>45887616</t>
  </si>
  <si>
    <t>CHAIN ESPEJO MELENDES</t>
  </si>
  <si>
    <t>EVELIO MAYAN WISHU</t>
  </si>
  <si>
    <t>74484336</t>
  </si>
  <si>
    <t>WILDER MAURICIO SANTIAK KAYAP</t>
  </si>
  <si>
    <t>45345127</t>
  </si>
  <si>
    <t>MADUIG KUNCHIKUI BRITO</t>
  </si>
  <si>
    <t>44687973</t>
  </si>
  <si>
    <t>KAJEKUI NAÑAP JECONIAS</t>
  </si>
  <si>
    <t>41138159</t>
  </si>
  <si>
    <t>KININ TINCHO BARTOLO</t>
  </si>
  <si>
    <t>APIKAI AMPAM LELLY ZARICSA</t>
  </si>
  <si>
    <t>43541697</t>
  </si>
  <si>
    <t>MEJIA MENDOZA PAUL HIBER</t>
  </si>
  <si>
    <t>74502140</t>
  </si>
  <si>
    <t>WAMPUTSAG SEJEKAM MELVIN JOSE</t>
  </si>
  <si>
    <t>43313128</t>
  </si>
  <si>
    <t>CHUP ZACARIAS YESIKA DEL PILAR</t>
  </si>
  <si>
    <t>48202900</t>
  </si>
  <si>
    <t>HUACHES LLATAS VERSA NOEMI</t>
  </si>
  <si>
    <t>48318244</t>
  </si>
  <si>
    <t>NAVARRO RUIZ LUKY</t>
  </si>
  <si>
    <t>47394319</t>
  </si>
  <si>
    <t>RUIZ CHUIN HOMERO</t>
  </si>
  <si>
    <t>EGRESADO COMPUTACIÓN E INFORMATICA</t>
  </si>
  <si>
    <t>76941188</t>
  </si>
  <si>
    <t>SALAS ARZUBIALDES GINA ALESKA</t>
  </si>
  <si>
    <t>72287695</t>
  </si>
  <si>
    <t>CARRANZA CONTRERAS SHINY ROSMERY</t>
  </si>
  <si>
    <t>44451767</t>
  </si>
  <si>
    <t>SHUNTA DAVILA LEONARDO</t>
  </si>
  <si>
    <t>73324584</t>
  </si>
  <si>
    <t>UGKUM AMPAM ADELMO</t>
  </si>
  <si>
    <t>TEC. INFORMATICO</t>
  </si>
  <si>
    <t>SHIRAP ANTUN ZAQUEO</t>
  </si>
  <si>
    <t>45145751</t>
  </si>
  <si>
    <t>WAMPUTSAR SHAKAIME ISAIAS</t>
  </si>
  <si>
    <t>41023477</t>
  </si>
  <si>
    <t>DIOS MORAN DIANA ANITA</t>
  </si>
  <si>
    <t>18177252</t>
  </si>
  <si>
    <t>ASCOY MAURICIO MAGNOLIA LIRA</t>
  </si>
  <si>
    <t>80619718</t>
  </si>
  <si>
    <t>NAJAMTAI VELA ELDON</t>
  </si>
  <si>
    <t>47393498</t>
  </si>
  <si>
    <t>WAMPUTSAR SHAKAIME JESUS</t>
  </si>
  <si>
    <t>48594741</t>
  </si>
  <si>
    <t>AUJTUKAI TSAMAREN KELVIN</t>
  </si>
  <si>
    <t>76793942</t>
  </si>
  <si>
    <t>TSAKIM TUISG YOMIRA</t>
  </si>
  <si>
    <t>41105545</t>
  </si>
  <si>
    <t>SESEN MONGA TOMAS ENRIQUE</t>
  </si>
  <si>
    <t>61224103</t>
  </si>
  <si>
    <t>UYUNGARA JUHOO ALEX</t>
  </si>
  <si>
    <t>45890979</t>
  </si>
  <si>
    <t>YU SAMAREN JONAS</t>
  </si>
  <si>
    <t>'45362414</t>
  </si>
  <si>
    <t>NAJAMTAI CHABIG JUAN CARLOS</t>
  </si>
  <si>
    <t>40840456</t>
  </si>
  <si>
    <t>SILVERIO LOPEZ FLORES</t>
  </si>
  <si>
    <t>47536421</t>
  </si>
  <si>
    <t>WASHIKAT TIJIAS JOEL</t>
  </si>
  <si>
    <t>45896393</t>
  </si>
  <si>
    <t>AMPAMA LOPEZ FREDY</t>
  </si>
  <si>
    <t>43949755</t>
  </si>
  <si>
    <t>DUPIS JUWAG NELLY</t>
  </si>
  <si>
    <t>48153075</t>
  </si>
  <si>
    <t>TSEJEM PETSA ISAI</t>
  </si>
  <si>
    <t>TEC. DE ENFERMERIA</t>
  </si>
  <si>
    <t>NAHUAROSA LOPEZ MELVI MARGOHT</t>
  </si>
  <si>
    <t>47491335</t>
  </si>
  <si>
    <t>SHUNTA YUU JUAN LUIS</t>
  </si>
  <si>
    <t>42520923</t>
  </si>
  <si>
    <t>UGKUM JEMPETS ADINO</t>
  </si>
  <si>
    <t>YAGKIKAT ORREGO ELI</t>
  </si>
  <si>
    <t>TAISH PETSA MARIA LURDEZ</t>
  </si>
  <si>
    <t>PUSCAN VASQUEZ MARIA ESTEFANI</t>
  </si>
  <si>
    <t>CHAPOÑAN LOPEZ JHONATAN JOSUE</t>
  </si>
  <si>
    <t>47018250</t>
  </si>
  <si>
    <t>IMPI RUIZ FLOR MICAELA</t>
  </si>
  <si>
    <t>EGRESADO EN LABORATORIO</t>
  </si>
  <si>
    <t>73932309</t>
  </si>
  <si>
    <t>MARIANO PIZANGO NEISER LLANES</t>
  </si>
  <si>
    <t>80210383</t>
  </si>
  <si>
    <t>UGKUCH DAEKAI VENANCIO</t>
  </si>
  <si>
    <t>43901985</t>
  </si>
  <si>
    <t>SANTIAK SHARIAN, CLOVIS</t>
  </si>
  <si>
    <t>75018937</t>
  </si>
  <si>
    <t>CABANILLAS JULCA LUIS FELIPE</t>
  </si>
  <si>
    <t>RUIZ MORALES ALBERTO GUILLERMO</t>
  </si>
  <si>
    <t>73931593</t>
  </si>
  <si>
    <t>NARANGAS NAVARRO LEONIDES</t>
  </si>
  <si>
    <t>46418737</t>
  </si>
  <si>
    <t>RICSE NESTARES LIZETH</t>
  </si>
  <si>
    <t>73939871</t>
  </si>
  <si>
    <t>LOPEZ VELASQUEZ EDGARDO</t>
  </si>
  <si>
    <t>44159471</t>
  </si>
  <si>
    <t>SALDARRIAGA VELIZ ROSA AMPARO</t>
  </si>
  <si>
    <t>47393401</t>
  </si>
  <si>
    <t>CAHUASA LOPEZ DIOGENES</t>
  </si>
  <si>
    <t>47525371</t>
  </si>
  <si>
    <t>NARANGAS NAVARRO TATIANA</t>
  </si>
  <si>
    <t>ANTICH PIZANGO PILAR</t>
  </si>
  <si>
    <t>61065211</t>
  </si>
  <si>
    <t>CUJA UYUNGARA HENRY DAVID</t>
  </si>
  <si>
    <t xml:space="preserve">SANTIAGO KATAN BETTY </t>
  </si>
  <si>
    <t>GLADIS ULUBI AMARI CORDOVA</t>
  </si>
  <si>
    <t>45355285</t>
  </si>
  <si>
    <t>NARANGAS PAKUNTA CHINO</t>
  </si>
  <si>
    <t>77924650</t>
  </si>
  <si>
    <t>ANTICH PIZANGO ANDY</t>
  </si>
  <si>
    <t>74478666</t>
  </si>
  <si>
    <t>RAMIREZ NAJAMTAI ALEXANDER</t>
  </si>
  <si>
    <t>42194200</t>
  </si>
  <si>
    <t>GALVEZ MALCA JOVANY</t>
  </si>
  <si>
    <t>71247194</t>
  </si>
  <si>
    <t>GARCIA MENA MIRIAN YANET</t>
  </si>
  <si>
    <t>45418386</t>
  </si>
  <si>
    <t>HUANGAL SILVA WILSON</t>
  </si>
  <si>
    <t>43207697</t>
  </si>
  <si>
    <t>RAMIREZ VEGA ELFERES</t>
  </si>
  <si>
    <t>TERRONES CORRALES SANDRA IRIS</t>
  </si>
  <si>
    <t>TECNICOI</t>
  </si>
  <si>
    <t>46407716</t>
  </si>
  <si>
    <t>RIVERA BANDA JOSE EDWAR</t>
  </si>
  <si>
    <t>47766907</t>
  </si>
  <si>
    <t>MARIA GISSELA AMARI CORDOVA</t>
  </si>
  <si>
    <t>46871712</t>
  </si>
  <si>
    <t>TIWI JIUKAM DELVIA</t>
  </si>
  <si>
    <t>44930979</t>
  </si>
  <si>
    <t>WAJUYAT QUINTUI TEOBALDO</t>
  </si>
  <si>
    <t>43695920</t>
  </si>
  <si>
    <t>MAITA VALDIVIA LIZ FANNY</t>
  </si>
  <si>
    <t>47931830</t>
  </si>
  <si>
    <t>ATSUAM ARROBO LETICIA</t>
  </si>
  <si>
    <t>74691184</t>
  </si>
  <si>
    <t>FERNANDEZ CASTILLO LUCIA VERONICA</t>
  </si>
  <si>
    <t>AUX. EN ENFERMERIA I</t>
  </si>
  <si>
    <t>73967520</t>
  </si>
  <si>
    <t>SALAS YAHUARCANI JENY SMITH</t>
  </si>
  <si>
    <t>EGRSADO</t>
  </si>
  <si>
    <t>9640352</t>
  </si>
  <si>
    <t>HUAMAN VEGA ALEX JHONY</t>
  </si>
  <si>
    <t>45887583</t>
  </si>
  <si>
    <t>AMPUSH SHAWIT LOIDA</t>
  </si>
  <si>
    <t>46669522</t>
  </si>
  <si>
    <t>LOPEZ GOMEZ JUANITA MERLI</t>
  </si>
  <si>
    <t>TEC- EN LABORATORIO</t>
  </si>
  <si>
    <t>62619789</t>
  </si>
  <si>
    <t>VILCHEZ ZUMBA VICTOR ISAAC</t>
  </si>
  <si>
    <t>72608229</t>
  </si>
  <si>
    <t>BARDALES CHAVEZ SORELY ESTEFANI</t>
  </si>
  <si>
    <t xml:space="preserve"> TECNICO ENFERMERIA</t>
  </si>
  <si>
    <t>73853283</t>
  </si>
  <si>
    <t>CHIJIP YAMPIS JERRY</t>
  </si>
  <si>
    <t xml:space="preserve">LIC. EN ENFERMERIA </t>
  </si>
  <si>
    <t>43346241</t>
  </si>
  <si>
    <t>BECERRA LLAMO ROXMEÑA</t>
  </si>
  <si>
    <t>CHIJIP AWATIAG NER</t>
  </si>
  <si>
    <t>76321530</t>
  </si>
  <si>
    <t>NUJIGKUS AMPAM JOEL</t>
  </si>
  <si>
    <t>73826974</t>
  </si>
  <si>
    <t>REYNER AWATIAG BARIAKU</t>
  </si>
  <si>
    <t>72811499</t>
  </si>
  <si>
    <t>SANDOVAL NAVAS LOURDES ODALIA</t>
  </si>
  <si>
    <t>VARAS RODRIGUEZ PATRICIA</t>
  </si>
  <si>
    <t>76383021</t>
  </si>
  <si>
    <t>CORONEL PEREZ OSVER</t>
  </si>
  <si>
    <t>EGRESADA TECNICA EN ENFERMERIA</t>
  </si>
  <si>
    <t>75313358</t>
  </si>
  <si>
    <t>HEREDIA HERRERA NELVI</t>
  </si>
  <si>
    <t>EGRSADA</t>
  </si>
  <si>
    <t xml:space="preserve">TITULO ENFERMERIA TECNICA </t>
  </si>
  <si>
    <t>74691201</t>
  </si>
  <si>
    <t>BARBOZA PANDO MIRIAM MILAGROS</t>
  </si>
  <si>
    <t>SALAZAR AMPAM MANUEL</t>
  </si>
  <si>
    <t>ARICOCHE OLIVA SOCORRO IMELDA</t>
  </si>
  <si>
    <t>PROFESIOANL</t>
  </si>
  <si>
    <t>27727665</t>
  </si>
  <si>
    <t>NEYRA VASQUEZ MEREIDA</t>
  </si>
  <si>
    <t>46821539</t>
  </si>
  <si>
    <t>SAAVEDRA GUEVARA KARIN LISSETH</t>
  </si>
  <si>
    <t>74476790</t>
  </si>
  <si>
    <t>ASHAAS SANCHUM LESLY MARGOTH</t>
  </si>
  <si>
    <t>44700642</t>
  </si>
  <si>
    <t>FIDEL JEMPEKIT NUGKUM</t>
  </si>
  <si>
    <t>48004124</t>
  </si>
  <si>
    <t>IMPI WISUM NELVIN</t>
  </si>
  <si>
    <t>WAJAI  SHUWIG DELEA</t>
  </si>
  <si>
    <t>73826986</t>
  </si>
  <si>
    <t>NAGKABAI AKUTS, MIRIAM</t>
  </si>
  <si>
    <t>47851605</t>
  </si>
  <si>
    <t>ARUP MACAHUACHI ABIMAEL</t>
  </si>
  <si>
    <t>40752475</t>
  </si>
  <si>
    <t>CORONEL LONGINOTE CARLOS ALBERTO</t>
  </si>
  <si>
    <t>TEC.  EN COMPUTACION</t>
  </si>
  <si>
    <t>74277021</t>
  </si>
  <si>
    <t>ROJAS TORRES LUZ MERY</t>
  </si>
  <si>
    <t>17543250</t>
  </si>
  <si>
    <t>RUIZ CORNEJO RAUL JAVIER</t>
  </si>
  <si>
    <t>71068638</t>
  </si>
  <si>
    <t>SHEILA GISSELA CORDOVA GONZALES</t>
  </si>
  <si>
    <t>45810966</t>
  </si>
  <si>
    <t>KAREN MILAGROS CUSTODIO BARDALEZ</t>
  </si>
  <si>
    <t>71550652</t>
  </si>
  <si>
    <t>ARROBO SAMANIEGO LISETH</t>
  </si>
  <si>
    <t>ESTUDIANTE DE ADMINISTRACION</t>
  </si>
  <si>
    <t>47565771</t>
  </si>
  <si>
    <t>VALVERDE SAMEKASH YANY NATIVIDAD</t>
  </si>
  <si>
    <t>44229484</t>
  </si>
  <si>
    <t>VASQUEZ SILVA LEIDY</t>
  </si>
  <si>
    <t>72489172</t>
  </si>
  <si>
    <t xml:space="preserve">KASEN CHUJAI MARY INES </t>
  </si>
  <si>
    <t>44793711</t>
  </si>
  <si>
    <t>SAMAJEN QUIAC NANCY</t>
  </si>
  <si>
    <t>33763511</t>
  </si>
  <si>
    <t>YAMPIS MAYAN MATEO</t>
  </si>
  <si>
    <t>48245277</t>
  </si>
  <si>
    <t>NANTIP MASHIAN OLIVIA</t>
  </si>
  <si>
    <t>44680546</t>
  </si>
  <si>
    <t>CHIGKUN MAYAN GRIMALDO</t>
  </si>
  <si>
    <t xml:space="preserve">RESPONSABLE DE  PLANILLAS CAS </t>
  </si>
  <si>
    <t>45627913</t>
  </si>
  <si>
    <t>AGUILAR TUYAS MARIA DEL PILAR</t>
  </si>
  <si>
    <t>ASISTENTE DE REMUNERACIONES</t>
  </si>
  <si>
    <t>46400728</t>
  </si>
  <si>
    <t>RODRIGUEZ HUERTAS JIMMY JAN</t>
  </si>
  <si>
    <t>SECRETARIA DE DIRECCION SALUD PUBLICA</t>
  </si>
  <si>
    <t>48357844</t>
  </si>
  <si>
    <t>AGUILAR VELASQUEZ JAHNNY S.</t>
  </si>
  <si>
    <t>EQUIPO DE CONTROL VECTORIAL</t>
  </si>
  <si>
    <t>80185049</t>
  </si>
  <si>
    <t>AMPAM SEBASTIAN JAVIER</t>
  </si>
  <si>
    <t>COORDINADOR DE CONTROL VECTORIAL Y SALUD AMBIENTAL</t>
  </si>
  <si>
    <t>48244180</t>
  </si>
  <si>
    <t>MORENO GAMBOA SEGUNDO ENRIQUE</t>
  </si>
  <si>
    <t>48275552</t>
  </si>
  <si>
    <t>ARRUNATEGUI SILUPU FABIANA R.</t>
  </si>
  <si>
    <t>RESPONSABLE DE UNIDAD DE TECNOLOGIA E INFORMACION</t>
  </si>
  <si>
    <t>42910316</t>
  </si>
  <si>
    <t>BURGOS MORENO SANTIAGO E.</t>
  </si>
  <si>
    <t>70329832</t>
  </si>
  <si>
    <t>HAROLD GIOVANNY LARA CAHUANA</t>
  </si>
  <si>
    <t>RESPONSABLE DE TESORERIA</t>
  </si>
  <si>
    <t>45371882</t>
  </si>
  <si>
    <t>CACHAY GUELAC JOBITA</t>
  </si>
  <si>
    <t xml:space="preserve">JEFE DE LA OFICINA DE ECONOMIA </t>
  </si>
  <si>
    <t>CONTADOR COLEGIADO</t>
  </si>
  <si>
    <t>47657976</t>
  </si>
  <si>
    <t>CHOQUEHUANCA CATAN MATILDE</t>
  </si>
  <si>
    <t>RESPONSABLE DE ELABORACION DE CONTRATOS</t>
  </si>
  <si>
    <t>CRIOLLO RIVERA JENNYFER</t>
  </si>
  <si>
    <t>TEC. ADMINISTRACION</t>
  </si>
  <si>
    <t>ENCARGADO DE ALMACEN</t>
  </si>
  <si>
    <t>42329162</t>
  </si>
  <si>
    <t>ESPEJO TIWI IDELFONSO</t>
  </si>
  <si>
    <t>TEC. CONTABLE</t>
  </si>
  <si>
    <t>48152493</t>
  </si>
  <si>
    <t>LOZANO WIKAYO SANDY DAYANA</t>
  </si>
  <si>
    <t>PERSONAL APOYO EN ALMACEN</t>
  </si>
  <si>
    <t>44692772</t>
  </si>
  <si>
    <t>KIAK UJUKAM GERSON</t>
  </si>
  <si>
    <t>JEFE DE LA UNIDAD DE SERVICIOS DE SALUD</t>
  </si>
  <si>
    <t>44414022</t>
  </si>
  <si>
    <t>FLORES AVILES JESUS MIGUEL</t>
  </si>
  <si>
    <t>ASISTENTE DE LA UNIDAD DE TECNOLOGIA DE LA INFORMACION</t>
  </si>
  <si>
    <t>41624961</t>
  </si>
  <si>
    <t>GARCIA FERREYRA GUSTAVO A.</t>
  </si>
  <si>
    <t>JEFE DE LA UNIDAD DE PUEBLOS INDIGENAS</t>
  </si>
  <si>
    <t>44858599</t>
  </si>
  <si>
    <t>GARCIA GUEVARA MAGDALENA</t>
  </si>
  <si>
    <t>SECRETARIA  DE DIRECCION EJECUTIVA</t>
  </si>
  <si>
    <t>33591626</t>
  </si>
  <si>
    <t>GRANADOS FERNANDEZ ANA E.</t>
  </si>
  <si>
    <t>SECRETARIA DE DIRECCION EJECUTIVA</t>
  </si>
  <si>
    <t>COORDINADOR DE SALUD MENTAL Y CULTURA DE PAZ / COORDINADOR DE LA ETAPA DE VIDA ADULTO Y ADULTO MAYOR</t>
  </si>
  <si>
    <t>ASCURRA TUESTA LUIS ENRIQUE</t>
  </si>
  <si>
    <t>COORDINADOR DE ESAN</t>
  </si>
  <si>
    <t>46325575</t>
  </si>
  <si>
    <t>HUANCA TORRES CLEOFE</t>
  </si>
  <si>
    <t>LIC. EN NUTRICION HUMANA</t>
  </si>
  <si>
    <t>48580303</t>
  </si>
  <si>
    <t>JUWEP SUICHI ROLIN</t>
  </si>
  <si>
    <t>41653582</t>
  </si>
  <si>
    <t>CUBAS FERNANDEZ FREDDY</t>
  </si>
  <si>
    <t>SECRETARIA EN ALMACEN GENERAL</t>
  </si>
  <si>
    <t>45887518</t>
  </si>
  <si>
    <t>LONGINOTE TAWAN PRISCILA YOVANA</t>
  </si>
  <si>
    <t>ESTUDIANTE DE SECRETARIADO</t>
  </si>
  <si>
    <t>46809329</t>
  </si>
  <si>
    <t>DAMIAN ESPINOZA ALVARO ROGGER</t>
  </si>
  <si>
    <t>47400338</t>
  </si>
  <si>
    <t>ING. AGROINDUSTRIAL Y COM. EXTERIOR</t>
  </si>
  <si>
    <t>COORDINADORA DEL PAN</t>
  </si>
  <si>
    <t>70861328</t>
  </si>
  <si>
    <t>LOZANO BECERRA EDITHA MARITZA</t>
  </si>
  <si>
    <t>44692928</t>
  </si>
  <si>
    <t>YULIANA BUKUIG UKUNCHAM</t>
  </si>
  <si>
    <t>4007146</t>
  </si>
  <si>
    <t>CARRASCAL CUEVA ALEJANDRO IVAN</t>
  </si>
  <si>
    <t>SECRETARIA DEL AREA RR.HH</t>
  </si>
  <si>
    <t>IBANI LISENIA NAYASH CABALLERO</t>
  </si>
  <si>
    <t>16580063</t>
  </si>
  <si>
    <t>GENARO JUAN MANUEL LLONTOP LORA</t>
  </si>
  <si>
    <t>DIRECTOR DE LA OFICINA DE PLANEAMIENTO Y PRESUPUESTO</t>
  </si>
  <si>
    <t>45723961</t>
  </si>
  <si>
    <t>MEJIA IZQUIERDO EDISON</t>
  </si>
  <si>
    <t>COORD. DE PROMSA</t>
  </si>
  <si>
    <t>44211798</t>
  </si>
  <si>
    <t>MORAN PEREZ PATTY DODA</t>
  </si>
  <si>
    <t>COORDINADOR DEL P.P ENFERMEDADES NO TRASMISIBLES</t>
  </si>
  <si>
    <t>70454531</t>
  </si>
  <si>
    <t>MORILLO HERRERA ERIK KLEBER</t>
  </si>
  <si>
    <t>RESPONSABLE CADENA DE FRIO</t>
  </si>
  <si>
    <t>43915365</t>
  </si>
  <si>
    <t>CARRANZA PRIETO YOLANDA MILAGROS</t>
  </si>
  <si>
    <t>LIC. DE ENFERMERIA</t>
  </si>
  <si>
    <t>JEFE DE LA UNIDAD DE MEDICAMENTOS RSC</t>
  </si>
  <si>
    <t>43201343</t>
  </si>
  <si>
    <t>ORTIZ HUANCA NELLY MARLENI</t>
  </si>
  <si>
    <t>INFORMATICO DE LA UNIDAD DE SEGUROS Y RESPONSABLE DE AFILIACIONES</t>
  </si>
  <si>
    <t>41635930</t>
  </si>
  <si>
    <t>PAZ VILLEGAS VICTOR ERNESTO</t>
  </si>
  <si>
    <t>41574696</t>
  </si>
  <si>
    <t>REATEGUI SAMANIEGO LUIS DOMINGO</t>
  </si>
  <si>
    <t>DIRECTOR DE LA OFICINA DE INTELIGENCIA SANITARIA</t>
  </si>
  <si>
    <t>70047932</t>
  </si>
  <si>
    <t>MIGUEL ANGEL PEREZ HEREDIA</t>
  </si>
  <si>
    <t>BIOLOGO  ( A)</t>
  </si>
  <si>
    <t>JEFE DEL ARE DE RR.HH</t>
  </si>
  <si>
    <t>33767541</t>
  </si>
  <si>
    <t>RIVERA TROYA JAVIER</t>
  </si>
  <si>
    <t>RESPONSABLE DE ESCALAFON</t>
  </si>
  <si>
    <t>48077517</t>
  </si>
  <si>
    <t>TIWI CHIMPA ALEXANDER</t>
  </si>
  <si>
    <t>COOR. DE PP.CANCER PLANIFICACION FAMILIAR  Y REFERENCIAS</t>
  </si>
  <si>
    <t>40762033</t>
  </si>
  <si>
    <t>FRANK BILLY ALBINO SANCHEZ</t>
  </si>
  <si>
    <t>COORDINADOR DE TB-VIH/SIDA</t>
  </si>
  <si>
    <t>MUÑOZ ARRELUCEA SANTOS MARTIN</t>
  </si>
  <si>
    <t>ASISTENTE DE PALNEAMIENTO Y PRESUPUESTO</t>
  </si>
  <si>
    <t>46977956</t>
  </si>
  <si>
    <t>SAJAMI BERMEO EMIL</t>
  </si>
  <si>
    <t>COORDINADORA</t>
  </si>
  <si>
    <t>45776012</t>
  </si>
  <si>
    <t>BARRENECHEA TORRES MARYORET</t>
  </si>
  <si>
    <t>RESPONSABLE DEL AREA PRESTACIONES ECONOMICA NOTARIFADOS</t>
  </si>
  <si>
    <t>47704396</t>
  </si>
  <si>
    <t>SALDAÑA RAMOS DANNY IVETH</t>
  </si>
  <si>
    <t>COORDINADORA DE PVICA</t>
  </si>
  <si>
    <t>41055045</t>
  </si>
  <si>
    <t>SAMAME SAAVEDRA DORIS</t>
  </si>
  <si>
    <t xml:space="preserve">BIOLOGO (A) </t>
  </si>
  <si>
    <t>COORDINADORA DE GESTION Y SALUD</t>
  </si>
  <si>
    <t>42917409</t>
  </si>
  <si>
    <t>BECERRA MIRANO MARIA ELITA</t>
  </si>
  <si>
    <t>MOTORISTA DE LA RED DE SALUD CONDORCANQUI</t>
  </si>
  <si>
    <t>43337665</t>
  </si>
  <si>
    <t>SAMANIEGO TSEMAN LENIN</t>
  </si>
  <si>
    <t>JEFE DE PLANEAMIENTO Y PRESUPUESTO</t>
  </si>
  <si>
    <t>42273464</t>
  </si>
  <si>
    <t>ACUÑA CASTAÑEDA ROBERTO</t>
  </si>
  <si>
    <t xml:space="preserve">C.P.C </t>
  </si>
  <si>
    <t>ASISTENTE DE DIRECCION DE INTELIGENCIA SANITARIA</t>
  </si>
  <si>
    <t>47926538</t>
  </si>
  <si>
    <t>LIZANA FERNANDEZ MICHAEL KENNET</t>
  </si>
  <si>
    <t>BACHI. EN INGENIERIA DE SISTEMAS</t>
  </si>
  <si>
    <t>43785207</t>
  </si>
  <si>
    <t>ALAYA BECERRA LITA MEHETABEL</t>
  </si>
  <si>
    <t>LIC. EN ADMIISTRACION</t>
  </si>
  <si>
    <t>ASISTENTE  DE REMUNERACIONES</t>
  </si>
  <si>
    <t>04068532</t>
  </si>
  <si>
    <t>RAMOS QUISPE EUFEMIA</t>
  </si>
  <si>
    <t>CONTADORA COLEGIADA</t>
  </si>
  <si>
    <t>46871705</t>
  </si>
  <si>
    <t>CHIJIAP ESACH JOSE</t>
  </si>
  <si>
    <t>61699639</t>
  </si>
  <si>
    <t>MANCHAY ROSALES FIDEL ANGEL</t>
  </si>
  <si>
    <t>77215938</t>
  </si>
  <si>
    <t>YAMPIS ORREGO IKAM JUNIORD</t>
  </si>
  <si>
    <t>47257034</t>
  </si>
  <si>
    <t>HEINER WACHAPEA AUSHUQUI</t>
  </si>
  <si>
    <t>74471699</t>
  </si>
  <si>
    <t>EBER GENRRY TIWIP KANTUASH</t>
  </si>
  <si>
    <t>05625738</t>
  </si>
  <si>
    <t>SANCHUN SHAWIT RICARDO</t>
  </si>
  <si>
    <t>APOYO EN PATRIMONIO</t>
  </si>
  <si>
    <t>76366862</t>
  </si>
  <si>
    <t>SEGURA TRIGOSO ANDY ALFONSO</t>
  </si>
  <si>
    <t>ESTUDIANTE DE ADMINISTRACIÓN</t>
  </si>
  <si>
    <t>43522434</t>
  </si>
  <si>
    <t>SERNAQUE VALENCIA JESSICA LILIANA</t>
  </si>
  <si>
    <t>44800000</t>
  </si>
  <si>
    <t>SESEN MARIANO ELIO ROLANDO</t>
  </si>
  <si>
    <t>ABOGAD</t>
  </si>
  <si>
    <t>TEC. EN FARMACIA DE ALMACEN ESPECIALIZADO DE MEDICAMENTOS</t>
  </si>
  <si>
    <t>71414680</t>
  </si>
  <si>
    <t>IRIGOIN SALAZAR LIDIA</t>
  </si>
  <si>
    <t>41339119</t>
  </si>
  <si>
    <t>RODRIGUEZ CAMPOS ALINDOR</t>
  </si>
  <si>
    <t>70520693</t>
  </si>
  <si>
    <t>SIFUENTES NUGKUAG CARLOS ABEL</t>
  </si>
  <si>
    <t>45590280</t>
  </si>
  <si>
    <t>SUAMUT PASKUAG RONALD</t>
  </si>
  <si>
    <t>47207721</t>
  </si>
  <si>
    <t>TRIGOSO FLORES ERICK KENNETH</t>
  </si>
  <si>
    <t>41849512</t>
  </si>
  <si>
    <t>TUCHIA LONGINOTE DICK MERLIN</t>
  </si>
  <si>
    <t>RESPONSABLE DE SISMED</t>
  </si>
  <si>
    <t>41160818</t>
  </si>
  <si>
    <t>TUESTA ORREGO JOSUE</t>
  </si>
  <si>
    <t>RESPONSABLE DE EXPERTO SIGA</t>
  </si>
  <si>
    <t>70691388</t>
  </si>
  <si>
    <t>UCANCIAL ESQUECHE JOSE CARLOS</t>
  </si>
  <si>
    <t>48865154</t>
  </si>
  <si>
    <t>DANIA LUZ MARIACO JEMPEKIT</t>
  </si>
  <si>
    <t>EGRESA SE SECRETARIADO EJECUTIVO</t>
  </si>
  <si>
    <t>OPERADOR PAD - NOTI</t>
  </si>
  <si>
    <t>42586323</t>
  </si>
  <si>
    <t>VALLEJOS FLORES JAIME LUIS</t>
  </si>
  <si>
    <t>JEFE DE LA UNIDAD DE LOGISTICA</t>
  </si>
  <si>
    <t>VEGA SUAREZ DARWHIN</t>
  </si>
  <si>
    <t xml:space="preserve">SECRETARIA DE ADMINISTRACIÓN </t>
  </si>
  <si>
    <t>46310807</t>
  </si>
  <si>
    <t>VELASQUEZ SANCHEZ LUCI ISABETH</t>
  </si>
  <si>
    <t>RESPONSABLE SIGA MEDICAMENTOS</t>
  </si>
  <si>
    <t>45288187</t>
  </si>
  <si>
    <t>WIPIO ARROBO RAZU GERARDO</t>
  </si>
  <si>
    <t>EGRESADO EN COMPUTACION E INFORMATICA</t>
  </si>
  <si>
    <t>COORD. DE METAXENICAS Y ZOONOSIS Y JEFE DE UDAIS</t>
  </si>
  <si>
    <t>43095085</t>
  </si>
  <si>
    <t>YAJAHUANCA PUELLES NOE</t>
  </si>
  <si>
    <t>MECANICO  ELECTRICISTA</t>
  </si>
  <si>
    <t>80173123</t>
  </si>
  <si>
    <t>AUSHUQUI TAQUI ZAQUEO</t>
  </si>
  <si>
    <t xml:space="preserve">MECANICO </t>
  </si>
  <si>
    <t>CHOFER DE RED DE SALUD CONDOR.</t>
  </si>
  <si>
    <t>CHOFER DE CAMIONETA</t>
  </si>
  <si>
    <t>41229276</t>
  </si>
  <si>
    <t>ZUBIATE RUBIO LADY SHEILA</t>
  </si>
  <si>
    <t>RECURSOS POR OPERACIONES OFICINALES DE CRÉDITO</t>
  </si>
  <si>
    <t>CAS-COVID</t>
  </si>
  <si>
    <t>26957584</t>
  </si>
  <si>
    <t>ABANTO CASTILLO HUMBERTO GONZALO</t>
  </si>
  <si>
    <t>42023679</t>
  </si>
  <si>
    <t>ASCONA POTENCIANO WILSON</t>
  </si>
  <si>
    <t>70397189</t>
  </si>
  <si>
    <t>BONILLA FLORES CYNTHIA TALHIA</t>
  </si>
  <si>
    <t>BIOLOGO (A)</t>
  </si>
  <si>
    <t>46832662</t>
  </si>
  <si>
    <t>CERNA TAFUR LUIS DAVID</t>
  </si>
  <si>
    <t>71216087</t>
  </si>
  <si>
    <t>CHOQUEHUANCA CATAN JESUS RAUL</t>
  </si>
  <si>
    <t>70113614</t>
  </si>
  <si>
    <t>CIEZA MEJIA LITTER JUNIOR</t>
  </si>
  <si>
    <t>LABORATORIO CLINICO</t>
  </si>
  <si>
    <t>44584555</t>
  </si>
  <si>
    <t>FERNANDEZ BURGA YOVER CECIL</t>
  </si>
  <si>
    <t>41114078</t>
  </si>
  <si>
    <t>GIL VIGO YVONNE MILAGRITOS</t>
  </si>
  <si>
    <t>43081726</t>
  </si>
  <si>
    <t>HUATAY CALLE ELSA ESPERANZA</t>
  </si>
  <si>
    <t>44384588</t>
  </si>
  <si>
    <t>LINARES AGUILAR ANGELA MARIA</t>
  </si>
  <si>
    <t>44799993</t>
  </si>
  <si>
    <t>MANTU NAJAMTAI ROGER</t>
  </si>
  <si>
    <t>63407298</t>
  </si>
  <si>
    <t>NANCHIJAM YAGKIKAT EDINSON</t>
  </si>
  <si>
    <t>47537484</t>
  </si>
  <si>
    <t>QUISPE COAQUIRA ROCIO MILAGROS</t>
  </si>
  <si>
    <t>43189427</t>
  </si>
  <si>
    <t>SUAMUT PASKUAG ELIO</t>
  </si>
  <si>
    <t>41693685</t>
  </si>
  <si>
    <t>TORRES FERNANDEZ REYNA MARISOL</t>
  </si>
  <si>
    <t>16782733</t>
  </si>
  <si>
    <t>ALAMAS HEREDIA JESNER</t>
  </si>
  <si>
    <t>LICENCIADO EN OBSTETRICIA</t>
  </si>
  <si>
    <t>70384674</t>
  </si>
  <si>
    <t>CONDORI ALCOS MILAGROS ULANOVA</t>
  </si>
  <si>
    <t>47724623</t>
  </si>
  <si>
    <t>FLORES CARRILLO ALLISON JANETT</t>
  </si>
  <si>
    <t>TECNICA/O EN ENFERMERIA</t>
  </si>
  <si>
    <t>47473828</t>
  </si>
  <si>
    <t>KAKIAS DUIRE ZEFORA</t>
  </si>
  <si>
    <t>73894647</t>
  </si>
  <si>
    <t>SHARIAN NONINGO ELVIRA</t>
  </si>
  <si>
    <t>LICENCIADA/O DE ENFERMERIA</t>
  </si>
  <si>
    <t>43316654</t>
  </si>
  <si>
    <t>TABOADA CASTRO CRISTHIAM JOEL</t>
  </si>
  <si>
    <t>80230821</t>
  </si>
  <si>
    <t>AUTUKAI ASANGKAY HUGO</t>
  </si>
  <si>
    <t>70114042</t>
  </si>
  <si>
    <t>AVILES SULCA ERIKA PRINS</t>
  </si>
  <si>
    <t>41639639</t>
  </si>
  <si>
    <t>COLLADO AROSTIGUE FERNANDO</t>
  </si>
  <si>
    <t>72534985</t>
  </si>
  <si>
    <t>LARA HUAMAN MARIA RAQUEL</t>
  </si>
  <si>
    <t>73704276</t>
  </si>
  <si>
    <t>SAAVEDRA GUTIERREZ GUSTAVO ALONSO</t>
  </si>
  <si>
    <t>47017216</t>
  </si>
  <si>
    <t>VERA GUIMAREY CATHERINE FIORELLA</t>
  </si>
  <si>
    <t>46888756</t>
  </si>
  <si>
    <t>YAKUM SHUNTA RIVET</t>
  </si>
  <si>
    <t>AMAYA CHUYES ANA BELEN</t>
  </si>
  <si>
    <t>73825482</t>
  </si>
  <si>
    <t>AWATIAG BARIAKU ERLIN</t>
  </si>
  <si>
    <t>45849722</t>
  </si>
  <si>
    <t>MONDRAGON LOPEZ TITO MANUEL</t>
  </si>
  <si>
    <t>48687738</t>
  </si>
  <si>
    <t>RAMIREZ CHIROQUE ARGELIA MAGDALENA</t>
  </si>
  <si>
    <t>74569136</t>
  </si>
  <si>
    <t>WISUM ATAMAIN CATHY LAURA</t>
  </si>
  <si>
    <t>44910734</t>
  </si>
  <si>
    <t>GARCIA HERRERA RUDY TATIANA</t>
  </si>
  <si>
    <t>71224314</t>
  </si>
  <si>
    <t>QUISPE RAMOS MARIBEL</t>
  </si>
  <si>
    <t>46623880</t>
  </si>
  <si>
    <t>REYNA SANCHEZ LAURA ELENA</t>
  </si>
  <si>
    <t>JULIO ARTURO DIAZ SIMAUCHI</t>
  </si>
  <si>
    <t>75558261</t>
  </si>
  <si>
    <t>PIJUCHKUN SHAJUP LESLY</t>
  </si>
  <si>
    <t>62948668</t>
  </si>
  <si>
    <t>RUIZ CAMPOS RUTH NOEMI</t>
  </si>
  <si>
    <t>45442616</t>
  </si>
  <si>
    <t>YESENIA PAMELA MATTA OCHOA</t>
  </si>
  <si>
    <t>47414834</t>
  </si>
  <si>
    <t>CERRON CONTRERAS ARIKA SHEYLA</t>
  </si>
  <si>
    <t>47469194</t>
  </si>
  <si>
    <t xml:space="preserve">RENGIFO MÈNDEZ FIORELLA MEREDITH </t>
  </si>
  <si>
    <t>GONZALES FRANCO MICHAEL ESTEVE</t>
  </si>
  <si>
    <t>43244099</t>
  </si>
  <si>
    <t>HUATANGARE GUERRERO DORIS</t>
  </si>
  <si>
    <t>06859852</t>
  </si>
  <si>
    <t>MADERA MADERA JUAN OSCAR</t>
  </si>
  <si>
    <t>33782030</t>
  </si>
  <si>
    <t>PIZARRO REINA GILBERT MARTIN</t>
  </si>
  <si>
    <t>47589320</t>
  </si>
  <si>
    <t>MARCOS SOLORZANO FIORELLA PAOLA</t>
  </si>
  <si>
    <t>06680420</t>
  </si>
  <si>
    <t>RODAS HERNANDEZ ARMANDO</t>
  </si>
  <si>
    <t>26717338</t>
  </si>
  <si>
    <t>RODRIGUEZ HUAMAN JULIO SANTOS</t>
  </si>
  <si>
    <t>48264763</t>
  </si>
  <si>
    <t>SAMANIEGO TSEMAN ABSALON</t>
  </si>
  <si>
    <t>SERRANO ALAYO YESBHEL</t>
  </si>
  <si>
    <t>28105821</t>
  </si>
  <si>
    <t>SOTO RAMOS LUIS GONZAGA</t>
  </si>
  <si>
    <t>47626363</t>
  </si>
  <si>
    <t>TAMINCHE LLAMO LUZ ENIT</t>
  </si>
  <si>
    <t>47306957</t>
  </si>
  <si>
    <t>WAJUSH KAYAP MARIA YANETH</t>
  </si>
  <si>
    <t>41052962</t>
  </si>
  <si>
    <t>ZAMORA LARREA CARLOS FRANK</t>
  </si>
  <si>
    <t>ZAPATA SAAVEDRA CESAR EDUARDO</t>
  </si>
  <si>
    <t>71455167</t>
  </si>
  <si>
    <t>ALVAREZ VALENZUELA OLGA GUADALUPE</t>
  </si>
  <si>
    <t>47516704</t>
  </si>
  <si>
    <t>BRAULEO KININ CHAIN</t>
  </si>
  <si>
    <t>GUEVARA PEREZ GLADYS</t>
  </si>
  <si>
    <t>47561688</t>
  </si>
  <si>
    <t>RAMIREZ MARAYAHUA KAROL ALMENDRA</t>
  </si>
  <si>
    <t xml:space="preserve">RUIZ ISMINIO JUAN ELÌ </t>
  </si>
  <si>
    <t>75787405</t>
  </si>
  <si>
    <t>TONGO DIAZ ALDEIR DENIS</t>
  </si>
  <si>
    <t>48471084</t>
  </si>
  <si>
    <t>WISUM AHUANARI LOYDA</t>
  </si>
  <si>
    <t>43647186</t>
  </si>
  <si>
    <t>GUTIERREZ HERNANDEZ KILDER BLADIMIR</t>
  </si>
  <si>
    <t>71585170</t>
  </si>
  <si>
    <t>BERNA TORRES ELITA</t>
  </si>
  <si>
    <t>73311849</t>
  </si>
  <si>
    <t>CLARA LEON SARA SHIRLEY</t>
  </si>
  <si>
    <t>45466662</t>
  </si>
  <si>
    <t>PUSCAN CULQUI LUCAS</t>
  </si>
  <si>
    <t>72446542</t>
  </si>
  <si>
    <t>ACUÑA BALCAZAR ANGEL JESUS</t>
  </si>
  <si>
    <t>47364140</t>
  </si>
  <si>
    <t>HUAMAN TOCTO GLENY</t>
  </si>
  <si>
    <t>70202055</t>
  </si>
  <si>
    <t>SUAREZ LOPEZ VERONICA</t>
  </si>
  <si>
    <t>10439825</t>
  </si>
  <si>
    <t>VICTOR GUTIERREZ ANDIA</t>
  </si>
  <si>
    <t>18144291</t>
  </si>
  <si>
    <t>VILCA FLORES EVA ELIZABETH</t>
  </si>
  <si>
    <t>41829931</t>
  </si>
  <si>
    <t>CORDOVA RUIZ ROSALIA</t>
  </si>
  <si>
    <t>73890002</t>
  </si>
  <si>
    <t>GODOS LOPEZ CINTHIA MIRELLA</t>
  </si>
  <si>
    <t>42945500</t>
  </si>
  <si>
    <t>MENDEZ MENDEZ EDGARDO MANUEL</t>
  </si>
  <si>
    <t>45242489</t>
  </si>
  <si>
    <t>MESIAS OSORIO EDUARDO PABLO</t>
  </si>
  <si>
    <t>73895448</t>
  </si>
  <si>
    <t>VELASQUEZ GUERRA LILIANA IRENE SUSALEN</t>
  </si>
  <si>
    <t>46072329</t>
  </si>
  <si>
    <t>YAUN PETSA ELMAN</t>
  </si>
  <si>
    <t>OTROS - BRIGADA PUEBLOS INDIGENAS</t>
  </si>
  <si>
    <t>45765212</t>
  </si>
  <si>
    <t>CIEZA ZURITA FREDEGUNDO</t>
  </si>
  <si>
    <t>43798094</t>
  </si>
  <si>
    <t>DE LA CRUZ SERNAQUE MINDY MILAGROS</t>
  </si>
  <si>
    <t>47733943</t>
  </si>
  <si>
    <t>MOZOMBITE TRIGOSO YURI ELDER</t>
  </si>
  <si>
    <t>42039476</t>
  </si>
  <si>
    <t>PALOMINO CUSI EDWIN SAMUEL</t>
  </si>
  <si>
    <t>46678709</t>
  </si>
  <si>
    <t>SANCHEZ SECIAS KAREN TERESA</t>
  </si>
  <si>
    <t>SECUNDARIA INCOMPLETA</t>
  </si>
  <si>
    <t>42686469</t>
  </si>
  <si>
    <t>SEVERINO TORRES SHIRLEY ANALI</t>
  </si>
  <si>
    <t>80682859</t>
  </si>
  <si>
    <t>URQUIA PANDURO MILTON</t>
  </si>
  <si>
    <t xml:space="preserve">OTROS - BRIGADAS COMUNITARIAS PARA PROCESO DE VACUNACION COVID-19 </t>
  </si>
  <si>
    <t>48234115</t>
  </si>
  <si>
    <t>NUJIGKUS KAJEKUI ERICK</t>
  </si>
  <si>
    <t>45212823</t>
  </si>
  <si>
    <t>HUAMAN GALLARDO BETSY LISETT</t>
  </si>
  <si>
    <t>47392425</t>
  </si>
  <si>
    <t>JUWEP KANTUASH CLETO</t>
  </si>
  <si>
    <t>GOBIERNO REGIONAL AMAZONAS</t>
  </si>
  <si>
    <t>001 REGIÓN AMAZONAS – Sede Central</t>
  </si>
  <si>
    <t>GONZALO ANGULO SALAZAR</t>
  </si>
  <si>
    <t>TERCERO</t>
  </si>
  <si>
    <t>MENSUAL</t>
  </si>
  <si>
    <t>01/01/2021 AL 30/06/2021</t>
  </si>
  <si>
    <t xml:space="preserve">LUIS TEJEDO ANGULO </t>
  </si>
  <si>
    <t>30/12/2020 AL 30/12/2021</t>
  </si>
  <si>
    <t>CHAVEZ VEGA CARMELA</t>
  </si>
  <si>
    <t>17/06/2021 AL 17/04/2022</t>
  </si>
  <si>
    <t>MARLENY FELICITAS AREVALO ROJAS</t>
  </si>
  <si>
    <t>11/03/2021 AL 11/02/2022</t>
  </si>
  <si>
    <t>FERNANDO MELQUIADEZ RAMIREZ VILLA</t>
  </si>
  <si>
    <t>TERESA DE JESUS BONIFAZ DE URTEAGA</t>
  </si>
  <si>
    <t>GUADALUPE ALVA GENITH ESPERANZA</t>
  </si>
  <si>
    <t>002 REGIÓN AMAZONAS - GERENCIA SUB REGIONAL BAGUA</t>
  </si>
  <si>
    <t>RODAS HUAMAN OLGA VIOLETA</t>
  </si>
  <si>
    <t>1000 M2</t>
  </si>
  <si>
    <t>POR 12 MESES (2020)</t>
  </si>
  <si>
    <t>MENSUAL (PAGO FIN DE MES)</t>
  </si>
  <si>
    <t>002 REGIÓN AMAZONAS -  GERENCIA SUB REGIONAL BAGUA</t>
  </si>
  <si>
    <t>POR 12 MESES (2021)</t>
  </si>
  <si>
    <t>004 REGIÓN AMAZONAS - GERENCIA SUB REGIONAL UTCUBAMBA</t>
  </si>
  <si>
    <t xml:space="preserve">LEÓN GUEVARA JOSE EMILIANO </t>
  </si>
  <si>
    <t>AJENO</t>
  </si>
  <si>
    <t>P34004707</t>
  </si>
  <si>
    <t>300 M2</t>
  </si>
  <si>
    <t>SI</t>
  </si>
  <si>
    <t>01/03/2019 - 31/12/2021</t>
  </si>
  <si>
    <t xml:space="preserve">RODRIGUEZ GUEVARA CRUZ </t>
  </si>
  <si>
    <t xml:space="preserve">BIEN PROPIO </t>
  </si>
  <si>
    <t>01/01/2020 - 01/12/2021</t>
  </si>
  <si>
    <t>200 M2</t>
  </si>
  <si>
    <t>01/01/2021 - 01/12/2021</t>
  </si>
  <si>
    <t xml:space="preserve">GOBIERNO REGIONAL AMAZONAS </t>
  </si>
  <si>
    <t xml:space="preserve">005 REGIÓN AMAZONAS - PROAMAZONAS </t>
  </si>
  <si>
    <t>MARLIT ZAVALETA ALVA</t>
  </si>
  <si>
    <t xml:space="preserve">132.93 M2 </t>
  </si>
  <si>
    <t xml:space="preserve">EDIFICIO DE CINCO PISOS </t>
  </si>
  <si>
    <t xml:space="preserve">12 MESES </t>
  </si>
  <si>
    <t xml:space="preserve">MENSUAL </t>
  </si>
  <si>
    <t>132.93 M2</t>
  </si>
  <si>
    <t xml:space="preserve">100 REGIÓN AMAZONAS - DIRECION REGIONAL AGRARIA AMAZONAS  </t>
  </si>
  <si>
    <t>ESANT CONTRATISTAS CONSULTORES E INVERSIONES GENERALES E.I.R.L.</t>
  </si>
  <si>
    <t xml:space="preserve">LOCAL </t>
  </si>
  <si>
    <t>01/04/2020 AL 31/05/2020</t>
  </si>
  <si>
    <t>LOPEZ ZELADA JOSE MILANO</t>
  </si>
  <si>
    <t>01/10/2021 AL 31/12/2021</t>
  </si>
  <si>
    <t>RODRIGUEZ GUEVARA CRUZ</t>
  </si>
  <si>
    <t>01/09/2021 AL 31/12/2021</t>
  </si>
  <si>
    <t>300 REGIÓN AMAZONAS - EDUCACIÓN AMAZONAS</t>
  </si>
  <si>
    <t>MARIA DEL CARMEN OCAMPO GANOSA</t>
  </si>
  <si>
    <t>PROPIO</t>
  </si>
  <si>
    <t xml:space="preserve">ARTEAGA DE GUEVARA MARINA </t>
  </si>
  <si>
    <t>440 GOBIERNO REGIONAL AMAZONAS</t>
  </si>
  <si>
    <t>400 REGIÓN AMAZONAS - SALUD AMAZONAS</t>
  </si>
  <si>
    <t>FERNANDO MOROCHO KHAN</t>
  </si>
  <si>
    <t>2 AÑOS</t>
  </si>
  <si>
    <t>441 GOBIERNO REGIONAL AMAZONAS</t>
  </si>
  <si>
    <t xml:space="preserve">BENIGNO ZUTA VILACARROMERO </t>
  </si>
  <si>
    <t>1 AÑO</t>
  </si>
  <si>
    <t>442 GOBIERNO REGIONAL AMAZONAS</t>
  </si>
  <si>
    <t>NAPOLEON AUGUSTO CULQUI VALDEZ</t>
  </si>
  <si>
    <t xml:space="preserve">1 AÑO Y 10 MESES  </t>
  </si>
  <si>
    <t>443 GOBIERNO REGIONAL AMAZONAS</t>
  </si>
  <si>
    <t>ROSA DIAZ VELA</t>
  </si>
  <si>
    <t>444 GOBIERNO REGIONAL AMAZONAS</t>
  </si>
  <si>
    <t xml:space="preserve">MARLITH DEL ROSARIO VEGA ILIQUIN </t>
  </si>
  <si>
    <t xml:space="preserve">UN AÑO Y 5 MESES </t>
  </si>
  <si>
    <t>445 GOBIERNO REGIONAL AMAZONAS</t>
  </si>
  <si>
    <t>JOSE ALVARADO SANTILLAN</t>
  </si>
  <si>
    <t>446 GOBIERNO REGIONAL AMAZONAS</t>
  </si>
  <si>
    <t>NURI CALAMPA DURANGO</t>
  </si>
  <si>
    <t>10 MESES</t>
  </si>
  <si>
    <t>447 GOBIERNO REGIONAL AMAZONAS</t>
  </si>
  <si>
    <t>ESCOBEDO MORI MIRIAM</t>
  </si>
  <si>
    <t>3 MESES</t>
  </si>
  <si>
    <t>448 GOBIERNO REGIONAL AMAZONAS</t>
  </si>
  <si>
    <t xml:space="preserve">A &amp; P INVERSIONES Y SERVICIOS S.A.C.   </t>
  </si>
  <si>
    <t>449 GOBIERNO REGIONAL AMAZONAS</t>
  </si>
  <si>
    <t>CULQUI VALDEZ NEILL ANTONIO</t>
  </si>
  <si>
    <t>9 MESES</t>
  </si>
  <si>
    <t>450 GOBIERNO REGIONAL AMAZONAS</t>
  </si>
  <si>
    <t>MARIA BELMIRA MELENDEZ QUIROZ</t>
  </si>
  <si>
    <t>401 REGIÓN AMAZONAS - SALUD BAGUA - AMAZONAS</t>
  </si>
  <si>
    <t>PAREDES ROSARIO AURISTELA GRACIELA</t>
  </si>
  <si>
    <t>X</t>
  </si>
  <si>
    <t>ENERO A DICIEMBRE 2020</t>
  </si>
  <si>
    <t>PEREZ HERNANDEZ RUTH NELIDA</t>
  </si>
  <si>
    <t>FEBRERO A DICIEMBRE 2020</t>
  </si>
  <si>
    <t>ESCOBEDO ROMERO YESSICA MARIBEL</t>
  </si>
  <si>
    <t>ENERO A DICIEMBRE 2021</t>
  </si>
  <si>
    <t>GAMONAL FLORES HENRY WALTER</t>
  </si>
  <si>
    <t>404 REGIÓN AMAZONAS -  SALUD UTCUBAMBA</t>
  </si>
  <si>
    <t>ARAUJO MANOSALVA DAVID</t>
  </si>
  <si>
    <t>DELGADO CHAVEZ CESAR AMBERLY</t>
  </si>
  <si>
    <t>180 M2</t>
  </si>
  <si>
    <t>FERNANDEZ DELGADO ORESTERES</t>
  </si>
  <si>
    <t>BRICEÑO ALTAMIRANO JUAN</t>
  </si>
  <si>
    <t>375.9 M2</t>
  </si>
  <si>
    <t>INFANTES CASTAÑEDA MERY ELIANA</t>
  </si>
  <si>
    <t>150 M2</t>
  </si>
  <si>
    <t>MEJIA RUIZ JESSICA</t>
  </si>
  <si>
    <t>ROJAS LLANOS MADALEINE</t>
  </si>
  <si>
    <t>226.6 M2</t>
  </si>
  <si>
    <t>RUIZ DIAZ JUSTINIANO</t>
  </si>
  <si>
    <t>TANTALEAN TERAN LUIS ALEXANDER</t>
  </si>
  <si>
    <t>VASQUEZ BUSTAMANTE CARLOS MARCIAL</t>
  </si>
  <si>
    <t>350 M2</t>
  </si>
  <si>
    <t>VIDAL DIAZ CARLOS FELIPE</t>
  </si>
  <si>
    <t>HUANCAS ROMERO TOMAS</t>
  </si>
  <si>
    <t>INGA MORI LUISA DOLORES</t>
  </si>
  <si>
    <t>PEREZ VASQUEZ ALBERTO</t>
  </si>
  <si>
    <t>SORIANO SANCHEZ HANS SORIANO</t>
  </si>
  <si>
    <t>250 M2</t>
  </si>
  <si>
    <t>405 REGIÓN AMAZONAS - DIRECCION DE RED DE SALUD CONDORCANQUI</t>
  </si>
  <si>
    <t>CACHAY REINA FILIBERTO</t>
  </si>
  <si>
    <t>5 MESES</t>
  </si>
  <si>
    <t>MENSUAL (800 SOLES)</t>
  </si>
  <si>
    <t>GUTIERREZ MUÑOZ SONIA</t>
  </si>
  <si>
    <t>PAGO UNICO</t>
  </si>
  <si>
    <t>INVELPU E.I.R.L</t>
  </si>
  <si>
    <t>TARRILLLO GUEVARA FILIBERTO</t>
  </si>
  <si>
    <t>1 MES</t>
  </si>
  <si>
    <t>SECTOR o GOB. REGIONAL: 440 GOBIERNO REGIONAL AMAZONAS</t>
  </si>
  <si>
    <t>51. ADQUISICION DE EQUIPO DE RAYOS X, MONITOR DE FUNCIONES VITALES Y RED DE SUMINISTRO DE OXIGENO; REMODELACION DE UNIDAD DE VIGILANCIA INTENSIVA; ADEMAS DE OTROS ACTIVOS EN EL(LA) EESS HOSPITAL DE APOYO I SANTIAGO APOSTOL DE UTCUBAMBA - BAGUA GRANDE DISTRITO DE BAGUA GRANDE, PROVINCIA UTCUBAMBA, DEPARTAMENTO AMAZ.</t>
  </si>
  <si>
    <t xml:space="preserve">SECTOR o GOB. REGIONAL: 440 GOBIERNO REGIONAL AMAZONAS </t>
  </si>
  <si>
    <t>SECTOR o GOB. REGIONAL:  440 GOBIERNO REGIONAL AMAZONAS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</si>
</sst>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S/&quot;#,##0.00;[Red]\-&quot;S/&quot;#,##0.00"/>
    <numFmt numFmtId="44" formatCode="_-&quot;S/&quot;* #,##0.00_-;\-&quot;S/&quot;* #,##0.00_-;_-&quot;S/&quot;* &quot;-&quot;??_-;_-@_-"/>
    <numFmt numFmtId="43" formatCode="_-* #,##0.00_-;\-* #,##0.00_-;_-* &quot;-&quot;??_-;_-@_-"/>
    <numFmt numFmtId="164" formatCode="_ * #,##0.00_ ;_ * \-#,##0.00_ ;_ * &quot;-&quot;??_ ;_ @_ "/>
    <numFmt numFmtId="165" formatCode="_ &quot;S/.&quot;\ * #,##0.00_ ;_ &quot;S/.&quot;\ * \-#,##0.00_ ;_ &quot;S/.&quot;\ * &quot;-&quot;??_ ;_ @_ "/>
    <numFmt numFmtId="166" formatCode="[$-280A]d&quot; de &quot;mmmm&quot; de &quot;yyyy;@"/>
    <numFmt numFmtId="167" formatCode="_ * #,##0_ ;_ * \-#,##0_ ;_ * &quot;-&quot;??_ ;_ @_ "/>
    <numFmt numFmtId="168" formatCode="#,##0_ ;\-#,##0\ "/>
    <numFmt numFmtId="169" formatCode="&quot;S/&quot;#,##0.00"/>
    <numFmt numFmtId="170" formatCode="&quot;S/.&quot;#,##0.00;[Red]&quot;S/.&quot;#,##0.00"/>
    <numFmt numFmtId="171" formatCode="0000"/>
    <numFmt numFmtId="172" formatCode="#,##0.0"/>
    <numFmt numFmtId="173" formatCode="dd/mm/yyyy;@"/>
    <numFmt numFmtId="174" formatCode="#,##0.00_ ;\-#,##0.00\ "/>
    <numFmt numFmtId="175" formatCode="dd\-mm\-yy;@"/>
    <numFmt numFmtId="176" formatCode="00000000"/>
    <numFmt numFmtId="177" formatCode="00"/>
    <numFmt numFmtId="178" formatCode="000"/>
    <numFmt numFmtId="179" formatCode="&quot;S/.&quot;#,##0;[Red]\-&quot;S/.&quot;#,##0"/>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Narrow"/>
      <family val="2"/>
    </font>
    <font>
      <sz val="10"/>
      <name val="Arial"/>
      <family val="2"/>
    </font>
    <font>
      <b/>
      <sz val="8"/>
      <name val="Arial"/>
      <family val="2"/>
    </font>
    <font>
      <sz val="10"/>
      <name val="Courier"/>
      <family val="3"/>
    </font>
    <font>
      <b/>
      <sz val="12"/>
      <name val="Arial"/>
      <family val="2"/>
    </font>
    <font>
      <sz val="9"/>
      <name val="Arial"/>
      <family val="2"/>
    </font>
    <font>
      <b/>
      <sz val="9"/>
      <name val="Arial"/>
      <family val="2"/>
    </font>
    <font>
      <sz val="8"/>
      <name val="Arial"/>
      <family val="2"/>
    </font>
    <font>
      <b/>
      <sz val="9"/>
      <color indexed="8"/>
      <name val="Arial"/>
      <family val="2"/>
    </font>
    <font>
      <sz val="9"/>
      <color indexed="32"/>
      <name val="Arial"/>
      <family val="2"/>
    </font>
    <font>
      <sz val="9"/>
      <color indexed="8"/>
      <name val="Arial"/>
      <family val="2"/>
    </font>
    <font>
      <sz val="8"/>
      <color indexed="81"/>
      <name val="Tahoma"/>
      <family val="2"/>
    </font>
    <font>
      <sz val="12"/>
      <name val="Arial"/>
      <family val="2"/>
    </font>
    <font>
      <sz val="8"/>
      <name val="Calibri"/>
      <family val="2"/>
      <scheme val="minor"/>
    </font>
    <font>
      <b/>
      <sz val="8"/>
      <name val="Calibri"/>
      <family val="2"/>
      <scheme val="minor"/>
    </font>
    <font>
      <sz val="8"/>
      <color indexed="8"/>
      <name val="Arial"/>
      <family val="2"/>
    </font>
    <font>
      <b/>
      <u/>
      <sz val="8"/>
      <name val="Arial"/>
      <family val="2"/>
    </font>
    <font>
      <b/>
      <sz val="11"/>
      <color theme="1"/>
      <name val="Calibri"/>
      <family val="2"/>
      <scheme val="minor"/>
    </font>
    <font>
      <sz val="10"/>
      <name val="Arial"/>
      <family val="2"/>
    </font>
    <font>
      <sz val="9"/>
      <color indexed="81"/>
      <name val="Tahoma"/>
      <family val="2"/>
    </font>
    <font>
      <b/>
      <sz val="9"/>
      <color rgb="FFFF0000"/>
      <name val="Arial"/>
      <family val="2"/>
    </font>
    <font>
      <sz val="9"/>
      <color theme="1"/>
      <name val="Arial"/>
      <family val="2"/>
    </font>
    <font>
      <sz val="8"/>
      <name val="Trebuchet MS"/>
      <family val="2"/>
    </font>
    <font>
      <sz val="9"/>
      <name val="Trebuchet MS"/>
      <family val="2"/>
    </font>
    <font>
      <sz val="8"/>
      <color rgb="FF333333"/>
      <name val="Calibri"/>
      <family val="2"/>
      <scheme val="minor"/>
    </font>
    <font>
      <sz val="8"/>
      <name val="Arial Narrow"/>
      <family val="2"/>
    </font>
    <font>
      <sz val="8"/>
      <color indexed="8"/>
      <name val="Arial Narrow"/>
      <family val="2"/>
    </font>
    <font>
      <i/>
      <sz val="8"/>
      <name val="Arial Narrow"/>
      <family val="2"/>
    </font>
    <font>
      <b/>
      <sz val="8"/>
      <color indexed="8"/>
      <name val="Arial"/>
      <family val="2"/>
    </font>
    <font>
      <sz val="9"/>
      <color rgb="FF000000"/>
      <name val="Arial"/>
      <family val="2"/>
    </font>
    <font>
      <b/>
      <sz val="8"/>
      <color rgb="FF000000"/>
      <name val="Verdana"/>
      <family val="2"/>
    </font>
    <font>
      <sz val="9"/>
      <color theme="0"/>
      <name val="Arial"/>
      <family val="2"/>
    </font>
    <font>
      <sz val="9"/>
      <color theme="0" tint="-0.499984740745262"/>
      <name val="Arial"/>
      <family val="2"/>
    </font>
    <font>
      <b/>
      <sz val="9"/>
      <color indexed="81"/>
      <name val="Tahoma"/>
      <family val="2"/>
    </font>
    <font>
      <sz val="11"/>
      <name val="Arial"/>
      <family val="2"/>
    </font>
  </fonts>
  <fills count="13">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9"/>
        <bgColor indexed="64"/>
      </patternFill>
    </fill>
    <fill>
      <patternFill patternType="solid">
        <fgColor theme="7" tint="0.39997558519241921"/>
        <bgColor indexed="65"/>
      </patternFill>
    </fill>
    <fill>
      <patternFill patternType="solid">
        <fgColor rgb="FF00B050"/>
        <bgColor indexed="64"/>
      </patternFill>
    </fill>
    <fill>
      <patternFill patternType="solid">
        <fgColor rgb="FFEEEEEE"/>
        <bgColor indexed="64"/>
      </patternFill>
    </fill>
    <fill>
      <patternFill patternType="solid">
        <fgColor theme="8" tint="0.79998168889431442"/>
        <bgColor indexed="64"/>
      </patternFill>
    </fill>
  </fills>
  <borders count="80">
    <border>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n">
        <color indexed="64"/>
      </right>
      <top/>
      <bottom style="thick">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rgb="FFDDDDDD"/>
      </bottom>
      <diagonal/>
    </border>
    <border>
      <left style="thin">
        <color indexed="64"/>
      </left>
      <right style="medium">
        <color indexed="64"/>
      </right>
      <top style="medium">
        <color rgb="FFDDDDDD"/>
      </top>
      <bottom style="medium">
        <color rgb="FFDDDDDD"/>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2">
    <xf numFmtId="0" fontId="0" fillId="0" borderId="0"/>
    <xf numFmtId="0" fontId="6" fillId="0" borderId="0"/>
    <xf numFmtId="0" fontId="6" fillId="0" borderId="0"/>
    <xf numFmtId="49" fontId="9" fillId="0" borderId="0"/>
    <xf numFmtId="0" fontId="3" fillId="0" borderId="0"/>
    <xf numFmtId="164" fontId="24" fillId="0" borderId="0" applyFont="0" applyFill="0" applyBorder="0" applyAlignment="0" applyProtection="0"/>
    <xf numFmtId="165" fontId="24" fillId="0" borderId="0" applyFont="0" applyFill="0" applyBorder="0" applyAlignment="0" applyProtection="0"/>
    <xf numFmtId="9" fontId="24" fillId="0" borderId="0" applyFont="0" applyFill="0" applyBorder="0" applyAlignment="0" applyProtection="0"/>
    <xf numFmtId="0" fontId="1" fillId="9"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cellStyleXfs>
  <cellXfs count="1162">
    <xf numFmtId="0" fontId="0" fillId="0" borderId="0" xfId="0"/>
    <xf numFmtId="0" fontId="11" fillId="0" borderId="8" xfId="0" applyFont="1" applyBorder="1"/>
    <xf numFmtId="49" fontId="11" fillId="0" borderId="0" xfId="3" applyFont="1" applyAlignment="1">
      <alignment vertical="center"/>
    </xf>
    <xf numFmtId="0" fontId="11" fillId="0" borderId="13" xfId="0" applyFont="1" applyBorder="1"/>
    <xf numFmtId="0" fontId="12" fillId="0" borderId="0" xfId="0" applyFont="1"/>
    <xf numFmtId="0" fontId="11" fillId="0" borderId="14" xfId="0" applyFont="1" applyBorder="1"/>
    <xf numFmtId="0" fontId="11" fillId="0" borderId="4" xfId="0" applyFont="1" applyBorder="1"/>
    <xf numFmtId="0" fontId="11" fillId="0" borderId="21" xfId="0" applyFont="1" applyBorder="1"/>
    <xf numFmtId="0" fontId="11" fillId="0" borderId="0" xfId="2" applyFont="1" applyAlignment="1">
      <alignment vertical="center"/>
    </xf>
    <xf numFmtId="0" fontId="11" fillId="0" borderId="14" xfId="2" applyFont="1" applyBorder="1" applyAlignment="1">
      <alignment horizontal="center" vertical="center"/>
    </xf>
    <xf numFmtId="0" fontId="12" fillId="2" borderId="14" xfId="2" applyFont="1" applyFill="1" applyBorder="1" applyAlignment="1">
      <alignment horizontal="center" vertical="center"/>
    </xf>
    <xf numFmtId="0" fontId="11" fillId="0" borderId="55" xfId="2" applyFont="1" applyBorder="1" applyAlignment="1">
      <alignment vertical="center"/>
    </xf>
    <xf numFmtId="0" fontId="11" fillId="0" borderId="3" xfId="2" applyFont="1" applyBorder="1" applyAlignment="1">
      <alignment vertical="center"/>
    </xf>
    <xf numFmtId="0" fontId="11" fillId="0" borderId="4" xfId="2" applyFont="1" applyBorder="1" applyAlignment="1">
      <alignment vertical="center"/>
    </xf>
    <xf numFmtId="0" fontId="11" fillId="0" borderId="54" xfId="2" applyFont="1" applyBorder="1" applyAlignment="1">
      <alignment vertical="center"/>
    </xf>
    <xf numFmtId="0" fontId="12" fillId="2" borderId="5" xfId="2" applyFont="1" applyFill="1" applyBorder="1" applyAlignment="1">
      <alignment horizontal="center" vertical="center"/>
    </xf>
    <xf numFmtId="0" fontId="12" fillId="2" borderId="41" xfId="2" applyFont="1" applyFill="1" applyBorder="1" applyAlignment="1">
      <alignment vertical="center"/>
    </xf>
    <xf numFmtId="0" fontId="12" fillId="2" borderId="20" xfId="2" applyFont="1" applyFill="1" applyBorder="1" applyAlignment="1">
      <alignment vertical="center"/>
    </xf>
    <xf numFmtId="0" fontId="12" fillId="2" borderId="18" xfId="2" applyFont="1" applyFill="1" applyBorder="1" applyAlignment="1">
      <alignment vertical="center"/>
    </xf>
    <xf numFmtId="0" fontId="12" fillId="2" borderId="42" xfId="2" applyFont="1" applyFill="1" applyBorder="1" applyAlignment="1">
      <alignment vertical="center"/>
    </xf>
    <xf numFmtId="0" fontId="12" fillId="2" borderId="5" xfId="2" applyFont="1" applyFill="1" applyBorder="1" applyAlignment="1">
      <alignment vertical="center"/>
    </xf>
    <xf numFmtId="0" fontId="11" fillId="0" borderId="12" xfId="0" applyFont="1" applyBorder="1"/>
    <xf numFmtId="0" fontId="11" fillId="0" borderId="11" xfId="0" applyFont="1" applyBorder="1"/>
    <xf numFmtId="0" fontId="11" fillId="0" borderId="55" xfId="0" applyFont="1" applyBorder="1"/>
    <xf numFmtId="166" fontId="11" fillId="0" borderId="0" xfId="0" applyNumberFormat="1" applyFont="1"/>
    <xf numFmtId="0" fontId="12" fillId="2" borderId="8" xfId="2" applyFont="1" applyFill="1" applyBorder="1" applyAlignment="1">
      <alignment horizontal="center" vertical="center"/>
    </xf>
    <xf numFmtId="0" fontId="12" fillId="2" borderId="4" xfId="2" applyFont="1" applyFill="1" applyBorder="1" applyAlignment="1">
      <alignment horizontal="center" vertical="center"/>
    </xf>
    <xf numFmtId="0" fontId="11" fillId="0" borderId="0" xfId="0" applyFont="1" applyAlignment="1">
      <alignment wrapText="1"/>
    </xf>
    <xf numFmtId="0" fontId="11" fillId="0" borderId="0" xfId="0" applyFont="1" applyAlignment="1">
      <alignment horizontal="center" wrapText="1"/>
    </xf>
    <xf numFmtId="0" fontId="12" fillId="0" borderId="0" xfId="0" applyFont="1" applyAlignment="1">
      <alignment horizontal="center" textRotation="90" wrapText="1"/>
    </xf>
    <xf numFmtId="0" fontId="4" fillId="0" borderId="0" xfId="0" applyFont="1" applyAlignment="1">
      <alignment horizontal="center" vertical="center" wrapText="1"/>
    </xf>
    <xf numFmtId="0" fontId="4" fillId="0" borderId="0" xfId="0" applyFont="1"/>
    <xf numFmtId="0" fontId="4" fillId="0" borderId="0" xfId="0" applyFont="1" applyAlignment="1">
      <alignment wrapText="1"/>
    </xf>
    <xf numFmtId="0" fontId="12" fillId="2" borderId="19"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18" xfId="2" applyFont="1" applyFill="1" applyBorder="1" applyAlignment="1">
      <alignment horizontal="center" vertical="center"/>
    </xf>
    <xf numFmtId="0" fontId="10" fillId="5" borderId="0" xfId="0" applyFont="1" applyFill="1"/>
    <xf numFmtId="0" fontId="12" fillId="5" borderId="0" xfId="0" applyFont="1" applyFill="1"/>
    <xf numFmtId="0" fontId="12" fillId="5" borderId="0" xfId="2" applyFont="1" applyFill="1" applyAlignment="1">
      <alignment vertical="center"/>
    </xf>
    <xf numFmtId="0" fontId="11" fillId="5" borderId="0" xfId="0" applyFont="1" applyFill="1"/>
    <xf numFmtId="0" fontId="10" fillId="4" borderId="0" xfId="0" applyFont="1" applyFill="1" applyAlignment="1">
      <alignment vertical="center"/>
    </xf>
    <xf numFmtId="0" fontId="18" fillId="4" borderId="0" xfId="0" applyFont="1" applyFill="1" applyAlignment="1">
      <alignment vertical="center" wrapText="1"/>
    </xf>
    <xf numFmtId="0" fontId="18" fillId="4" borderId="0" xfId="0" applyFont="1" applyFill="1" applyAlignment="1">
      <alignment vertical="center"/>
    </xf>
    <xf numFmtId="0" fontId="0" fillId="0" borderId="0" xfId="0" applyAlignment="1">
      <alignment vertical="center"/>
    </xf>
    <xf numFmtId="0" fontId="0" fillId="0" borderId="0" xfId="0" applyAlignment="1">
      <alignment vertical="center" wrapText="1"/>
    </xf>
    <xf numFmtId="0" fontId="7" fillId="0" borderId="0" xfId="0" applyFont="1" applyAlignment="1">
      <alignment vertical="center"/>
    </xf>
    <xf numFmtId="0" fontId="5" fillId="0" borderId="0" xfId="0" applyFont="1" applyAlignment="1">
      <alignment vertical="center"/>
    </xf>
    <xf numFmtId="0" fontId="18" fillId="0" borderId="0" xfId="0" applyFont="1" applyFill="1" applyAlignment="1">
      <alignment vertical="center"/>
    </xf>
    <xf numFmtId="0" fontId="0" fillId="0" borderId="0" xfId="0" applyFill="1" applyAlignment="1">
      <alignment vertical="center"/>
    </xf>
    <xf numFmtId="0" fontId="7" fillId="0" borderId="0" xfId="0" applyFont="1" applyFill="1" applyAlignment="1">
      <alignment vertical="center"/>
    </xf>
    <xf numFmtId="0" fontId="11" fillId="0" borderId="0" xfId="0" applyFont="1"/>
    <xf numFmtId="0" fontId="8" fillId="0" borderId="0" xfId="0" applyFont="1" applyFill="1" applyAlignment="1">
      <alignment horizontal="left"/>
    </xf>
    <xf numFmtId="0" fontId="8" fillId="0" borderId="0" xfId="2" applyFont="1" applyFill="1" applyAlignment="1">
      <alignment vertical="center"/>
    </xf>
    <xf numFmtId="0" fontId="4" fillId="0" borderId="26"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0" xfId="0" applyFont="1" applyAlignment="1">
      <alignment horizontal="justify" vertical="center" wrapText="1"/>
    </xf>
    <xf numFmtId="0" fontId="4" fillId="0" borderId="37" xfId="0" applyFont="1" applyBorder="1" applyAlignment="1">
      <alignment horizontal="justify" vertical="center" wrapText="1"/>
    </xf>
    <xf numFmtId="0" fontId="4" fillId="0" borderId="39" xfId="0" applyFont="1" applyBorder="1" applyAlignment="1">
      <alignment horizontal="justify" vertical="center" wrapText="1"/>
    </xf>
    <xf numFmtId="0" fontId="20" fillId="0" borderId="0" xfId="2" applyFont="1" applyFill="1" applyAlignment="1">
      <alignment vertical="center"/>
    </xf>
    <xf numFmtId="0" fontId="20" fillId="0" borderId="0" xfId="0" applyFont="1"/>
    <xf numFmtId="0" fontId="19" fillId="0" borderId="0" xfId="0" applyFont="1" applyAlignment="1">
      <alignment vertical="center" wrapText="1"/>
    </xf>
    <xf numFmtId="0" fontId="19" fillId="0" borderId="0" xfId="0" applyFont="1" applyAlignment="1">
      <alignment wrapText="1"/>
    </xf>
    <xf numFmtId="49" fontId="20" fillId="0" borderId="0" xfId="3" applyFont="1" applyBorder="1" applyAlignment="1">
      <alignment horizontal="left" vertical="center"/>
    </xf>
    <xf numFmtId="3" fontId="19" fillId="0" borderId="0" xfId="3" applyNumberFormat="1" applyFont="1" applyAlignment="1">
      <alignment vertical="center"/>
    </xf>
    <xf numFmtId="3" fontId="19" fillId="0" borderId="0" xfId="3" applyNumberFormat="1" applyFont="1" applyAlignment="1">
      <alignment horizontal="right" vertical="center"/>
    </xf>
    <xf numFmtId="0" fontId="20" fillId="0" borderId="0" xfId="0" applyFont="1" applyAlignment="1">
      <alignment horizontal="center" vertical="center" textRotation="90"/>
    </xf>
    <xf numFmtId="49" fontId="20" fillId="0" borderId="19" xfId="3" applyFont="1" applyBorder="1" applyAlignment="1">
      <alignment horizontal="left" vertical="center"/>
    </xf>
    <xf numFmtId="0" fontId="5" fillId="0" borderId="0" xfId="0" applyFont="1" applyAlignment="1">
      <alignment horizontal="center" vertical="center"/>
    </xf>
    <xf numFmtId="0" fontId="3" fillId="0" borderId="28" xfId="0" applyFont="1" applyFill="1" applyBorder="1" applyAlignment="1">
      <alignment horizontal="left" indent="2"/>
    </xf>
    <xf numFmtId="0" fontId="3" fillId="0" borderId="28" xfId="0" applyFont="1" applyFill="1" applyBorder="1"/>
    <xf numFmtId="0" fontId="3" fillId="0" borderId="0" xfId="0" applyFont="1" applyFill="1"/>
    <xf numFmtId="0" fontId="5" fillId="6" borderId="28" xfId="0" applyFont="1" applyFill="1" applyBorder="1"/>
    <xf numFmtId="0" fontId="3" fillId="0" borderId="0" xfId="0" applyFont="1" applyFill="1" applyBorder="1"/>
    <xf numFmtId="0" fontId="5" fillId="6" borderId="28" xfId="0" applyFont="1" applyFill="1" applyBorder="1" applyAlignment="1">
      <alignment horizontal="right" vertical="center"/>
    </xf>
    <xf numFmtId="0" fontId="3" fillId="0" borderId="0" xfId="0" applyFont="1" applyFill="1" applyAlignment="1">
      <alignment vertical="center"/>
    </xf>
    <xf numFmtId="0" fontId="5" fillId="6" borderId="28" xfId="0" applyFont="1" applyFill="1" applyBorder="1" applyAlignment="1">
      <alignment horizontal="right" vertical="center" indent="2"/>
    </xf>
    <xf numFmtId="0" fontId="19" fillId="0" borderId="0" xfId="0" applyFont="1"/>
    <xf numFmtId="0" fontId="5" fillId="7" borderId="28" xfId="0" applyFont="1" applyFill="1" applyBorder="1" applyAlignment="1">
      <alignment horizontal="center" vertical="center" wrapText="1"/>
    </xf>
    <xf numFmtId="0" fontId="5" fillId="7" borderId="28"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7" borderId="62" xfId="2" applyFont="1" applyFill="1" applyBorder="1" applyAlignment="1">
      <alignment horizontal="center" vertical="center"/>
    </xf>
    <xf numFmtId="0" fontId="8" fillId="7" borderId="45" xfId="2" applyFont="1" applyFill="1" applyBorder="1" applyAlignment="1">
      <alignment horizontal="center" vertical="center" wrapText="1"/>
    </xf>
    <xf numFmtId="0" fontId="4" fillId="7" borderId="27" xfId="2" applyFont="1" applyFill="1" applyBorder="1" applyAlignment="1">
      <alignment horizontal="center" vertical="center" textRotation="90" wrapText="1"/>
    </xf>
    <xf numFmtId="0" fontId="4" fillId="7" borderId="28" xfId="2" applyFont="1" applyFill="1" applyBorder="1" applyAlignment="1">
      <alignment horizontal="center" vertical="center" textRotation="90" wrapText="1"/>
    </xf>
    <xf numFmtId="0" fontId="8" fillId="7" borderId="28" xfId="2" applyFont="1" applyFill="1" applyBorder="1" applyAlignment="1">
      <alignment horizontal="center" vertical="center" textRotation="90" wrapText="1"/>
    </xf>
    <xf numFmtId="0" fontId="8" fillId="7" borderId="1" xfId="2" applyFont="1" applyFill="1" applyBorder="1" applyAlignment="1">
      <alignment horizontal="center" vertical="center" textRotation="90" wrapText="1"/>
    </xf>
    <xf numFmtId="0" fontId="8" fillId="7" borderId="29" xfId="2" applyFont="1" applyFill="1" applyBorder="1" applyAlignment="1">
      <alignment horizontal="center" vertical="center" textRotation="90" wrapText="1"/>
    </xf>
    <xf numFmtId="0" fontId="12" fillId="7" borderId="12" xfId="2" applyFont="1" applyFill="1" applyBorder="1" applyAlignment="1">
      <alignment horizontal="center" vertical="center" wrapText="1"/>
    </xf>
    <xf numFmtId="0" fontId="12" fillId="7" borderId="21" xfId="2" applyFont="1" applyFill="1" applyBorder="1" applyAlignment="1">
      <alignment horizontal="center" vertical="center" wrapText="1"/>
    </xf>
    <xf numFmtId="0" fontId="12" fillId="7" borderId="58" xfId="2" applyFont="1" applyFill="1" applyBorder="1" applyAlignment="1">
      <alignment horizontal="center" vertical="center" wrapText="1"/>
    </xf>
    <xf numFmtId="0" fontId="12" fillId="7" borderId="12" xfId="0" applyFont="1" applyFill="1" applyBorder="1" applyAlignment="1">
      <alignment horizontal="center" vertical="center" textRotation="90" wrapText="1"/>
    </xf>
    <xf numFmtId="0" fontId="12" fillId="7" borderId="13" xfId="0" applyFont="1" applyFill="1" applyBorder="1" applyAlignment="1">
      <alignment horizontal="center" vertical="center" textRotation="90" wrapText="1"/>
    </xf>
    <xf numFmtId="0" fontId="12" fillId="7" borderId="48" xfId="0" applyFont="1" applyFill="1" applyBorder="1" applyAlignment="1">
      <alignment horizontal="center" vertical="center" textRotation="90" wrapText="1"/>
    </xf>
    <xf numFmtId="0" fontId="12" fillId="7" borderId="53" xfId="0" applyFont="1" applyFill="1" applyBorder="1" applyAlignment="1">
      <alignment horizontal="center" vertical="center" textRotation="90" wrapText="1"/>
    </xf>
    <xf numFmtId="0" fontId="12" fillId="7" borderId="57" xfId="0" applyFont="1" applyFill="1" applyBorder="1" applyAlignment="1">
      <alignment horizontal="center" vertical="center" textRotation="90" wrapText="1"/>
    </xf>
    <xf numFmtId="0" fontId="12" fillId="7" borderId="21" xfId="0" applyFont="1" applyFill="1" applyBorder="1" applyAlignment="1">
      <alignment horizontal="center" vertical="center" textRotation="90" wrapText="1"/>
    </xf>
    <xf numFmtId="0" fontId="12" fillId="7" borderId="14" xfId="0" applyFont="1" applyFill="1" applyBorder="1" applyAlignment="1">
      <alignment horizontal="center" vertical="center" textRotation="90" wrapText="1"/>
    </xf>
    <xf numFmtId="0" fontId="12" fillId="7" borderId="11" xfId="0" applyFont="1" applyFill="1" applyBorder="1" applyAlignment="1">
      <alignment horizontal="center"/>
    </xf>
    <xf numFmtId="0" fontId="12" fillId="7" borderId="10" xfId="0" applyFont="1" applyFill="1" applyBorder="1" applyAlignment="1">
      <alignment horizontal="center"/>
    </xf>
    <xf numFmtId="0" fontId="12" fillId="7" borderId="49" xfId="0" applyFont="1" applyFill="1" applyBorder="1" applyAlignment="1">
      <alignment horizontal="center"/>
    </xf>
    <xf numFmtId="0" fontId="12" fillId="7" borderId="49" xfId="0" quotePrefix="1" applyFont="1" applyFill="1" applyBorder="1" applyAlignment="1">
      <alignment horizontal="center"/>
    </xf>
    <xf numFmtId="0" fontId="12" fillId="7" borderId="56" xfId="0" quotePrefix="1" applyFont="1" applyFill="1" applyBorder="1" applyAlignment="1">
      <alignment horizontal="center"/>
    </xf>
    <xf numFmtId="0" fontId="12" fillId="7" borderId="9" xfId="0" quotePrefix="1" applyFont="1" applyFill="1" applyBorder="1" applyAlignment="1">
      <alignment horizontal="center"/>
    </xf>
    <xf numFmtId="0" fontId="12" fillId="7" borderId="8" xfId="0" quotePrefix="1" applyFont="1" applyFill="1" applyBorder="1" applyAlignment="1">
      <alignment horizontal="center"/>
    </xf>
    <xf numFmtId="0" fontId="12" fillId="7" borderId="8" xfId="0" applyFont="1" applyFill="1" applyBorder="1" applyAlignment="1">
      <alignment horizontal="center"/>
    </xf>
    <xf numFmtId="0" fontId="12" fillId="7" borderId="18" xfId="2" applyFont="1" applyFill="1" applyBorder="1" applyAlignment="1">
      <alignment horizontal="center" vertical="center" wrapText="1"/>
    </xf>
    <xf numFmtId="0" fontId="12" fillId="7" borderId="5" xfId="2" applyFont="1" applyFill="1" applyBorder="1" applyAlignment="1">
      <alignment horizontal="center" vertical="center" wrapText="1"/>
    </xf>
    <xf numFmtId="15" fontId="12" fillId="7" borderId="12" xfId="2" applyNumberFormat="1" applyFont="1" applyFill="1" applyBorder="1" applyAlignment="1">
      <alignment horizontal="center" vertical="center"/>
    </xf>
    <xf numFmtId="0" fontId="12" fillId="7" borderId="8" xfId="2" applyFont="1" applyFill="1" applyBorder="1" applyAlignment="1">
      <alignment horizontal="center" vertical="center"/>
    </xf>
    <xf numFmtId="0" fontId="12" fillId="7" borderId="5" xfId="0" applyFont="1" applyFill="1" applyBorder="1" applyAlignment="1">
      <alignment horizontal="center" vertical="center" wrapText="1"/>
    </xf>
    <xf numFmtId="0" fontId="4" fillId="0" borderId="26" xfId="0" applyFont="1" applyBorder="1" applyAlignment="1">
      <alignment horizontal="justify" vertical="center"/>
    </xf>
    <xf numFmtId="49" fontId="21" fillId="7" borderId="41" xfId="3" applyFont="1" applyFill="1" applyBorder="1" applyAlignment="1">
      <alignment horizontal="center" textRotation="90" wrapText="1"/>
    </xf>
    <xf numFmtId="49" fontId="21" fillId="7" borderId="16" xfId="3" applyFont="1" applyFill="1" applyBorder="1" applyAlignment="1">
      <alignment horizontal="center" textRotation="90" wrapText="1"/>
    </xf>
    <xf numFmtId="49" fontId="21" fillId="7" borderId="17" xfId="3" applyFont="1" applyFill="1" applyBorder="1" applyAlignment="1">
      <alignment horizontal="center" textRotation="90" wrapText="1"/>
    </xf>
    <xf numFmtId="49" fontId="8" fillId="7" borderId="42" xfId="3" applyFont="1" applyFill="1" applyBorder="1" applyAlignment="1">
      <alignment horizontal="center" textRotation="90" wrapText="1"/>
    </xf>
    <xf numFmtId="49" fontId="4" fillId="0" borderId="61" xfId="3" applyFont="1" applyBorder="1" applyAlignment="1">
      <alignment vertical="center"/>
    </xf>
    <xf numFmtId="4" fontId="8" fillId="0" borderId="22" xfId="3" applyNumberFormat="1" applyFont="1" applyBorder="1" applyAlignment="1">
      <alignment vertical="center"/>
    </xf>
    <xf numFmtId="4" fontId="8" fillId="0" borderId="23" xfId="3" applyNumberFormat="1" applyFont="1" applyBorder="1" applyAlignment="1">
      <alignment vertical="center"/>
    </xf>
    <xf numFmtId="4" fontId="8" fillId="0" borderId="24" xfId="3" applyNumberFormat="1" applyFont="1" applyBorder="1" applyAlignment="1">
      <alignment vertical="center"/>
    </xf>
    <xf numFmtId="4" fontId="8" fillId="0" borderId="25" xfId="3" applyNumberFormat="1" applyFont="1" applyBorder="1" applyAlignment="1">
      <alignment vertical="center"/>
    </xf>
    <xf numFmtId="49" fontId="4" fillId="0" borderId="2" xfId="3" applyFont="1" applyBorder="1" applyAlignment="1">
      <alignment vertical="center"/>
    </xf>
    <xf numFmtId="4" fontId="8" fillId="0" borderId="26" xfId="3" applyNumberFormat="1" applyFont="1" applyBorder="1" applyAlignment="1">
      <alignment vertical="center"/>
    </xf>
    <xf numFmtId="4" fontId="8" fillId="0" borderId="28" xfId="3" applyNumberFormat="1" applyFont="1" applyBorder="1" applyAlignment="1">
      <alignment vertical="center"/>
    </xf>
    <xf numFmtId="4" fontId="8" fillId="0" borderId="1" xfId="3" applyNumberFormat="1" applyFont="1" applyBorder="1" applyAlignment="1">
      <alignment vertical="center"/>
    </xf>
    <xf numFmtId="4" fontId="4" fillId="0" borderId="26" xfId="3" applyNumberFormat="1" applyFont="1" applyBorder="1" applyAlignment="1">
      <alignment horizontal="justify" vertical="center"/>
    </xf>
    <xf numFmtId="4" fontId="4" fillId="0" borderId="28" xfId="3" applyNumberFormat="1" applyFont="1" applyBorder="1" applyAlignment="1">
      <alignment horizontal="justify" vertical="center"/>
    </xf>
    <xf numFmtId="4" fontId="4" fillId="0" borderId="28" xfId="3" applyNumberFormat="1" applyFont="1" applyBorder="1" applyAlignment="1">
      <alignment horizontal="right" vertical="center"/>
    </xf>
    <xf numFmtId="4" fontId="4" fillId="0" borderId="1" xfId="3" applyNumberFormat="1" applyFont="1" applyBorder="1" applyAlignment="1">
      <alignment horizontal="right" vertical="center"/>
    </xf>
    <xf numFmtId="4" fontId="4" fillId="0" borderId="26" xfId="3" applyNumberFormat="1" applyFont="1" applyBorder="1" applyAlignment="1">
      <alignment vertical="center"/>
    </xf>
    <xf numFmtId="4" fontId="4" fillId="0" borderId="28" xfId="3" applyNumberFormat="1" applyFont="1" applyBorder="1" applyAlignment="1">
      <alignment vertical="center"/>
    </xf>
    <xf numFmtId="4" fontId="4" fillId="0" borderId="1" xfId="3" applyNumberFormat="1" applyFont="1" applyBorder="1" applyAlignment="1">
      <alignment vertical="center"/>
    </xf>
    <xf numFmtId="49" fontId="4" fillId="0" borderId="26" xfId="3" applyFont="1" applyBorder="1" applyAlignment="1">
      <alignment vertical="center"/>
    </xf>
    <xf numFmtId="49" fontId="4" fillId="0" borderId="60" xfId="3" applyFont="1" applyBorder="1" applyAlignment="1">
      <alignment vertical="center"/>
    </xf>
    <xf numFmtId="4" fontId="8" fillId="0" borderId="34" xfId="3" applyNumberFormat="1" applyFont="1" applyBorder="1" applyAlignment="1">
      <alignment vertical="center"/>
    </xf>
    <xf numFmtId="4" fontId="8" fillId="0" borderId="35" xfId="3" applyNumberFormat="1" applyFont="1" applyBorder="1" applyAlignment="1">
      <alignment vertical="center"/>
    </xf>
    <xf numFmtId="4" fontId="8" fillId="0" borderId="36" xfId="3" applyNumberFormat="1" applyFont="1" applyBorder="1" applyAlignment="1">
      <alignment vertical="center"/>
    </xf>
    <xf numFmtId="49" fontId="8" fillId="2" borderId="19" xfId="3" applyFont="1" applyFill="1" applyBorder="1" applyAlignment="1">
      <alignment horizontal="center" vertical="center"/>
    </xf>
    <xf numFmtId="4" fontId="8" fillId="2" borderId="41" xfId="3" applyNumberFormat="1" applyFont="1" applyFill="1" applyBorder="1" applyAlignment="1">
      <alignment horizontal="right" vertical="center"/>
    </xf>
    <xf numFmtId="4" fontId="8" fillId="2" borderId="17" xfId="3" applyNumberFormat="1" applyFont="1" applyFill="1" applyBorder="1" applyAlignment="1">
      <alignment horizontal="right" vertical="center"/>
    </xf>
    <xf numFmtId="4" fontId="8" fillId="2" borderId="42" xfId="3" applyNumberFormat="1" applyFont="1" applyFill="1" applyBorder="1" applyAlignment="1">
      <alignment horizontal="right" vertical="center"/>
    </xf>
    <xf numFmtId="0" fontId="8" fillId="7" borderId="41" xfId="0" applyFont="1" applyFill="1" applyBorder="1" applyAlignment="1">
      <alignment horizontal="center" vertical="center" textRotation="90" wrapText="1"/>
    </xf>
    <xf numFmtId="0" fontId="8" fillId="7" borderId="16" xfId="0" applyFont="1" applyFill="1" applyBorder="1" applyAlignment="1">
      <alignment horizontal="center" vertical="center" textRotation="90" wrapText="1"/>
    </xf>
    <xf numFmtId="0" fontId="8" fillId="7" borderId="15" xfId="0" applyFont="1" applyFill="1" applyBorder="1" applyAlignment="1">
      <alignment horizontal="center" vertical="center" textRotation="90" wrapText="1"/>
    </xf>
    <xf numFmtId="0" fontId="8" fillId="7" borderId="18" xfId="0" applyFont="1" applyFill="1" applyBorder="1" applyAlignment="1">
      <alignment horizontal="center" vertical="center" textRotation="90" wrapText="1"/>
    </xf>
    <xf numFmtId="0" fontId="8" fillId="0" borderId="12" xfId="0" applyFont="1" applyBorder="1" applyAlignment="1">
      <alignment horizontal="center" wrapText="1"/>
    </xf>
    <xf numFmtId="0" fontId="8" fillId="0" borderId="57" xfId="0" applyFont="1" applyBorder="1" applyAlignment="1">
      <alignment horizontal="center"/>
    </xf>
    <xf numFmtId="0" fontId="8" fillId="0" borderId="48" xfId="0" applyFont="1" applyBorder="1" applyAlignment="1">
      <alignment horizontal="center"/>
    </xf>
    <xf numFmtId="0" fontId="8" fillId="0" borderId="13" xfId="0" applyFont="1" applyBorder="1" applyAlignment="1">
      <alignment horizontal="center"/>
    </xf>
    <xf numFmtId="0" fontId="8" fillId="0" borderId="4" xfId="0" applyFont="1" applyBorder="1" applyAlignment="1">
      <alignment horizontal="center"/>
    </xf>
    <xf numFmtId="3" fontId="8" fillId="0" borderId="55" xfId="0" applyNumberFormat="1" applyFont="1" applyBorder="1"/>
    <xf numFmtId="3" fontId="8" fillId="0" borderId="48" xfId="0" applyNumberFormat="1" applyFont="1" applyBorder="1"/>
    <xf numFmtId="3" fontId="8" fillId="0" borderId="13" xfId="0" applyNumberFormat="1" applyFont="1" applyBorder="1"/>
    <xf numFmtId="3" fontId="8" fillId="0" borderId="4" xfId="0" applyNumberFormat="1" applyFont="1" applyBorder="1"/>
    <xf numFmtId="3" fontId="4" fillId="0" borderId="55" xfId="0" applyNumberFormat="1" applyFont="1" applyBorder="1"/>
    <xf numFmtId="3" fontId="4" fillId="0" borderId="48" xfId="0" applyNumberFormat="1" applyFont="1" applyBorder="1"/>
    <xf numFmtId="3" fontId="4" fillId="0" borderId="13" xfId="0" applyNumberFormat="1" applyFont="1" applyBorder="1"/>
    <xf numFmtId="3" fontId="4" fillId="0" borderId="4" xfId="0" applyNumberFormat="1" applyFont="1" applyBorder="1"/>
    <xf numFmtId="0" fontId="4" fillId="0" borderId="7" xfId="0" applyFont="1" applyBorder="1" applyAlignment="1">
      <alignment wrapText="1"/>
    </xf>
    <xf numFmtId="0" fontId="5" fillId="5" borderId="0" xfId="0" applyFont="1" applyFill="1"/>
    <xf numFmtId="0" fontId="11" fillId="0" borderId="0" xfId="4" applyFont="1"/>
    <xf numFmtId="0" fontId="11" fillId="0" borderId="4" xfId="4" applyFont="1" applyBorder="1"/>
    <xf numFmtId="0" fontId="11" fillId="0" borderId="14" xfId="4" applyFont="1" applyBorder="1"/>
    <xf numFmtId="0" fontId="11" fillId="0" borderId="8" xfId="4" applyFont="1" applyBorder="1"/>
    <xf numFmtId="0" fontId="11" fillId="0" borderId="11" xfId="4" applyFont="1" applyBorder="1"/>
    <xf numFmtId="3" fontId="11" fillId="0" borderId="4" xfId="4" applyNumberFormat="1" applyFont="1" applyBorder="1"/>
    <xf numFmtId="3" fontId="11" fillId="0" borderId="14" xfId="4" applyNumberFormat="1" applyFont="1" applyBorder="1"/>
    <xf numFmtId="0" fontId="11" fillId="0" borderId="21" xfId="4" applyFont="1" applyBorder="1"/>
    <xf numFmtId="0" fontId="11" fillId="0" borderId="12" xfId="4" applyFont="1" applyBorder="1"/>
    <xf numFmtId="0" fontId="0" fillId="5" borderId="0" xfId="0" applyFill="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xf>
    <xf numFmtId="0" fontId="4" fillId="0" borderId="70" xfId="0" applyFont="1" applyFill="1" applyBorder="1" applyAlignment="1">
      <alignment horizontal="left" indent="2"/>
    </xf>
    <xf numFmtId="0" fontId="4" fillId="0" borderId="0" xfId="0" applyFont="1" applyFill="1" applyBorder="1" applyAlignment="1">
      <alignment horizontal="left" indent="2"/>
    </xf>
    <xf numFmtId="0" fontId="5" fillId="0" borderId="28" xfId="0" applyFont="1" applyBorder="1" applyAlignment="1">
      <alignment horizontal="left" vertical="center"/>
    </xf>
    <xf numFmtId="0" fontId="23" fillId="0" borderId="0" xfId="0" applyFont="1"/>
    <xf numFmtId="0" fontId="12" fillId="7" borderId="12"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9" xfId="2" applyFont="1" applyFill="1" applyBorder="1" applyAlignment="1">
      <alignment horizontal="center" vertical="center"/>
    </xf>
    <xf numFmtId="0" fontId="12" fillId="7" borderId="31" xfId="2" applyFont="1" applyFill="1" applyBorder="1" applyAlignment="1">
      <alignment horizontal="center" vertical="center" wrapText="1"/>
    </xf>
    <xf numFmtId="0" fontId="12" fillId="7" borderId="12" xfId="2" applyFont="1" applyFill="1" applyBorder="1" applyAlignment="1">
      <alignment horizontal="center" vertical="center"/>
    </xf>
    <xf numFmtId="0" fontId="12" fillId="7" borderId="5" xfId="2" applyFont="1" applyFill="1" applyBorder="1" applyAlignment="1">
      <alignment horizontal="center" vertical="center"/>
    </xf>
    <xf numFmtId="0" fontId="12" fillId="7" borderId="20" xfId="0" applyFont="1" applyFill="1" applyBorder="1" applyAlignment="1">
      <alignment horizontal="center" vertical="center" wrapText="1"/>
    </xf>
    <xf numFmtId="4" fontId="0" fillId="0" borderId="0" xfId="0" applyNumberFormat="1"/>
    <xf numFmtId="4" fontId="0" fillId="0" borderId="28" xfId="0" applyNumberFormat="1" applyBorder="1"/>
    <xf numFmtId="4" fontId="5" fillId="6" borderId="28" xfId="0" applyNumberFormat="1" applyFont="1" applyFill="1" applyBorder="1" applyAlignment="1">
      <alignment vertical="center"/>
    </xf>
    <xf numFmtId="4" fontId="3" fillId="0" borderId="28" xfId="0" applyNumberFormat="1" applyFont="1" applyFill="1" applyBorder="1"/>
    <xf numFmtId="4" fontId="5" fillId="6" borderId="28" xfId="0" applyNumberFormat="1" applyFont="1" applyFill="1" applyBorder="1"/>
    <xf numFmtId="4" fontId="2" fillId="0" borderId="28" xfId="0" applyNumberFormat="1" applyFont="1" applyBorder="1"/>
    <xf numFmtId="0" fontId="8" fillId="7" borderId="23" xfId="0" applyFont="1" applyFill="1" applyBorder="1" applyAlignment="1">
      <alignment horizontal="center" vertical="center" wrapText="1"/>
    </xf>
    <xf numFmtId="3" fontId="0" fillId="0" borderId="0" xfId="0" applyNumberFormat="1"/>
    <xf numFmtId="0" fontId="8" fillId="0" borderId="0" xfId="0" applyFont="1" applyAlignment="1">
      <alignment horizontal="left"/>
    </xf>
    <xf numFmtId="0" fontId="3" fillId="0" borderId="0" xfId="0" applyFont="1"/>
    <xf numFmtId="0" fontId="4" fillId="0" borderId="0" xfId="0" applyFont="1" applyAlignment="1">
      <alignment horizontal="left"/>
    </xf>
    <xf numFmtId="0" fontId="8" fillId="0" borderId="0" xfId="2" applyFont="1" applyAlignment="1">
      <alignment vertical="center"/>
    </xf>
    <xf numFmtId="0" fontId="4" fillId="0" borderId="28" xfId="0" applyFont="1" applyBorder="1" applyAlignment="1">
      <alignment horizontal="center" vertical="center" wrapText="1"/>
    </xf>
    <xf numFmtId="9" fontId="4" fillId="0" borderId="28" xfId="0" applyNumberFormat="1" applyFont="1" applyBorder="1" applyAlignment="1">
      <alignment horizontal="center" vertical="center" wrapText="1"/>
    </xf>
    <xf numFmtId="0" fontId="4" fillId="0" borderId="37" xfId="0" applyFont="1" applyBorder="1" applyAlignment="1">
      <alignment horizontal="justify" vertical="center"/>
    </xf>
    <xf numFmtId="0" fontId="4" fillId="0" borderId="39" xfId="0" applyFont="1" applyBorder="1" applyAlignment="1">
      <alignment horizontal="center" vertical="center" wrapText="1"/>
    </xf>
    <xf numFmtId="9" fontId="4" fillId="0" borderId="39" xfId="0" applyNumberFormat="1" applyFont="1" applyBorder="1" applyAlignment="1">
      <alignment horizontal="center" vertical="center" wrapText="1"/>
    </xf>
    <xf numFmtId="0" fontId="8" fillId="0" borderId="0" xfId="0" applyFont="1"/>
    <xf numFmtId="0" fontId="8" fillId="0" borderId="0" xfId="0" quotePrefix="1" applyFont="1"/>
    <xf numFmtId="0" fontId="22" fillId="0" borderId="14" xfId="0" applyFont="1" applyBorder="1" applyAlignment="1">
      <alignment wrapText="1"/>
    </xf>
    <xf numFmtId="0" fontId="4" fillId="0" borderId="14" xfId="0" applyFont="1" applyBorder="1" applyAlignment="1">
      <alignment wrapText="1"/>
    </xf>
    <xf numFmtId="0" fontId="8" fillId="0" borderId="14" xfId="0" applyFont="1" applyBorder="1" applyAlignment="1">
      <alignment wrapText="1"/>
    </xf>
    <xf numFmtId="0" fontId="4" fillId="0" borderId="14" xfId="0" applyFont="1" applyBorder="1" applyAlignment="1">
      <alignment horizontal="left" wrapText="1"/>
    </xf>
    <xf numFmtId="3" fontId="4" fillId="0" borderId="55" xfId="0" applyNumberFormat="1" applyFont="1" applyBorder="1" applyAlignment="1">
      <alignment horizontal="center" vertical="center"/>
    </xf>
    <xf numFmtId="3" fontId="4" fillId="0" borderId="13"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3" xfId="0" applyNumberFormat="1" applyFont="1" applyBorder="1" applyAlignment="1">
      <alignment horizontal="center" vertical="center"/>
    </xf>
    <xf numFmtId="0" fontId="19" fillId="0" borderId="48" xfId="0" applyFont="1" applyBorder="1" applyAlignment="1">
      <alignment horizontal="center" vertical="center"/>
    </xf>
    <xf numFmtId="3" fontId="4" fillId="0" borderId="48" xfId="0" applyNumberFormat="1" applyFont="1" applyBorder="1" applyAlignment="1">
      <alignment horizontal="center" vertical="center"/>
    </xf>
    <xf numFmtId="0" fontId="4" fillId="0" borderId="14" xfId="0" quotePrefix="1" applyFont="1" applyBorder="1" applyAlignment="1">
      <alignment horizontal="left" wrapText="1"/>
    </xf>
    <xf numFmtId="0" fontId="22" fillId="0" borderId="14" xfId="0" applyFont="1" applyBorder="1" applyAlignment="1">
      <alignment horizontal="left" wrapText="1"/>
    </xf>
    <xf numFmtId="0" fontId="8" fillId="0" borderId="5" xfId="0" applyFont="1" applyBorder="1" applyAlignment="1">
      <alignment horizontal="center" wrapText="1"/>
    </xf>
    <xf numFmtId="3" fontId="8" fillId="0" borderId="41" xfId="0" applyNumberFormat="1" applyFont="1" applyBorder="1"/>
    <xf numFmtId="3" fontId="8" fillId="0" borderId="20" xfId="0" applyNumberFormat="1" applyFont="1" applyBorder="1"/>
    <xf numFmtId="3" fontId="8" fillId="0" borderId="16" xfId="0" applyNumberFormat="1" applyFont="1" applyBorder="1"/>
    <xf numFmtId="3" fontId="8" fillId="0" borderId="18" xfId="0" applyNumberFormat="1" applyFont="1" applyBorder="1"/>
    <xf numFmtId="3" fontId="8" fillId="0" borderId="15" xfId="0" applyNumberFormat="1" applyFont="1" applyBorder="1"/>
    <xf numFmtId="3" fontId="8" fillId="0" borderId="42" xfId="0" applyNumberFormat="1" applyFont="1" applyBorder="1"/>
    <xf numFmtId="0" fontId="18" fillId="0" borderId="0" xfId="0" applyFont="1"/>
    <xf numFmtId="0" fontId="5" fillId="0" borderId="0" xfId="2" applyFont="1" applyAlignment="1">
      <alignment vertical="center"/>
    </xf>
    <xf numFmtId="0" fontId="10" fillId="0" borderId="0" xfId="2" applyFont="1" applyAlignment="1">
      <alignment vertical="center"/>
    </xf>
    <xf numFmtId="0" fontId="12" fillId="0" borderId="0" xfId="2" applyFont="1" applyAlignment="1">
      <alignment horizontal="center" vertical="center"/>
    </xf>
    <xf numFmtId="0" fontId="12" fillId="2" borderId="0" xfId="2" applyFont="1" applyFill="1" applyAlignment="1">
      <alignment vertical="center"/>
    </xf>
    <xf numFmtId="4" fontId="12" fillId="2" borderId="4" xfId="2" applyNumberFormat="1" applyFont="1" applyFill="1" applyBorder="1" applyAlignment="1">
      <alignment vertical="center"/>
    </xf>
    <xf numFmtId="4" fontId="11" fillId="0" borderId="4" xfId="2" applyNumberFormat="1" applyFont="1" applyBorder="1" applyAlignment="1">
      <alignment vertical="center"/>
    </xf>
    <xf numFmtId="0" fontId="12" fillId="2" borderId="14" xfId="2" applyFont="1" applyFill="1" applyBorder="1" applyAlignment="1">
      <alignment horizontal="center" vertical="center" wrapText="1"/>
    </xf>
    <xf numFmtId="4" fontId="12" fillId="2" borderId="18" xfId="2" applyNumberFormat="1" applyFont="1" applyFill="1" applyBorder="1" applyAlignment="1">
      <alignment vertical="center"/>
    </xf>
    <xf numFmtId="0" fontId="11" fillId="0" borderId="0" xfId="2" applyFont="1" applyAlignment="1">
      <alignment horizontal="left" vertical="center"/>
    </xf>
    <xf numFmtId="0" fontId="12" fillId="0" borderId="0" xfId="2" applyFont="1" applyAlignment="1">
      <alignment vertical="center"/>
    </xf>
    <xf numFmtId="49" fontId="10" fillId="0" borderId="0" xfId="3" applyFont="1" applyAlignment="1">
      <alignment vertical="center"/>
    </xf>
    <xf numFmtId="0" fontId="10" fillId="0" borderId="0" xfId="0" applyFont="1"/>
    <xf numFmtId="0" fontId="11" fillId="0" borderId="45" xfId="2" applyFont="1" applyBorder="1" applyAlignment="1">
      <alignment horizontal="left" vertical="center"/>
    </xf>
    <xf numFmtId="0" fontId="11" fillId="0" borderId="27" xfId="2" applyFont="1" applyBorder="1" applyAlignment="1">
      <alignment vertical="center"/>
    </xf>
    <xf numFmtId="3" fontId="11" fillId="0" borderId="59" xfId="2" applyNumberFormat="1" applyFont="1" applyBorder="1" applyAlignment="1">
      <alignment vertical="center"/>
    </xf>
    <xf numFmtId="0" fontId="11" fillId="0" borderId="26" xfId="2" applyFont="1" applyBorder="1" applyAlignment="1">
      <alignment vertical="center"/>
    </xf>
    <xf numFmtId="4" fontId="11" fillId="0" borderId="29" xfId="2" applyNumberFormat="1" applyFont="1" applyBorder="1" applyAlignment="1">
      <alignment vertical="center"/>
    </xf>
    <xf numFmtId="0" fontId="11" fillId="0" borderId="59" xfId="2" applyFont="1" applyBorder="1" applyAlignment="1">
      <alignment vertical="center"/>
    </xf>
    <xf numFmtId="0" fontId="11" fillId="0" borderId="29" xfId="2" applyFont="1" applyBorder="1" applyAlignment="1">
      <alignment vertical="center"/>
    </xf>
    <xf numFmtId="0" fontId="11" fillId="0" borderId="14" xfId="2" applyFont="1" applyBorder="1" applyAlignment="1">
      <alignment horizontal="left" vertical="center"/>
    </xf>
    <xf numFmtId="3" fontId="11" fillId="0" borderId="29" xfId="2" applyNumberFormat="1" applyFont="1" applyBorder="1" applyAlignment="1">
      <alignment vertical="center"/>
    </xf>
    <xf numFmtId="3" fontId="12" fillId="2" borderId="18" xfId="2" applyNumberFormat="1" applyFont="1" applyFill="1" applyBorder="1" applyAlignment="1">
      <alignment vertical="center"/>
    </xf>
    <xf numFmtId="4" fontId="12" fillId="2" borderId="42" xfId="2" applyNumberFormat="1" applyFont="1" applyFill="1" applyBorder="1" applyAlignment="1">
      <alignment vertical="center"/>
    </xf>
    <xf numFmtId="3" fontId="12" fillId="4" borderId="14" xfId="0" applyNumberFormat="1" applyFont="1" applyFill="1" applyBorder="1" applyAlignment="1">
      <alignment horizontal="center"/>
    </xf>
    <xf numFmtId="3" fontId="12" fillId="4" borderId="13" xfId="0" applyNumberFormat="1" applyFont="1" applyFill="1" applyBorder="1"/>
    <xf numFmtId="3" fontId="12" fillId="4" borderId="14" xfId="0" applyNumberFormat="1" applyFont="1" applyFill="1" applyBorder="1"/>
    <xf numFmtId="3" fontId="11" fillId="0" borderId="13" xfId="0" applyNumberFormat="1" applyFont="1" applyBorder="1"/>
    <xf numFmtId="3" fontId="11" fillId="0" borderId="14" xfId="0" applyNumberFormat="1" applyFont="1" applyBorder="1"/>
    <xf numFmtId="3" fontId="11" fillId="0" borderId="14" xfId="0" applyNumberFormat="1" applyFont="1" applyBorder="1" applyAlignment="1">
      <alignment horizontal="center"/>
    </xf>
    <xf numFmtId="167" fontId="11" fillId="0" borderId="13" xfId="4" applyNumberFormat="1" applyFont="1" applyBorder="1" applyAlignment="1">
      <alignment horizontal="center"/>
    </xf>
    <xf numFmtId="167" fontId="11" fillId="0" borderId="0" xfId="4" applyNumberFormat="1" applyFont="1" applyAlignment="1">
      <alignment horizontal="center"/>
    </xf>
    <xf numFmtId="168" fontId="11" fillId="0" borderId="55" xfId="9" applyNumberFormat="1" applyFont="1" applyBorder="1"/>
    <xf numFmtId="3" fontId="11" fillId="0" borderId="4" xfId="0" applyNumberFormat="1" applyFont="1" applyBorder="1"/>
    <xf numFmtId="3" fontId="11" fillId="0" borderId="0" xfId="0" applyNumberFormat="1" applyFont="1"/>
    <xf numFmtId="3" fontId="11" fillId="0" borderId="55" xfId="0" applyNumberFormat="1" applyFont="1" applyBorder="1"/>
    <xf numFmtId="3" fontId="11" fillId="0" borderId="13" xfId="9" applyNumberFormat="1" applyFont="1" applyBorder="1" applyAlignment="1">
      <alignment horizontal="center"/>
    </xf>
    <xf numFmtId="1" fontId="11" fillId="0" borderId="13" xfId="0" applyNumberFormat="1" applyFont="1" applyBorder="1"/>
    <xf numFmtId="0" fontId="12" fillId="0" borderId="19" xfId="0" applyFont="1" applyBorder="1" applyAlignment="1">
      <alignment horizontal="center"/>
    </xf>
    <xf numFmtId="3" fontId="12" fillId="0" borderId="16" xfId="0" applyNumberFormat="1" applyFont="1" applyBorder="1"/>
    <xf numFmtId="3" fontId="12" fillId="0" borderId="42" xfId="0" applyNumberFormat="1" applyFont="1" applyBorder="1"/>
    <xf numFmtId="0" fontId="26" fillId="0" borderId="0" xfId="0" applyFont="1"/>
    <xf numFmtId="4" fontId="12" fillId="0" borderId="3" xfId="2" applyNumberFormat="1" applyFont="1" applyBorder="1" applyAlignment="1">
      <alignment vertical="center"/>
    </xf>
    <xf numFmtId="10" fontId="12" fillId="0" borderId="52" xfId="2" applyNumberFormat="1" applyFont="1" applyBorder="1" applyAlignment="1">
      <alignment vertical="center"/>
    </xf>
    <xf numFmtId="4" fontId="12" fillId="0" borderId="55" xfId="2" applyNumberFormat="1" applyFont="1" applyBorder="1" applyAlignment="1">
      <alignment vertical="center"/>
    </xf>
    <xf numFmtId="10" fontId="12" fillId="0" borderId="4" xfId="2" applyNumberFormat="1" applyFont="1" applyBorder="1" applyAlignment="1">
      <alignment vertical="center"/>
    </xf>
    <xf numFmtId="10" fontId="12" fillId="0" borderId="54" xfId="2" applyNumberFormat="1" applyFont="1" applyBorder="1" applyAlignment="1">
      <alignment vertical="center"/>
    </xf>
    <xf numFmtId="4" fontId="11" fillId="0" borderId="0" xfId="0" applyNumberFormat="1" applyFont="1"/>
    <xf numFmtId="4" fontId="11" fillId="0" borderId="0" xfId="2" applyNumberFormat="1" applyFont="1" applyAlignment="1">
      <alignment vertical="center"/>
    </xf>
    <xf numFmtId="4" fontId="12" fillId="0" borderId="0" xfId="2" applyNumberFormat="1" applyFont="1" applyAlignment="1">
      <alignment vertical="center"/>
    </xf>
    <xf numFmtId="0" fontId="11" fillId="0" borderId="74" xfId="2" applyFont="1" applyBorder="1" applyAlignment="1">
      <alignment vertical="center"/>
    </xf>
    <xf numFmtId="4" fontId="12" fillId="2" borderId="19" xfId="2" applyNumberFormat="1" applyFont="1" applyFill="1" applyBorder="1" applyAlignment="1">
      <alignment vertical="center"/>
    </xf>
    <xf numFmtId="3" fontId="12" fillId="2" borderId="42" xfId="2" applyNumberFormat="1" applyFont="1" applyFill="1" applyBorder="1" applyAlignment="1">
      <alignment vertical="center"/>
    </xf>
    <xf numFmtId="3" fontId="12" fillId="2" borderId="17" xfId="2" applyNumberFormat="1" applyFont="1" applyFill="1" applyBorder="1" applyAlignment="1">
      <alignment vertical="center"/>
    </xf>
    <xf numFmtId="0" fontId="12" fillId="0" borderId="0" xfId="2" applyFont="1" applyAlignment="1">
      <alignment horizontal="right" vertical="center"/>
    </xf>
    <xf numFmtId="0" fontId="12" fillId="0" borderId="0" xfId="0" applyFont="1" applyAlignment="1">
      <alignment horizontal="center"/>
    </xf>
    <xf numFmtId="0" fontId="12" fillId="0" borderId="0" xfId="0" applyFont="1" applyAlignment="1">
      <alignment horizontal="right"/>
    </xf>
    <xf numFmtId="49" fontId="15" fillId="0" borderId="0" xfId="1" quotePrefix="1" applyNumberFormat="1" applyFont="1" applyAlignment="1">
      <alignment horizontal="center" vertical="center"/>
    </xf>
    <xf numFmtId="0" fontId="11" fillId="0" borderId="0" xfId="0" applyFont="1" applyAlignment="1">
      <alignment horizontal="center"/>
    </xf>
    <xf numFmtId="0" fontId="12" fillId="2" borderId="18" xfId="2" applyFont="1" applyFill="1" applyBorder="1" applyAlignment="1">
      <alignment horizontal="right" vertical="center"/>
    </xf>
    <xf numFmtId="0" fontId="12" fillId="7" borderId="18" xfId="2" applyFont="1" applyFill="1" applyBorder="1" applyAlignment="1">
      <alignment horizontal="right" vertical="center" wrapText="1"/>
    </xf>
    <xf numFmtId="0" fontId="12" fillId="10" borderId="30" xfId="2" applyFont="1" applyFill="1" applyBorder="1" applyAlignment="1">
      <alignment horizontal="left" vertical="center"/>
    </xf>
    <xf numFmtId="0" fontId="12" fillId="10" borderId="32" xfId="2" applyFont="1" applyFill="1" applyBorder="1" applyAlignment="1">
      <alignment horizontal="center" vertical="center"/>
    </xf>
    <xf numFmtId="0" fontId="12" fillId="10" borderId="32" xfId="2" applyFont="1" applyFill="1" applyBorder="1" applyAlignment="1">
      <alignment horizontal="left" vertical="center"/>
    </xf>
    <xf numFmtId="0" fontId="12" fillId="10" borderId="32" xfId="2" applyFont="1" applyFill="1" applyBorder="1" applyAlignment="1">
      <alignment horizontal="right" vertical="center"/>
    </xf>
    <xf numFmtId="0" fontId="12" fillId="10" borderId="31" xfId="2" applyFont="1" applyFill="1" applyBorder="1" applyAlignment="1">
      <alignment horizontal="center" vertical="center"/>
    </xf>
    <xf numFmtId="0" fontId="11" fillId="0" borderId="26" xfId="2" applyFont="1" applyBorder="1" applyAlignment="1">
      <alignment horizontal="left" vertical="center" wrapText="1"/>
    </xf>
    <xf numFmtId="0" fontId="11" fillId="0" borderId="28" xfId="2" applyFont="1" applyBorder="1" applyAlignment="1">
      <alignment horizontal="center" vertical="center" wrapText="1"/>
    </xf>
    <xf numFmtId="4" fontId="11" fillId="0" borderId="28" xfId="2" applyNumberFormat="1" applyFont="1" applyBorder="1" applyAlignment="1">
      <alignment horizontal="right" vertical="center" wrapText="1"/>
    </xf>
    <xf numFmtId="14" fontId="11" fillId="0" borderId="28" xfId="2" applyNumberFormat="1" applyFont="1" applyBorder="1" applyAlignment="1">
      <alignment horizontal="center" vertical="center" wrapText="1"/>
    </xf>
    <xf numFmtId="0" fontId="12" fillId="0" borderId="29" xfId="2" applyFont="1" applyBorder="1" applyAlignment="1">
      <alignment horizontal="center" vertical="center"/>
    </xf>
    <xf numFmtId="0" fontId="12" fillId="10" borderId="26" xfId="2" applyFont="1" applyFill="1" applyBorder="1" applyAlignment="1">
      <alignment horizontal="left" vertical="center"/>
    </xf>
    <xf numFmtId="0" fontId="12" fillId="10" borderId="28" xfId="2" applyFont="1" applyFill="1" applyBorder="1" applyAlignment="1">
      <alignment horizontal="center" vertical="center"/>
    </xf>
    <xf numFmtId="0" fontId="12" fillId="10" borderId="28" xfId="2" applyFont="1" applyFill="1" applyBorder="1" applyAlignment="1">
      <alignment vertical="center"/>
    </xf>
    <xf numFmtId="0" fontId="12" fillId="10" borderId="28" xfId="2" applyFont="1" applyFill="1" applyBorder="1" applyAlignment="1">
      <alignment horizontal="right" vertical="center"/>
    </xf>
    <xf numFmtId="0" fontId="11" fillId="10" borderId="28" xfId="0" applyFont="1" applyFill="1" applyBorder="1" applyAlignment="1">
      <alignment horizontal="center"/>
    </xf>
    <xf numFmtId="0" fontId="11" fillId="10" borderId="29" xfId="0" applyFont="1" applyFill="1" applyBorder="1" applyAlignment="1">
      <alignment horizontal="center"/>
    </xf>
    <xf numFmtId="0" fontId="6" fillId="0" borderId="26" xfId="0" applyFont="1" applyBorder="1" applyAlignment="1">
      <alignment vertical="center" wrapText="1"/>
    </xf>
    <xf numFmtId="0" fontId="6" fillId="0" borderId="28" xfId="0" applyFont="1" applyBorder="1" applyAlignment="1">
      <alignment horizontal="center" vertical="center" wrapText="1"/>
    </xf>
    <xf numFmtId="0" fontId="11" fillId="0" borderId="28" xfId="2" applyFont="1" applyBorder="1" applyAlignment="1">
      <alignment horizontal="center" vertical="center"/>
    </xf>
    <xf numFmtId="4" fontId="11" fillId="0" borderId="28" xfId="2" applyNumberFormat="1" applyFont="1" applyBorder="1" applyAlignment="1">
      <alignment horizontal="right" vertical="center"/>
    </xf>
    <xf numFmtId="14" fontId="6" fillId="0" borderId="28" xfId="0" applyNumberFormat="1" applyFont="1" applyBorder="1" applyAlignment="1">
      <alignment horizontal="center" vertical="center" wrapText="1"/>
    </xf>
    <xf numFmtId="14" fontId="11" fillId="0" borderId="28" xfId="2" applyNumberFormat="1" applyFont="1" applyBorder="1" applyAlignment="1">
      <alignment horizontal="center" vertical="center"/>
    </xf>
    <xf numFmtId="0" fontId="11" fillId="0" borderId="29" xfId="2" applyFont="1" applyBorder="1" applyAlignment="1">
      <alignment horizontal="center" vertical="center"/>
    </xf>
    <xf numFmtId="0" fontId="12" fillId="10" borderId="28" xfId="2" applyFont="1" applyFill="1" applyBorder="1" applyAlignment="1">
      <alignment horizontal="left" vertical="center"/>
    </xf>
    <xf numFmtId="0" fontId="12" fillId="10" borderId="29" xfId="2" applyFont="1" applyFill="1" applyBorder="1" applyAlignment="1">
      <alignment horizontal="center" vertical="center"/>
    </xf>
    <xf numFmtId="0" fontId="11" fillId="0" borderId="26" xfId="2" applyFont="1" applyBorder="1" applyAlignment="1">
      <alignment vertical="center" wrapText="1"/>
    </xf>
    <xf numFmtId="164" fontId="11" fillId="0" borderId="28" xfId="5" applyFont="1" applyFill="1" applyBorder="1" applyAlignment="1">
      <alignment horizontal="right" vertical="center" wrapText="1"/>
    </xf>
    <xf numFmtId="0" fontId="11" fillId="0" borderId="29" xfId="2" applyFont="1" applyBorder="1" applyAlignment="1">
      <alignment horizontal="center" vertical="center" wrapText="1"/>
    </xf>
    <xf numFmtId="164" fontId="11" fillId="0" borderId="28" xfId="5" applyFont="1" applyFill="1" applyBorder="1" applyAlignment="1">
      <alignment horizontal="right" vertical="center"/>
    </xf>
    <xf numFmtId="0" fontId="11" fillId="0" borderId="28" xfId="0" applyFont="1" applyBorder="1" applyAlignment="1">
      <alignment vertical="center" wrapText="1"/>
    </xf>
    <xf numFmtId="169" fontId="11" fillId="0" borderId="28" xfId="0" applyNumberFormat="1" applyFont="1" applyBorder="1" applyAlignment="1">
      <alignment horizontal="right" vertical="center"/>
    </xf>
    <xf numFmtId="0" fontId="11" fillId="0" borderId="28" xfId="0" applyFont="1" applyBorder="1" applyAlignment="1">
      <alignment horizontal="center" vertical="center" wrapText="1"/>
    </xf>
    <xf numFmtId="0" fontId="12" fillId="0" borderId="28" xfId="2" applyFont="1" applyBorder="1" applyAlignment="1">
      <alignment horizontal="center" vertical="center"/>
    </xf>
    <xf numFmtId="0" fontId="11" fillId="0" borderId="28" xfId="2" applyFont="1" applyBorder="1" applyAlignment="1">
      <alignment horizontal="left" vertical="center" wrapText="1"/>
    </xf>
    <xf numFmtId="0" fontId="3" fillId="0" borderId="28" xfId="0" applyFont="1" applyBorder="1" applyAlignment="1">
      <alignment horizontal="center" wrapText="1"/>
    </xf>
    <xf numFmtId="165" fontId="11" fillId="0" borderId="28" xfId="6" applyFont="1" applyBorder="1" applyAlignment="1">
      <alignment horizontal="right" vertical="center"/>
    </xf>
    <xf numFmtId="14" fontId="3" fillId="0" borderId="28" xfId="0" applyNumberFormat="1" applyFont="1" applyBorder="1" applyAlignment="1">
      <alignment horizontal="center" vertical="center" wrapText="1"/>
    </xf>
    <xf numFmtId="17" fontId="3" fillId="0" borderId="28" xfId="0" applyNumberFormat="1" applyFont="1" applyBorder="1" applyAlignment="1">
      <alignment horizontal="center" wrapText="1"/>
    </xf>
    <xf numFmtId="49" fontId="3" fillId="0" borderId="28" xfId="0" applyNumberFormat="1" applyFont="1" applyBorder="1" applyAlignment="1">
      <alignment horizontal="center" wrapText="1"/>
    </xf>
    <xf numFmtId="0" fontId="11" fillId="0" borderId="26" xfId="2" applyFont="1" applyBorder="1" applyAlignment="1">
      <alignment horizontal="left" vertical="top" wrapText="1"/>
    </xf>
    <xf numFmtId="0" fontId="3" fillId="0" borderId="26" xfId="0" applyFont="1" applyBorder="1" applyAlignment="1">
      <alignment vertical="center" wrapText="1"/>
    </xf>
    <xf numFmtId="0" fontId="3" fillId="0" borderId="28" xfId="0" applyFont="1" applyBorder="1" applyAlignment="1">
      <alignment horizontal="justify" vertical="center"/>
    </xf>
    <xf numFmtId="170" fontId="3" fillId="0" borderId="28" xfId="0" applyNumberFormat="1" applyFont="1" applyBorder="1" applyAlignment="1">
      <alignment horizontal="right" vertical="center"/>
    </xf>
    <xf numFmtId="0" fontId="3" fillId="0" borderId="26" xfId="0" applyFont="1" applyBorder="1" applyAlignment="1">
      <alignment wrapText="1"/>
    </xf>
    <xf numFmtId="0" fontId="3" fillId="0" borderId="28" xfId="0" applyFont="1" applyBorder="1" applyAlignment="1">
      <alignment horizontal="center" vertical="center"/>
    </xf>
    <xf numFmtId="14" fontId="3" fillId="0" borderId="28" xfId="0" applyNumberFormat="1" applyFont="1" applyBorder="1" applyAlignment="1">
      <alignment horizontal="center" vertical="center"/>
    </xf>
    <xf numFmtId="0" fontId="3" fillId="0" borderId="28" xfId="0" applyFont="1" applyBorder="1" applyAlignment="1">
      <alignment horizontal="center"/>
    </xf>
    <xf numFmtId="0" fontId="4" fillId="0" borderId="26" xfId="2" applyFont="1" applyBorder="1" applyAlignment="1">
      <alignment horizontal="justify" vertical="center"/>
    </xf>
    <xf numFmtId="0" fontId="4" fillId="0" borderId="28" xfId="2" applyFont="1" applyBorder="1" applyAlignment="1">
      <alignment horizontal="center" vertical="center"/>
    </xf>
    <xf numFmtId="49" fontId="4" fillId="0" borderId="28" xfId="2" applyNumberFormat="1" applyFont="1" applyBorder="1" applyAlignment="1">
      <alignment horizontal="center" vertical="center"/>
    </xf>
    <xf numFmtId="169" fontId="4" fillId="0" borderId="28" xfId="2" applyNumberFormat="1" applyFont="1" applyBorder="1" applyAlignment="1">
      <alignment horizontal="right" vertical="center"/>
    </xf>
    <xf numFmtId="0" fontId="4" fillId="0" borderId="28" xfId="2" applyFont="1" applyBorder="1" applyAlignment="1">
      <alignment horizontal="center" vertical="center" wrapText="1"/>
    </xf>
    <xf numFmtId="14" fontId="4" fillId="0" borderId="28" xfId="2" applyNumberFormat="1" applyFont="1" applyBorder="1" applyAlignment="1">
      <alignment horizontal="center" vertical="center"/>
    </xf>
    <xf numFmtId="0" fontId="4" fillId="0" borderId="29" xfId="2" applyFont="1" applyBorder="1" applyAlignment="1">
      <alignment horizontal="center" vertical="center"/>
    </xf>
    <xf numFmtId="0" fontId="4" fillId="0" borderId="28" xfId="2" applyFont="1" applyBorder="1" applyAlignment="1">
      <alignment horizontal="right" vertical="center"/>
    </xf>
    <xf numFmtId="0" fontId="4" fillId="0" borderId="26" xfId="2" applyFont="1" applyBorder="1" applyAlignment="1">
      <alignment horizontal="justify" vertical="center" wrapText="1"/>
    </xf>
    <xf numFmtId="0" fontId="28" fillId="0" borderId="28" xfId="0" applyFont="1" applyBorder="1" applyAlignment="1">
      <alignment horizontal="center"/>
    </xf>
    <xf numFmtId="4" fontId="28" fillId="11" borderId="28" xfId="0" applyNumberFormat="1" applyFont="1" applyFill="1" applyBorder="1" applyAlignment="1">
      <alignment horizontal="right" vertical="center" wrapText="1"/>
    </xf>
    <xf numFmtId="0" fontId="28" fillId="0" borderId="28" xfId="0" applyFont="1" applyBorder="1" applyAlignment="1">
      <alignment horizontal="center" wrapText="1"/>
    </xf>
    <xf numFmtId="171" fontId="4" fillId="0" borderId="28" xfId="2" applyNumberFormat="1" applyFont="1" applyBorder="1" applyAlignment="1">
      <alignment horizontal="center" vertical="center"/>
    </xf>
    <xf numFmtId="4" fontId="28" fillId="0" borderId="28" xfId="0" applyNumberFormat="1" applyFont="1" applyBorder="1" applyAlignment="1">
      <alignment horizontal="right"/>
    </xf>
    <xf numFmtId="14" fontId="28" fillId="0" borderId="28" xfId="0" applyNumberFormat="1" applyFont="1" applyBorder="1" applyAlignment="1">
      <alignment horizontal="center"/>
    </xf>
    <xf numFmtId="0" fontId="28" fillId="0" borderId="26" xfId="0" applyFont="1" applyBorder="1" applyAlignment="1">
      <alignment horizontal="justify" wrapText="1"/>
    </xf>
    <xf numFmtId="0" fontId="4" fillId="0" borderId="28" xfId="2" applyFont="1" applyBorder="1" applyAlignment="1">
      <alignment horizontal="justify" vertical="center"/>
    </xf>
    <xf numFmtId="0" fontId="11" fillId="0" borderId="26" xfId="2" applyFont="1" applyBorder="1" applyAlignment="1">
      <alignment horizontal="justify" vertical="center"/>
    </xf>
    <xf numFmtId="169" fontId="11" fillId="0" borderId="28" xfId="2" applyNumberFormat="1" applyFont="1" applyBorder="1" applyAlignment="1">
      <alignment horizontal="right" vertical="center"/>
    </xf>
    <xf numFmtId="0" fontId="11" fillId="0" borderId="28" xfId="2" quotePrefix="1" applyFont="1" applyBorder="1" applyAlignment="1">
      <alignment horizontal="center" vertical="center"/>
    </xf>
    <xf numFmtId="14" fontId="11" fillId="0" borderId="28" xfId="2" quotePrefix="1" applyNumberFormat="1" applyFont="1" applyBorder="1" applyAlignment="1">
      <alignment horizontal="center" vertical="center"/>
    </xf>
    <xf numFmtId="0" fontId="11" fillId="0" borderId="28" xfId="2" applyFont="1" applyBorder="1" applyAlignment="1">
      <alignment horizontal="right" vertical="center"/>
    </xf>
    <xf numFmtId="14" fontId="11" fillId="0" borderId="28" xfId="2" applyNumberFormat="1" applyFont="1" applyBorder="1" applyAlignment="1">
      <alignment horizontal="center"/>
    </xf>
    <xf numFmtId="0" fontId="11" fillId="0" borderId="29" xfId="2" applyFont="1" applyBorder="1" applyAlignment="1">
      <alignment horizontal="center"/>
    </xf>
    <xf numFmtId="0" fontId="11" fillId="0" borderId="26" xfId="2" applyFont="1" applyBorder="1" applyAlignment="1">
      <alignment horizontal="justify" vertical="center" wrapText="1"/>
    </xf>
    <xf numFmtId="0" fontId="29" fillId="0" borderId="28" xfId="0" applyFont="1" applyBorder="1" applyAlignment="1">
      <alignment horizontal="center" vertical="center" wrapText="1"/>
    </xf>
    <xf numFmtId="0" fontId="29" fillId="0" borderId="28" xfId="0" applyFont="1" applyBorder="1" applyAlignment="1">
      <alignment horizontal="center" vertical="center"/>
    </xf>
    <xf numFmtId="169" fontId="11" fillId="5" borderId="28" xfId="0" applyNumberFormat="1" applyFont="1" applyFill="1" applyBorder="1" applyAlignment="1">
      <alignment horizontal="right" vertical="center" wrapText="1"/>
    </xf>
    <xf numFmtId="0" fontId="29" fillId="0" borderId="28" xfId="0" applyFont="1" applyBorder="1" applyAlignment="1">
      <alignment horizontal="justify" vertical="center"/>
    </xf>
    <xf numFmtId="14" fontId="29" fillId="0" borderId="28" xfId="0" applyNumberFormat="1" applyFont="1" applyBorder="1" applyAlignment="1">
      <alignment horizontal="center"/>
    </xf>
    <xf numFmtId="0" fontId="29" fillId="0" borderId="26" xfId="0" applyFont="1" applyBorder="1" applyAlignment="1">
      <alignment horizontal="justify" wrapText="1"/>
    </xf>
    <xf numFmtId="0" fontId="29" fillId="0" borderId="28" xfId="0" applyFont="1" applyBorder="1" applyAlignment="1">
      <alignment horizontal="center"/>
    </xf>
    <xf numFmtId="14" fontId="29" fillId="0" borderId="28" xfId="0" applyNumberFormat="1" applyFont="1" applyBorder="1" applyAlignment="1">
      <alignment horizontal="center" vertical="center"/>
    </xf>
    <xf numFmtId="0" fontId="11" fillId="0" borderId="28" xfId="2" applyFont="1" applyBorder="1" applyAlignment="1">
      <alignment horizontal="center" wrapText="1"/>
    </xf>
    <xf numFmtId="0" fontId="11" fillId="0" borderId="28" xfId="2" applyFont="1" applyBorder="1" applyAlignment="1">
      <alignment horizontal="left" wrapText="1"/>
    </xf>
    <xf numFmtId="169" fontId="4" fillId="11" borderId="28" xfId="0" applyNumberFormat="1" applyFont="1" applyFill="1" applyBorder="1" applyAlignment="1">
      <alignment horizontal="right" vertical="center" wrapText="1"/>
    </xf>
    <xf numFmtId="169" fontId="4" fillId="0" borderId="28" xfId="0" applyNumberFormat="1" applyFont="1" applyBorder="1" applyAlignment="1">
      <alignment horizontal="right" vertical="center"/>
    </xf>
    <xf numFmtId="0" fontId="11" fillId="0" borderId="28" xfId="2" applyFont="1" applyBorder="1" applyAlignment="1">
      <alignment vertical="center" wrapText="1"/>
    </xf>
    <xf numFmtId="4" fontId="11" fillId="0" borderId="28" xfId="2" applyNumberFormat="1" applyFont="1" applyBorder="1" applyAlignment="1">
      <alignment vertical="center" wrapText="1"/>
    </xf>
    <xf numFmtId="0" fontId="11" fillId="0" borderId="26" xfId="2" applyFont="1" applyBorder="1" applyAlignment="1">
      <alignment horizontal="left" vertical="center"/>
    </xf>
    <xf numFmtId="0" fontId="11" fillId="10" borderId="28" xfId="2" applyFont="1" applyFill="1" applyBorder="1" applyAlignment="1">
      <alignment horizontal="center" vertical="center"/>
    </xf>
    <xf numFmtId="0" fontId="11" fillId="10" borderId="28" xfId="2" applyFont="1" applyFill="1" applyBorder="1" applyAlignment="1">
      <alignment horizontal="left" vertical="center"/>
    </xf>
    <xf numFmtId="0" fontId="11" fillId="10" borderId="28" xfId="2" applyFont="1" applyFill="1" applyBorder="1" applyAlignment="1">
      <alignment horizontal="right" vertical="center"/>
    </xf>
    <xf numFmtId="0" fontId="11" fillId="10" borderId="29" xfId="2" applyFont="1" applyFill="1" applyBorder="1" applyAlignment="1">
      <alignment horizontal="center" vertical="center"/>
    </xf>
    <xf numFmtId="0" fontId="11" fillId="0" borderId="28" xfId="2" applyFont="1" applyBorder="1" applyAlignment="1">
      <alignment horizontal="left" vertical="center"/>
    </xf>
    <xf numFmtId="44" fontId="11" fillId="0" borderId="28" xfId="2" applyNumberFormat="1" applyFont="1" applyBorder="1" applyAlignment="1">
      <alignment horizontal="left" vertical="center"/>
    </xf>
    <xf numFmtId="44" fontId="11" fillId="0" borderId="28" xfId="2" applyNumberFormat="1" applyFont="1" applyBorder="1" applyAlignment="1">
      <alignment horizontal="right" vertical="center"/>
    </xf>
    <xf numFmtId="0" fontId="11" fillId="0" borderId="28" xfId="2" applyFont="1" applyBorder="1" applyAlignment="1">
      <alignment horizontal="justify" vertical="center"/>
    </xf>
    <xf numFmtId="0" fontId="11" fillId="0" borderId="29" xfId="0" applyFont="1" applyBorder="1" applyAlignment="1">
      <alignment horizontal="center"/>
    </xf>
    <xf numFmtId="44" fontId="11" fillId="0" borderId="28" xfId="2" applyNumberFormat="1" applyFont="1" applyBorder="1" applyAlignment="1">
      <alignment vertical="center"/>
    </xf>
    <xf numFmtId="0" fontId="12" fillId="2" borderId="63" xfId="2" applyFont="1" applyFill="1" applyBorder="1" applyAlignment="1">
      <alignment horizontal="center" vertical="center"/>
    </xf>
    <xf numFmtId="0" fontId="12" fillId="2" borderId="63" xfId="2" applyFont="1" applyFill="1" applyBorder="1" applyAlignment="1">
      <alignment horizontal="right" vertical="center"/>
    </xf>
    <xf numFmtId="49" fontId="11" fillId="0" borderId="0" xfId="1" applyNumberFormat="1" applyFont="1" applyAlignment="1">
      <alignment horizontal="left" vertical="center"/>
    </xf>
    <xf numFmtId="49" fontId="11" fillId="0" borderId="0" xfId="1" applyNumberFormat="1" applyFont="1" applyAlignment="1">
      <alignment horizontal="center" vertical="center"/>
    </xf>
    <xf numFmtId="49" fontId="11" fillId="0" borderId="0" xfId="1" applyNumberFormat="1" applyFont="1" applyAlignment="1">
      <alignment horizontal="right" vertical="center"/>
    </xf>
    <xf numFmtId="0" fontId="11" fillId="0" borderId="0" xfId="0" applyFont="1" applyAlignment="1">
      <alignment horizontal="right"/>
    </xf>
    <xf numFmtId="49" fontId="15" fillId="0" borderId="0" xfId="1" quotePrefix="1" applyNumberFormat="1" applyFont="1" applyAlignment="1">
      <alignment horizontal="left" vertical="center"/>
    </xf>
    <xf numFmtId="0" fontId="12" fillId="10" borderId="32" xfId="2" applyFont="1" applyFill="1" applyBorder="1" applyAlignment="1">
      <alignment vertical="center"/>
    </xf>
    <xf numFmtId="0" fontId="12" fillId="10" borderId="31" xfId="2" applyFont="1" applyFill="1" applyBorder="1" applyAlignment="1">
      <alignment vertical="center"/>
    </xf>
    <xf numFmtId="0" fontId="30" fillId="0" borderId="45" xfId="0" applyFont="1" applyBorder="1" applyAlignment="1">
      <alignment horizontal="center" wrapText="1"/>
    </xf>
    <xf numFmtId="0" fontId="30" fillId="0" borderId="45" xfId="0" applyFont="1" applyBorder="1" applyAlignment="1">
      <alignment horizontal="center" vertical="center" wrapText="1"/>
    </xf>
    <xf numFmtId="0" fontId="8" fillId="0" borderId="45" xfId="2" applyFont="1" applyBorder="1" applyAlignment="1">
      <alignment horizontal="left" vertical="center"/>
    </xf>
    <xf numFmtId="4" fontId="4" fillId="0" borderId="45" xfId="0" applyNumberFormat="1" applyFont="1" applyBorder="1"/>
    <xf numFmtId="4" fontId="4" fillId="0" borderId="45" xfId="2" applyNumberFormat="1" applyFont="1" applyBorder="1" applyAlignment="1">
      <alignment vertical="center"/>
    </xf>
    <xf numFmtId="0" fontId="4" fillId="0" borderId="45" xfId="2" applyFont="1" applyBorder="1" applyAlignment="1">
      <alignment vertical="center"/>
    </xf>
    <xf numFmtId="4" fontId="30" fillId="0" borderId="45" xfId="0" applyNumberFormat="1" applyFont="1" applyBorder="1" applyAlignment="1">
      <alignment horizontal="center" wrapText="1"/>
    </xf>
    <xf numFmtId="0" fontId="4" fillId="0" borderId="45" xfId="2" applyFont="1" applyBorder="1" applyAlignment="1">
      <alignment horizontal="center" vertical="center"/>
    </xf>
    <xf numFmtId="0" fontId="8" fillId="10" borderId="14" xfId="2" applyFont="1" applyFill="1" applyBorder="1" applyAlignment="1">
      <alignment horizontal="left" vertical="center"/>
    </xf>
    <xf numFmtId="0" fontId="8" fillId="10" borderId="55" xfId="2" applyFont="1" applyFill="1" applyBorder="1" applyAlignment="1">
      <alignment vertical="center"/>
    </xf>
    <xf numFmtId="0" fontId="8" fillId="10" borderId="48" xfId="2" applyFont="1" applyFill="1" applyBorder="1" applyAlignment="1">
      <alignment vertical="center"/>
    </xf>
    <xf numFmtId="0" fontId="8" fillId="10" borderId="54" xfId="2" applyFont="1" applyFill="1" applyBorder="1" applyAlignment="1">
      <alignment vertical="center"/>
    </xf>
    <xf numFmtId="0" fontId="4" fillId="0" borderId="28" xfId="2" applyFont="1" applyBorder="1" applyAlignment="1">
      <alignment vertical="center" wrapText="1"/>
    </xf>
    <xf numFmtId="4" fontId="4" fillId="0" borderId="28" xfId="2" applyNumberFormat="1" applyFont="1" applyBorder="1" applyAlignment="1">
      <alignment vertical="center" wrapText="1"/>
    </xf>
    <xf numFmtId="0" fontId="4" fillId="0" borderId="28" xfId="2" applyFont="1" applyBorder="1" applyAlignment="1">
      <alignment vertical="center"/>
    </xf>
    <xf numFmtId="0" fontId="4" fillId="0" borderId="28" xfId="0" applyFont="1" applyBorder="1"/>
    <xf numFmtId="0" fontId="4" fillId="0" borderId="14" xfId="2" applyFont="1" applyBorder="1" applyAlignment="1">
      <alignment horizontal="center" vertical="center" wrapText="1"/>
    </xf>
    <xf numFmtId="0" fontId="8" fillId="0" borderId="14" xfId="2" applyFont="1" applyBorder="1" applyAlignment="1">
      <alignment horizontal="left" vertical="center"/>
    </xf>
    <xf numFmtId="164" fontId="4" fillId="0" borderId="55" xfId="5" applyFont="1" applyBorder="1" applyAlignment="1">
      <alignment vertical="center"/>
    </xf>
    <xf numFmtId="0" fontId="8" fillId="0" borderId="48" xfId="2" applyFont="1" applyBorder="1" applyAlignment="1">
      <alignment vertical="center"/>
    </xf>
    <xf numFmtId="0" fontId="4" fillId="0" borderId="54" xfId="2" applyFont="1" applyBorder="1" applyAlignment="1">
      <alignment horizontal="center" vertical="center" wrapText="1"/>
    </xf>
    <xf numFmtId="0" fontId="4" fillId="0" borderId="54" xfId="2" applyFont="1" applyBorder="1" applyAlignment="1">
      <alignment horizontal="center" vertical="center"/>
    </xf>
    <xf numFmtId="164" fontId="4" fillId="0" borderId="55" xfId="5" applyFont="1" applyBorder="1" applyAlignment="1">
      <alignment horizontal="right" vertical="center"/>
    </xf>
    <xf numFmtId="43" fontId="8" fillId="0" borderId="48" xfId="2" applyNumberFormat="1" applyFont="1" applyBorder="1" applyAlignment="1">
      <alignment vertical="center"/>
    </xf>
    <xf numFmtId="0" fontId="4" fillId="0" borderId="14" xfId="2" applyFont="1" applyBorder="1" applyAlignment="1">
      <alignment horizontal="left" vertical="center" wrapText="1"/>
    </xf>
    <xf numFmtId="4" fontId="8" fillId="0" borderId="55" xfId="2" applyNumberFormat="1" applyFont="1" applyBorder="1" applyAlignment="1">
      <alignment vertical="center"/>
    </xf>
    <xf numFmtId="43" fontId="4" fillId="0" borderId="48" xfId="2" applyNumberFormat="1" applyFont="1" applyBorder="1" applyAlignment="1">
      <alignment vertical="center"/>
    </xf>
    <xf numFmtId="0" fontId="8" fillId="0" borderId="55" xfId="2" applyFont="1" applyBorder="1" applyAlignment="1">
      <alignment vertical="center"/>
    </xf>
    <xf numFmtId="4" fontId="4" fillId="0" borderId="48" xfId="2" applyNumberFormat="1" applyFont="1" applyBorder="1" applyAlignment="1">
      <alignment vertical="center"/>
    </xf>
    <xf numFmtId="4" fontId="4" fillId="0" borderId="55" xfId="2" applyNumberFormat="1" applyFont="1" applyBorder="1" applyAlignment="1">
      <alignment vertical="center"/>
    </xf>
    <xf numFmtId="164" fontId="4" fillId="0" borderId="48" xfId="5" applyFont="1" applyBorder="1" applyAlignment="1">
      <alignment vertical="center"/>
    </xf>
    <xf numFmtId="0" fontId="8" fillId="0" borderId="54" xfId="2" applyFont="1" applyBorder="1" applyAlignment="1">
      <alignment vertical="center"/>
    </xf>
    <xf numFmtId="0" fontId="4" fillId="0" borderId="28" xfId="0" applyFont="1" applyBorder="1" applyAlignment="1">
      <alignment horizontal="center" vertical="center"/>
    </xf>
    <xf numFmtId="8" fontId="4" fillId="0" borderId="28" xfId="2" applyNumberFormat="1" applyFont="1" applyBorder="1" applyAlignment="1">
      <alignment vertical="center"/>
    </xf>
    <xf numFmtId="169" fontId="4" fillId="0" borderId="28" xfId="0" applyNumberFormat="1" applyFont="1" applyBorder="1" applyAlignment="1">
      <alignment horizontal="left" vertical="center"/>
    </xf>
    <xf numFmtId="2" fontId="4" fillId="0" borderId="28" xfId="0" applyNumberFormat="1" applyFont="1" applyBorder="1" applyAlignment="1">
      <alignment horizontal="center" vertical="center"/>
    </xf>
    <xf numFmtId="169" fontId="4" fillId="0" borderId="35" xfId="0" applyNumberFormat="1" applyFont="1" applyBorder="1" applyAlignment="1">
      <alignment horizontal="right" vertical="center"/>
    </xf>
    <xf numFmtId="0" fontId="4" fillId="0" borderId="35" xfId="0" applyFont="1" applyBorder="1" applyAlignment="1">
      <alignment horizontal="center" vertical="center"/>
    </xf>
    <xf numFmtId="0" fontId="4" fillId="0" borderId="35" xfId="0" applyFont="1" applyBorder="1"/>
    <xf numFmtId="4" fontId="33" fillId="0" borderId="28" xfId="0" applyNumberFormat="1" applyFont="1" applyBorder="1"/>
    <xf numFmtId="0" fontId="8" fillId="0" borderId="28" xfId="2" applyFont="1" applyBorder="1" applyAlignment="1">
      <alignment horizontal="left" vertical="center"/>
    </xf>
    <xf numFmtId="0" fontId="8" fillId="0" borderId="28" xfId="2" applyFont="1" applyBorder="1" applyAlignment="1">
      <alignment vertical="center"/>
    </xf>
    <xf numFmtId="0" fontId="8" fillId="0" borderId="28" xfId="2" applyFont="1" applyBorder="1" applyAlignment="1">
      <alignment horizontal="center" vertical="center"/>
    </xf>
    <xf numFmtId="0" fontId="4" fillId="0" borderId="14" xfId="2" applyFont="1" applyBorder="1" applyAlignment="1">
      <alignment horizontal="left" vertical="center"/>
    </xf>
    <xf numFmtId="0" fontId="4" fillId="0" borderId="14" xfId="2" applyFont="1" applyBorder="1" applyAlignment="1">
      <alignment horizontal="center" vertical="center"/>
    </xf>
    <xf numFmtId="0" fontId="4" fillId="0" borderId="48" xfId="2" applyFont="1" applyBorder="1" applyAlignment="1">
      <alignment horizontal="center" vertical="center"/>
    </xf>
    <xf numFmtId="49" fontId="4" fillId="0" borderId="14" xfId="2" applyNumberFormat="1" applyFont="1" applyBorder="1" applyAlignment="1">
      <alignment horizontal="center" vertical="center"/>
    </xf>
    <xf numFmtId="0" fontId="4" fillId="0" borderId="48" xfId="2" applyFont="1" applyBorder="1" applyAlignment="1">
      <alignment vertical="center"/>
    </xf>
    <xf numFmtId="0" fontId="8" fillId="2" borderId="5" xfId="2" applyFont="1" applyFill="1" applyBorder="1" applyAlignment="1">
      <alignment horizontal="center" vertical="center"/>
    </xf>
    <xf numFmtId="0" fontId="8" fillId="2" borderId="19" xfId="2" applyFont="1" applyFill="1" applyBorder="1" applyAlignment="1">
      <alignment horizontal="center" vertical="center"/>
    </xf>
    <xf numFmtId="0" fontId="8" fillId="2" borderId="41" xfId="2" applyFont="1" applyFill="1" applyBorder="1" applyAlignment="1">
      <alignment vertical="center"/>
    </xf>
    <xf numFmtId="0" fontId="8" fillId="2" borderId="20" xfId="2" applyFont="1" applyFill="1" applyBorder="1" applyAlignment="1">
      <alignment vertical="center"/>
    </xf>
    <xf numFmtId="0" fontId="8" fillId="2" borderId="16" xfId="2" applyFont="1" applyFill="1" applyBorder="1" applyAlignment="1">
      <alignment vertical="center"/>
    </xf>
    <xf numFmtId="0" fontId="8" fillId="2" borderId="42" xfId="2" applyFont="1" applyFill="1" applyBorder="1" applyAlignment="1">
      <alignment vertical="center"/>
    </xf>
    <xf numFmtId="0" fontId="4" fillId="0" borderId="0" xfId="0" applyFont="1" applyAlignment="1">
      <alignment horizontal="centerContinuous"/>
    </xf>
    <xf numFmtId="3" fontId="4" fillId="0" borderId="0" xfId="0" applyNumberFormat="1" applyFont="1"/>
    <xf numFmtId="3" fontId="8" fillId="0" borderId="0" xfId="2" applyNumberFormat="1" applyFont="1" applyAlignment="1">
      <alignment vertical="center"/>
    </xf>
    <xf numFmtId="0" fontId="20" fillId="0" borderId="0" xfId="2" applyFont="1" applyAlignment="1">
      <alignment vertical="center"/>
    </xf>
    <xf numFmtId="49" fontId="34" fillId="7" borderId="17" xfId="3" applyFont="1" applyFill="1" applyBorder="1" applyAlignment="1">
      <alignment horizontal="center" textRotation="90" wrapText="1"/>
    </xf>
    <xf numFmtId="3" fontId="8" fillId="7" borderId="41" xfId="3" applyNumberFormat="1" applyFont="1" applyFill="1" applyBorder="1" applyAlignment="1">
      <alignment horizontal="center" textRotation="90" wrapText="1"/>
    </xf>
    <xf numFmtId="49" fontId="4" fillId="0" borderId="61" xfId="3" applyFont="1" applyBorder="1" applyAlignment="1">
      <alignment vertical="center" wrapText="1"/>
    </xf>
    <xf numFmtId="172" fontId="8" fillId="0" borderId="22" xfId="3" applyNumberFormat="1" applyFont="1" applyBorder="1" applyAlignment="1">
      <alignment horizontal="right" vertical="center"/>
    </xf>
    <xf numFmtId="3" fontId="4" fillId="0" borderId="23" xfId="3" applyNumberFormat="1" applyFont="1" applyBorder="1" applyAlignment="1">
      <alignment horizontal="right" vertical="center"/>
    </xf>
    <xf numFmtId="3" fontId="4" fillId="0" borderId="23" xfId="3" applyNumberFormat="1" applyFont="1" applyBorder="1" applyAlignment="1">
      <alignment vertical="center"/>
    </xf>
    <xf numFmtId="3" fontId="8" fillId="0" borderId="24" xfId="3" applyNumberFormat="1" applyFont="1" applyBorder="1" applyAlignment="1">
      <alignment vertical="center"/>
    </xf>
    <xf numFmtId="3" fontId="8" fillId="0" borderId="23" xfId="3" applyNumberFormat="1" applyFont="1" applyBorder="1" applyAlignment="1">
      <alignment horizontal="right" vertical="center"/>
    </xf>
    <xf numFmtId="3" fontId="8" fillId="0" borderId="22" xfId="3" applyNumberFormat="1" applyFont="1" applyBorder="1" applyAlignment="1">
      <alignment vertical="center"/>
    </xf>
    <xf numFmtId="49" fontId="4" fillId="0" borderId="2" xfId="3" applyFont="1" applyBorder="1" applyAlignment="1">
      <alignment vertical="center" wrapText="1"/>
    </xf>
    <xf numFmtId="172" fontId="8" fillId="0" borderId="26" xfId="3" applyNumberFormat="1" applyFont="1" applyBorder="1" applyAlignment="1">
      <alignment horizontal="right" vertical="center"/>
    </xf>
    <xf numFmtId="3" fontId="4" fillId="0" borderId="28" xfId="3" applyNumberFormat="1" applyFont="1" applyBorder="1" applyAlignment="1">
      <alignment horizontal="right" vertical="center"/>
    </xf>
    <xf numFmtId="3" fontId="4" fillId="0" borderId="28" xfId="3" applyNumberFormat="1" applyFont="1" applyBorder="1" applyAlignment="1">
      <alignment vertical="center"/>
    </xf>
    <xf numFmtId="3" fontId="8" fillId="0" borderId="28" xfId="3" applyNumberFormat="1" applyFont="1" applyBorder="1" applyAlignment="1">
      <alignment vertical="center"/>
    </xf>
    <xf numFmtId="3" fontId="8" fillId="0" borderId="28" xfId="3" applyNumberFormat="1" applyFont="1" applyBorder="1" applyAlignment="1">
      <alignment horizontal="right" vertical="center"/>
    </xf>
    <xf numFmtId="172" fontId="4" fillId="0" borderId="26" xfId="3" applyNumberFormat="1" applyFont="1" applyBorder="1" applyAlignment="1">
      <alignment horizontal="right" vertical="center"/>
    </xf>
    <xf numFmtId="2" fontId="8" fillId="0" borderId="25" xfId="3" applyNumberFormat="1" applyFont="1" applyBorder="1" applyAlignment="1">
      <alignment vertical="center"/>
    </xf>
    <xf numFmtId="49" fontId="4" fillId="0" borderId="75" xfId="3" applyFont="1" applyBorder="1" applyAlignment="1">
      <alignment vertical="center" wrapText="1"/>
    </xf>
    <xf numFmtId="49" fontId="4" fillId="0" borderId="75" xfId="3" applyFont="1" applyBorder="1" applyAlignment="1">
      <alignment vertical="center"/>
    </xf>
    <xf numFmtId="172" fontId="4" fillId="0" borderId="34" xfId="3" applyNumberFormat="1" applyFont="1" applyBorder="1" applyAlignment="1">
      <alignment horizontal="right" vertical="center"/>
    </xf>
    <xf numFmtId="3" fontId="4" fillId="0" borderId="35" xfId="3" applyNumberFormat="1" applyFont="1" applyBorder="1" applyAlignment="1">
      <alignment horizontal="right" vertical="center"/>
    </xf>
    <xf numFmtId="3" fontId="4" fillId="0" borderId="35" xfId="3" applyNumberFormat="1" applyFont="1" applyBorder="1" applyAlignment="1">
      <alignment vertical="center"/>
    </xf>
    <xf numFmtId="4" fontId="4" fillId="0" borderId="35" xfId="3" applyNumberFormat="1" applyFont="1" applyBorder="1" applyAlignment="1">
      <alignment vertical="center"/>
    </xf>
    <xf numFmtId="4" fontId="4" fillId="0" borderId="34" xfId="3" applyNumberFormat="1" applyFont="1" applyBorder="1" applyAlignment="1">
      <alignment vertical="center"/>
    </xf>
    <xf numFmtId="49" fontId="4" fillId="0" borderId="34" xfId="3" applyFont="1" applyBorder="1" applyAlignment="1">
      <alignment vertical="center"/>
    </xf>
    <xf numFmtId="4" fontId="4" fillId="0" borderId="36" xfId="3" applyNumberFormat="1" applyFont="1" applyBorder="1" applyAlignment="1">
      <alignment vertical="center"/>
    </xf>
    <xf numFmtId="3" fontId="8" fillId="2" borderId="16" xfId="3" applyNumberFormat="1" applyFont="1" applyFill="1" applyBorder="1" applyAlignment="1">
      <alignment horizontal="right" vertical="center"/>
    </xf>
    <xf numFmtId="3" fontId="8" fillId="2" borderId="17" xfId="3" applyNumberFormat="1" applyFont="1" applyFill="1" applyBorder="1" applyAlignment="1">
      <alignment horizontal="right" vertical="center"/>
    </xf>
    <xf numFmtId="3" fontId="8" fillId="2" borderId="41" xfId="3" applyNumberFormat="1" applyFont="1" applyFill="1" applyBorder="1" applyAlignment="1">
      <alignment horizontal="right" vertical="center"/>
    </xf>
    <xf numFmtId="49" fontId="20" fillId="0" borderId="0" xfId="3" applyFont="1" applyAlignment="1">
      <alignment horizontal="left" vertical="center"/>
    </xf>
    <xf numFmtId="3" fontId="19" fillId="0" borderId="0" xfId="0" applyNumberFormat="1" applyFont="1"/>
    <xf numFmtId="0" fontId="8" fillId="0" borderId="0" xfId="0" applyFont="1" applyAlignment="1">
      <alignment horizontal="left" vertical="top"/>
    </xf>
    <xf numFmtId="0" fontId="8" fillId="0" borderId="0" xfId="2" applyFont="1" applyAlignment="1">
      <alignment vertical="top"/>
    </xf>
    <xf numFmtId="0" fontId="5" fillId="7" borderId="28" xfId="0" applyFont="1" applyFill="1" applyBorder="1" applyAlignment="1">
      <alignment horizontal="center" vertical="top" wrapText="1"/>
    </xf>
    <xf numFmtId="3" fontId="5" fillId="7" borderId="28" xfId="0" applyNumberFormat="1" applyFont="1" applyFill="1" applyBorder="1" applyAlignment="1">
      <alignment horizontal="center" vertical="center"/>
    </xf>
    <xf numFmtId="0" fontId="3" fillId="0" borderId="28" xfId="0" applyFont="1" applyBorder="1" applyAlignment="1">
      <alignment vertical="top" wrapText="1"/>
    </xf>
    <xf numFmtId="3" fontId="0" fillId="0" borderId="28" xfId="0" applyNumberFormat="1" applyBorder="1" applyAlignment="1">
      <alignment horizontal="right" vertical="top"/>
    </xf>
    <xf numFmtId="3" fontId="0" fillId="0" borderId="28" xfId="0" applyNumberFormat="1" applyBorder="1"/>
    <xf numFmtId="3" fontId="3" fillId="0" borderId="28" xfId="0" applyNumberFormat="1" applyFont="1" applyBorder="1" applyAlignment="1">
      <alignment horizontal="right" vertical="top"/>
    </xf>
    <xf numFmtId="3" fontId="3" fillId="0" borderId="28" xfId="0" applyNumberFormat="1" applyFont="1" applyBorder="1"/>
    <xf numFmtId="3" fontId="3" fillId="0" borderId="28" xfId="0" applyNumberFormat="1" applyFont="1" applyBorder="1" applyAlignment="1">
      <alignment horizontal="right" vertical="center"/>
    </xf>
    <xf numFmtId="3" fontId="3" fillId="0" borderId="28" xfId="0" applyNumberFormat="1" applyFont="1" applyBorder="1" applyAlignment="1">
      <alignment vertical="center"/>
    </xf>
    <xf numFmtId="0" fontId="3" fillId="0" borderId="28" xfId="0" applyFont="1" applyBorder="1" applyAlignment="1">
      <alignment horizontal="left" vertical="top" wrapText="1"/>
    </xf>
    <xf numFmtId="0" fontId="5" fillId="6" borderId="28" xfId="0" applyFont="1" applyFill="1" applyBorder="1" applyAlignment="1">
      <alignment horizontal="center" vertical="top"/>
    </xf>
    <xf numFmtId="3" fontId="5" fillId="6" borderId="28" xfId="0" applyNumberFormat="1" applyFont="1" applyFill="1" applyBorder="1" applyAlignment="1">
      <alignment vertical="center"/>
    </xf>
    <xf numFmtId="0" fontId="3" fillId="0" borderId="0" xfId="0" applyFont="1" applyAlignment="1">
      <alignment vertical="center"/>
    </xf>
    <xf numFmtId="0" fontId="0" fillId="0" borderId="0" xfId="0" applyAlignment="1">
      <alignment vertical="top"/>
    </xf>
    <xf numFmtId="0" fontId="3" fillId="0" borderId="28" xfId="0" applyFont="1" applyBorder="1" applyAlignment="1">
      <alignment vertical="top"/>
    </xf>
    <xf numFmtId="3" fontId="0" fillId="0" borderId="28" xfId="0" applyNumberFormat="1" applyBorder="1" applyAlignment="1">
      <alignment vertical="center"/>
    </xf>
    <xf numFmtId="0" fontId="5" fillId="6" borderId="28" xfId="0" applyFont="1" applyFill="1" applyBorder="1" applyAlignment="1">
      <alignment horizontal="center" vertical="center"/>
    </xf>
    <xf numFmtId="0" fontId="4" fillId="0" borderId="70" xfId="0" applyFont="1" applyBorder="1" applyAlignment="1">
      <alignment horizontal="left" vertical="top"/>
    </xf>
    <xf numFmtId="0" fontId="4" fillId="0" borderId="0" xfId="0" applyFont="1" applyAlignment="1">
      <alignment horizontal="left" vertical="top"/>
    </xf>
    <xf numFmtId="4" fontId="12" fillId="0" borderId="0" xfId="2" applyNumberFormat="1" applyFont="1" applyAlignment="1">
      <alignment horizontal="right" vertical="center"/>
    </xf>
    <xf numFmtId="49" fontId="11" fillId="0" borderId="0" xfId="3" applyFont="1" applyAlignment="1">
      <alignment horizontal="center" vertical="center"/>
    </xf>
    <xf numFmtId="4" fontId="11" fillId="0" borderId="0" xfId="0" applyNumberFormat="1" applyFont="1" applyAlignment="1">
      <alignment horizontal="right"/>
    </xf>
    <xf numFmtId="4" fontId="12" fillId="2" borderId="21" xfId="2" applyNumberFormat="1" applyFont="1" applyFill="1" applyBorder="1" applyAlignment="1">
      <alignment horizontal="right" vertical="center"/>
    </xf>
    <xf numFmtId="4" fontId="12" fillId="7" borderId="18" xfId="2" applyNumberFormat="1" applyFont="1" applyFill="1" applyBorder="1" applyAlignment="1">
      <alignment horizontal="center" vertical="center" wrapText="1"/>
    </xf>
    <xf numFmtId="0" fontId="12" fillId="0" borderId="4" xfId="2" applyFont="1" applyBorder="1" applyAlignment="1">
      <alignment horizontal="center" vertical="center" wrapText="1"/>
    </xf>
    <xf numFmtId="0" fontId="12" fillId="0" borderId="14" xfId="2" applyFont="1" applyBorder="1" applyAlignment="1">
      <alignment horizontal="center" vertical="center"/>
    </xf>
    <xf numFmtId="0" fontId="12" fillId="0" borderId="14" xfId="2" applyFont="1" applyBorder="1" applyAlignment="1">
      <alignment horizontal="center" vertical="center" wrapText="1"/>
    </xf>
    <xf numFmtId="4" fontId="12" fillId="2" borderId="18" xfId="2" applyNumberFormat="1" applyFont="1" applyFill="1" applyBorder="1" applyAlignment="1">
      <alignment horizontal="right" vertical="center"/>
    </xf>
    <xf numFmtId="4" fontId="3" fillId="0" borderId="0" xfId="0" applyNumberFormat="1" applyFont="1" applyFill="1" applyAlignment="1">
      <alignment vertical="center"/>
    </xf>
    <xf numFmtId="0" fontId="3" fillId="0" borderId="27" xfId="0" applyFont="1" applyFill="1" applyBorder="1"/>
    <xf numFmtId="4" fontId="0" fillId="0" borderId="27" xfId="0" applyNumberFormat="1" applyBorder="1"/>
    <xf numFmtId="4" fontId="5" fillId="6" borderId="43" xfId="0" applyNumberFormat="1" applyFont="1" applyFill="1" applyBorder="1"/>
    <xf numFmtId="0" fontId="12" fillId="0" borderId="0" xfId="4" applyFont="1"/>
    <xf numFmtId="0" fontId="10" fillId="0" borderId="0" xfId="4" applyFont="1"/>
    <xf numFmtId="0" fontId="18" fillId="0" borderId="0" xfId="4" applyFont="1"/>
    <xf numFmtId="0" fontId="12" fillId="8" borderId="11" xfId="4" applyFont="1" applyFill="1" applyBorder="1" applyAlignment="1">
      <alignment horizontal="center"/>
    </xf>
    <xf numFmtId="0" fontId="12" fillId="8" borderId="7" xfId="4" applyFont="1" applyFill="1" applyBorder="1" applyAlignment="1">
      <alignment horizontal="center"/>
    </xf>
    <xf numFmtId="0" fontId="12" fillId="8" borderId="11" xfId="4" applyFont="1" applyFill="1" applyBorder="1" applyAlignment="1">
      <alignment horizontal="center" wrapText="1"/>
    </xf>
    <xf numFmtId="0" fontId="12" fillId="8" borderId="8" xfId="4" applyFont="1" applyFill="1" applyBorder="1" applyAlignment="1">
      <alignment horizontal="center"/>
    </xf>
    <xf numFmtId="0" fontId="12" fillId="0" borderId="0" xfId="4" applyFont="1" applyAlignment="1">
      <alignment horizontal="center"/>
    </xf>
    <xf numFmtId="4" fontId="11" fillId="0" borderId="4" xfId="0" applyNumberFormat="1" applyFont="1" applyBorder="1"/>
    <xf numFmtId="0" fontId="11" fillId="0" borderId="4" xfId="0" quotePrefix="1" applyFont="1" applyBorder="1" applyAlignment="1">
      <alignment horizontal="center"/>
    </xf>
    <xf numFmtId="3" fontId="11" fillId="0" borderId="4" xfId="0" applyNumberFormat="1" applyFont="1" applyBorder="1" applyAlignment="1">
      <alignment horizontal="center"/>
    </xf>
    <xf numFmtId="3" fontId="11" fillId="0" borderId="0" xfId="0" applyNumberFormat="1" applyFont="1" applyAlignment="1">
      <alignment horizontal="center"/>
    </xf>
    <xf numFmtId="14" fontId="11" fillId="0" borderId="14" xfId="0" applyNumberFormat="1" applyFont="1" applyBorder="1" applyAlignment="1">
      <alignment horizontal="center"/>
    </xf>
    <xf numFmtId="4" fontId="11" fillId="0" borderId="4" xfId="0" applyNumberFormat="1" applyFont="1" applyBorder="1" applyAlignment="1">
      <alignment horizontal="center"/>
    </xf>
    <xf numFmtId="14" fontId="11" fillId="0" borderId="14" xfId="0" applyNumberFormat="1" applyFont="1" applyBorder="1"/>
    <xf numFmtId="0" fontId="11" fillId="0" borderId="4" xfId="0" applyFont="1" applyBorder="1" applyAlignment="1">
      <alignment horizontal="center"/>
    </xf>
    <xf numFmtId="4" fontId="12" fillId="8" borderId="5" xfId="0" applyNumberFormat="1" applyFont="1" applyFill="1" applyBorder="1" applyAlignment="1">
      <alignment horizontal="center"/>
    </xf>
    <xf numFmtId="0" fontId="11" fillId="0" borderId="21" xfId="4" applyFont="1" applyBorder="1" applyAlignment="1">
      <alignment horizontal="center"/>
    </xf>
    <xf numFmtId="3" fontId="11" fillId="0" borderId="0" xfId="4" applyNumberFormat="1" applyFont="1"/>
    <xf numFmtId="0" fontId="11" fillId="0" borderId="4" xfId="4" quotePrefix="1" applyFont="1" applyBorder="1" applyAlignment="1">
      <alignment horizontal="center"/>
    </xf>
    <xf numFmtId="3" fontId="11" fillId="0" borderId="0" xfId="4" applyNumberFormat="1" applyFont="1" applyAlignment="1">
      <alignment horizontal="center"/>
    </xf>
    <xf numFmtId="3" fontId="11" fillId="0" borderId="14" xfId="4" quotePrefix="1" applyNumberFormat="1" applyFont="1" applyBorder="1" applyAlignment="1">
      <alignment horizontal="center"/>
    </xf>
    <xf numFmtId="164" fontId="11" fillId="0" borderId="4" xfId="5" applyFont="1" applyBorder="1" applyAlignment="1">
      <alignment horizontal="center"/>
    </xf>
    <xf numFmtId="0" fontId="11" fillId="0" borderId="4" xfId="4" applyFont="1" applyBorder="1" applyAlignment="1">
      <alignment horizontal="center"/>
    </xf>
    <xf numFmtId="3" fontId="11" fillId="0" borderId="4" xfId="4" applyNumberFormat="1" applyFont="1" applyBorder="1" applyAlignment="1">
      <alignment horizontal="center"/>
    </xf>
    <xf numFmtId="3" fontId="11" fillId="0" borderId="14" xfId="4" applyNumberFormat="1" applyFont="1" applyBorder="1" applyAlignment="1">
      <alignment horizontal="center"/>
    </xf>
    <xf numFmtId="4" fontId="11" fillId="0" borderId="4" xfId="4" applyNumberFormat="1" applyFont="1" applyBorder="1" applyAlignment="1">
      <alignment horizontal="center"/>
    </xf>
    <xf numFmtId="3" fontId="11" fillId="0" borderId="0" xfId="4" quotePrefix="1" applyNumberFormat="1" applyFont="1" applyAlignment="1">
      <alignment horizontal="center"/>
    </xf>
    <xf numFmtId="4" fontId="12" fillId="8" borderId="5" xfId="4" applyNumberFormat="1" applyFont="1" applyFill="1" applyBorder="1" applyAlignment="1">
      <alignment horizontal="center"/>
    </xf>
    <xf numFmtId="49" fontId="11" fillId="0" borderId="0" xfId="4" applyNumberFormat="1" applyFont="1" applyAlignment="1">
      <alignment horizontal="center"/>
    </xf>
    <xf numFmtId="49" fontId="11" fillId="0" borderId="14" xfId="4" applyNumberFormat="1" applyFont="1" applyBorder="1" applyAlignment="1">
      <alignment horizontal="center"/>
    </xf>
    <xf numFmtId="49" fontId="11" fillId="0" borderId="14" xfId="4" applyNumberFormat="1" applyFont="1" applyBorder="1"/>
    <xf numFmtId="0" fontId="11" fillId="0" borderId="8" xfId="4" applyFont="1" applyBorder="1" applyAlignment="1">
      <alignment horizontal="center"/>
    </xf>
    <xf numFmtId="4" fontId="12" fillId="8" borderId="20" xfId="4" applyNumberFormat="1" applyFont="1" applyFill="1" applyBorder="1" applyAlignment="1">
      <alignment horizontal="center"/>
    </xf>
    <xf numFmtId="3" fontId="11" fillId="0" borderId="12" xfId="4" applyNumberFormat="1" applyFont="1" applyBorder="1" applyAlignment="1">
      <alignment horizontal="center"/>
    </xf>
    <xf numFmtId="3" fontId="12" fillId="0" borderId="14" xfId="4" applyNumberFormat="1" applyFont="1" applyBorder="1" applyAlignment="1">
      <alignment horizontal="center"/>
    </xf>
    <xf numFmtId="4" fontId="11" fillId="0" borderId="14" xfId="4" applyNumberFormat="1" applyFont="1" applyBorder="1" applyAlignment="1">
      <alignment horizontal="center"/>
    </xf>
    <xf numFmtId="0" fontId="11" fillId="0" borderId="14" xfId="4" applyFont="1" applyBorder="1" applyAlignment="1">
      <alignment wrapText="1"/>
    </xf>
    <xf numFmtId="0" fontId="11" fillId="0" borderId="14" xfId="4" applyFont="1" applyBorder="1" applyAlignment="1">
      <alignment horizontal="left" wrapText="1"/>
    </xf>
    <xf numFmtId="4" fontId="12" fillId="0" borderId="14" xfId="4" applyNumberFormat="1" applyFont="1" applyBorder="1" applyAlignment="1">
      <alignment horizontal="center"/>
    </xf>
    <xf numFmtId="0" fontId="11" fillId="0" borderId="14" xfId="4" applyFont="1" applyBorder="1" applyAlignment="1">
      <alignment horizontal="center"/>
    </xf>
    <xf numFmtId="0" fontId="11" fillId="0" borderId="14" xfId="4" applyFont="1" applyBorder="1" applyAlignment="1">
      <alignment horizontal="center" wrapText="1"/>
    </xf>
    <xf numFmtId="0" fontId="11" fillId="0" borderId="11" xfId="4" applyFont="1" applyBorder="1" applyAlignment="1">
      <alignment horizontal="center"/>
    </xf>
    <xf numFmtId="171" fontId="18" fillId="0" borderId="21" xfId="4" applyNumberFormat="1" applyFont="1" applyBorder="1" applyAlignment="1">
      <alignment horizontal="center"/>
    </xf>
    <xf numFmtId="171" fontId="11" fillId="0" borderId="4" xfId="4" applyNumberFormat="1" applyFont="1" applyBorder="1" applyAlignment="1">
      <alignment horizontal="center"/>
    </xf>
    <xf numFmtId="171" fontId="18" fillId="0" borderId="4" xfId="4" applyNumberFormat="1" applyFont="1" applyBorder="1" applyAlignment="1">
      <alignment horizontal="center"/>
    </xf>
    <xf numFmtId="171" fontId="18" fillId="0" borderId="8" xfId="4" applyNumberFormat="1" applyFont="1" applyBorder="1" applyAlignment="1">
      <alignment horizontal="center"/>
    </xf>
    <xf numFmtId="0" fontId="11" fillId="0" borderId="0" xfId="4" applyFont="1" applyAlignment="1">
      <alignment horizontal="center"/>
    </xf>
    <xf numFmtId="4" fontId="11" fillId="0" borderId="4" xfId="4" applyNumberFormat="1" applyFont="1" applyBorder="1"/>
    <xf numFmtId="49" fontId="11" fillId="0" borderId="14" xfId="0" applyNumberFormat="1" applyFont="1" applyBorder="1" applyAlignment="1">
      <alignment horizontal="center"/>
    </xf>
    <xf numFmtId="1" fontId="11" fillId="0" borderId="0" xfId="4" applyNumberFormat="1" applyFont="1" applyAlignment="1">
      <alignment horizontal="center"/>
    </xf>
    <xf numFmtId="14" fontId="11" fillId="0" borderId="14" xfId="4" applyNumberFormat="1" applyFont="1" applyBorder="1" applyAlignment="1">
      <alignment horizontal="center"/>
    </xf>
    <xf numFmtId="0" fontId="12" fillId="0" borderId="4" xfId="4" applyFont="1" applyBorder="1" applyAlignment="1">
      <alignment horizontal="center"/>
    </xf>
    <xf numFmtId="3" fontId="12" fillId="0" borderId="4" xfId="4" applyNumberFormat="1" applyFont="1" applyBorder="1" applyAlignment="1">
      <alignment horizontal="center"/>
    </xf>
    <xf numFmtId="3" fontId="11" fillId="0" borderId="12" xfId="4" applyNumberFormat="1" applyFont="1" applyBorder="1"/>
    <xf numFmtId="1" fontId="11" fillId="0" borderId="14" xfId="4" applyNumberFormat="1" applyFont="1" applyBorder="1" applyAlignment="1">
      <alignment horizontal="center"/>
    </xf>
    <xf numFmtId="0" fontId="3" fillId="0" borderId="0" xfId="4"/>
    <xf numFmtId="174" fontId="3" fillId="0" borderId="4" xfId="10" applyNumberFormat="1" applyFont="1" applyBorder="1" applyAlignment="1">
      <alignment horizontal="center"/>
    </xf>
    <xf numFmtId="174" fontId="11" fillId="0" borderId="4" xfId="10" applyNumberFormat="1" applyFont="1" applyBorder="1" applyAlignment="1">
      <alignment horizontal="center"/>
    </xf>
    <xf numFmtId="0" fontId="3" fillId="0" borderId="14" xfId="4" applyBorder="1" applyAlignment="1">
      <alignment wrapText="1"/>
    </xf>
    <xf numFmtId="0" fontId="3" fillId="0" borderId="14" xfId="4" applyBorder="1"/>
    <xf numFmtId="3" fontId="11" fillId="0" borderId="0" xfId="0" quotePrefix="1" applyNumberFormat="1" applyFont="1" applyAlignment="1">
      <alignment horizontal="center"/>
    </xf>
    <xf numFmtId="0" fontId="12" fillId="0" borderId="14" xfId="4" applyFont="1" applyBorder="1"/>
    <xf numFmtId="0" fontId="11" fillId="0" borderId="21" xfId="4" applyFont="1" applyBorder="1" applyAlignment="1">
      <alignment vertical="center"/>
    </xf>
    <xf numFmtId="3" fontId="11" fillId="0" borderId="46" xfId="4" applyNumberFormat="1" applyFont="1" applyBorder="1" applyAlignment="1">
      <alignment horizontal="center"/>
    </xf>
    <xf numFmtId="49" fontId="11" fillId="0" borderId="4" xfId="4" applyNumberFormat="1" applyFont="1" applyBorder="1" applyAlignment="1">
      <alignment horizontal="center" vertical="center"/>
    </xf>
    <xf numFmtId="14" fontId="11" fillId="0" borderId="0" xfId="4" applyNumberFormat="1" applyFont="1" applyAlignment="1">
      <alignment horizontal="center"/>
    </xf>
    <xf numFmtId="4" fontId="11" fillId="0" borderId="14" xfId="0" applyNumberFormat="1" applyFont="1" applyBorder="1" applyAlignment="1">
      <alignment horizontal="center"/>
    </xf>
    <xf numFmtId="0" fontId="11" fillId="0" borderId="4" xfId="4" applyFont="1" applyBorder="1" applyAlignment="1">
      <alignment vertical="center"/>
    </xf>
    <xf numFmtId="0" fontId="11" fillId="0" borderId="14" xfId="0" applyFont="1" applyBorder="1" applyAlignment="1">
      <alignment horizontal="center"/>
    </xf>
    <xf numFmtId="4" fontId="0" fillId="0" borderId="14" xfId="0" applyNumberFormat="1" applyBorder="1" applyAlignment="1">
      <alignment horizontal="center"/>
    </xf>
    <xf numFmtId="0" fontId="11" fillId="0" borderId="8" xfId="4" applyFont="1" applyBorder="1" applyAlignment="1">
      <alignment vertical="center"/>
    </xf>
    <xf numFmtId="3" fontId="11" fillId="0" borderId="11" xfId="4" applyNumberFormat="1" applyFont="1" applyBorder="1" applyAlignment="1">
      <alignment horizontal="center"/>
    </xf>
    <xf numFmtId="0" fontId="11" fillId="0" borderId="76" xfId="4" applyFont="1" applyBorder="1" applyAlignment="1">
      <alignment horizontal="center"/>
    </xf>
    <xf numFmtId="4" fontId="35" fillId="0" borderId="3" xfId="0" applyNumberFormat="1" applyFont="1" applyBorder="1" applyAlignment="1">
      <alignment horizontal="center"/>
    </xf>
    <xf numFmtId="4" fontId="35" fillId="0" borderId="14" xfId="0" applyNumberFormat="1" applyFont="1" applyBorder="1" applyAlignment="1">
      <alignment horizontal="center"/>
    </xf>
    <xf numFmtId="3" fontId="11" fillId="0" borderId="3" xfId="4" applyNumberFormat="1" applyFont="1" applyBorder="1" applyAlignment="1">
      <alignment horizontal="center"/>
    </xf>
    <xf numFmtId="4" fontId="3" fillId="0" borderId="3" xfId="0" applyNumberFormat="1" applyFont="1" applyBorder="1" applyAlignment="1">
      <alignment horizontal="center"/>
    </xf>
    <xf numFmtId="4" fontId="3" fillId="0" borderId="14" xfId="0" applyNumberFormat="1" applyFont="1" applyBorder="1" applyAlignment="1">
      <alignment horizontal="center"/>
    </xf>
    <xf numFmtId="2" fontId="35" fillId="0" borderId="14" xfId="0" applyNumberFormat="1" applyFont="1" applyBorder="1" applyAlignment="1">
      <alignment horizontal="center"/>
    </xf>
    <xf numFmtId="0" fontId="36" fillId="0" borderId="3" xfId="0" applyFont="1" applyBorder="1" applyAlignment="1">
      <alignment horizontal="center"/>
    </xf>
    <xf numFmtId="2" fontId="35" fillId="0" borderId="3" xfId="0" applyNumberFormat="1" applyFont="1" applyBorder="1" applyAlignment="1">
      <alignment horizontal="center"/>
    </xf>
    <xf numFmtId="4" fontId="12" fillId="8" borderId="18" xfId="4" applyNumberFormat="1" applyFont="1" applyFill="1" applyBorder="1" applyAlignment="1">
      <alignment horizontal="center"/>
    </xf>
    <xf numFmtId="4" fontId="11" fillId="0" borderId="3" xfId="0" applyNumberFormat="1" applyFont="1" applyBorder="1" applyAlignment="1">
      <alignment horizontal="center"/>
    </xf>
    <xf numFmtId="4" fontId="11" fillId="0" borderId="12" xfId="0" applyNumberFormat="1" applyFont="1" applyBorder="1" applyAlignment="1">
      <alignment horizontal="center"/>
    </xf>
    <xf numFmtId="4" fontId="11" fillId="0" borderId="11" xfId="0" applyNumberFormat="1" applyFont="1" applyBorder="1" applyAlignment="1">
      <alignment horizontal="center"/>
    </xf>
    <xf numFmtId="175" fontId="11" fillId="0" borderId="14" xfId="4" applyNumberFormat="1" applyFont="1" applyBorder="1" applyAlignment="1">
      <alignment horizontal="center"/>
    </xf>
    <xf numFmtId="4" fontId="10" fillId="8" borderId="5" xfId="4" applyNumberFormat="1" applyFont="1" applyFill="1" applyBorder="1" applyAlignment="1">
      <alignment horizontal="center"/>
    </xf>
    <xf numFmtId="0" fontId="11" fillId="0" borderId="14" xfId="4" applyFont="1" applyBorder="1" applyAlignment="1">
      <alignment horizontal="center" vertical="center" wrapText="1"/>
    </xf>
    <xf numFmtId="0" fontId="11" fillId="0" borderId="14" xfId="4" applyFont="1" applyBorder="1" applyAlignment="1">
      <alignment horizontal="center" vertical="center"/>
    </xf>
    <xf numFmtId="0" fontId="12" fillId="0" borderId="0" xfId="0" applyFont="1" applyAlignment="1">
      <alignment horizontal="left"/>
    </xf>
    <xf numFmtId="0" fontId="12" fillId="0" borderId="0" xfId="0" applyFont="1" applyAlignment="1">
      <alignment horizontal="center" wrapText="1"/>
    </xf>
    <xf numFmtId="169" fontId="12" fillId="0" borderId="0" xfId="0" applyNumberFormat="1" applyFont="1" applyAlignment="1">
      <alignment horizontal="center"/>
    </xf>
    <xf numFmtId="0" fontId="12" fillId="0" borderId="0" xfId="2" applyFont="1" applyAlignment="1">
      <alignment horizontal="left" vertical="center" wrapText="1"/>
    </xf>
    <xf numFmtId="0" fontId="12" fillId="0" borderId="0" xfId="2" applyFont="1" applyAlignment="1">
      <alignment horizontal="center" vertical="center" wrapText="1"/>
    </xf>
    <xf numFmtId="0" fontId="10" fillId="0" borderId="0" xfId="2" applyFont="1" applyAlignment="1">
      <alignment horizontal="center" vertical="center" wrapText="1"/>
    </xf>
    <xf numFmtId="169" fontId="10" fillId="0" borderId="0" xfId="2" applyNumberFormat="1" applyFont="1" applyAlignment="1">
      <alignment horizontal="center" vertical="center"/>
    </xf>
    <xf numFmtId="169" fontId="12" fillId="0" borderId="0" xfId="2" applyNumberFormat="1" applyFont="1" applyAlignment="1">
      <alignment horizontal="center" vertical="center"/>
    </xf>
    <xf numFmtId="169" fontId="11" fillId="0" borderId="0" xfId="0" applyNumberFormat="1" applyFont="1" applyAlignment="1">
      <alignment horizontal="center"/>
    </xf>
    <xf numFmtId="166" fontId="11" fillId="0" borderId="0" xfId="0" applyNumberFormat="1" applyFont="1" applyAlignment="1">
      <alignment horizontal="center" wrapText="1"/>
    </xf>
    <xf numFmtId="169" fontId="12" fillId="7" borderId="5" xfId="0" applyNumberFormat="1" applyFont="1" applyFill="1" applyBorder="1" applyAlignment="1">
      <alignment horizontal="center" vertical="center" wrapText="1"/>
    </xf>
    <xf numFmtId="166" fontId="12" fillId="7" borderId="5" xfId="0" applyNumberFormat="1" applyFont="1" applyFill="1" applyBorder="1" applyAlignment="1">
      <alignment horizontal="center" textRotation="90" wrapText="1"/>
    </xf>
    <xf numFmtId="169" fontId="12" fillId="7" borderId="5" xfId="0" applyNumberFormat="1" applyFont="1" applyFill="1" applyBorder="1" applyAlignment="1">
      <alignment horizontal="center" textRotation="90" wrapText="1"/>
    </xf>
    <xf numFmtId="0" fontId="11" fillId="0" borderId="12" xfId="4" applyFont="1" applyBorder="1" applyAlignment="1">
      <alignment horizontal="center" vertical="center" wrapText="1"/>
    </xf>
    <xf numFmtId="0" fontId="11" fillId="0" borderId="21" xfId="4" applyFont="1" applyBorder="1" applyAlignment="1">
      <alignment horizontal="center" vertical="center" wrapText="1"/>
    </xf>
    <xf numFmtId="169" fontId="11" fillId="0" borderId="12" xfId="4" applyNumberFormat="1" applyFont="1" applyBorder="1" applyAlignment="1">
      <alignment horizontal="center" vertical="center"/>
    </xf>
    <xf numFmtId="0" fontId="11" fillId="0" borderId="12" xfId="4" applyFont="1" applyBorder="1" applyAlignment="1">
      <alignment horizontal="center" vertical="center"/>
    </xf>
    <xf numFmtId="0" fontId="11" fillId="0" borderId="0" xfId="4" applyFont="1" applyAlignment="1">
      <alignment horizontal="center" vertical="center" wrapText="1"/>
    </xf>
    <xf numFmtId="169" fontId="11" fillId="0" borderId="4" xfId="4" applyNumberFormat="1" applyFont="1" applyBorder="1" applyAlignment="1">
      <alignment horizontal="center" vertical="center"/>
    </xf>
    <xf numFmtId="0" fontId="11" fillId="0" borderId="0" xfId="0" applyFont="1" applyAlignment="1">
      <alignment vertical="center"/>
    </xf>
    <xf numFmtId="0" fontId="11" fillId="0" borderId="4" xfId="4" applyFont="1" applyBorder="1" applyAlignment="1">
      <alignment horizontal="center" vertical="center" wrapText="1"/>
    </xf>
    <xf numFmtId="169" fontId="11" fillId="0" borderId="14" xfId="4" applyNumberFormat="1" applyFont="1" applyBorder="1" applyAlignment="1">
      <alignment horizontal="center" vertical="center"/>
    </xf>
    <xf numFmtId="49" fontId="11" fillId="0" borderId="14" xfId="4" applyNumberFormat="1" applyFont="1" applyBorder="1" applyAlignment="1">
      <alignment horizontal="center" vertical="center"/>
    </xf>
    <xf numFmtId="0" fontId="12" fillId="7" borderId="5" xfId="0" applyFont="1" applyFill="1" applyBorder="1" applyAlignment="1">
      <alignment vertical="center" wrapText="1"/>
    </xf>
    <xf numFmtId="169" fontId="12" fillId="7" borderId="5" xfId="0" applyNumberFormat="1" applyFont="1" applyFill="1" applyBorder="1" applyAlignment="1">
      <alignment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169" fontId="11" fillId="0" borderId="46"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46" xfId="0" applyFont="1" applyBorder="1" applyAlignment="1">
      <alignment horizontal="center" vertical="center" wrapText="1"/>
    </xf>
    <xf numFmtId="0" fontId="11" fillId="0" borderId="12" xfId="0" applyFont="1" applyBorder="1" applyAlignment="1">
      <alignment horizontal="center" vertical="center" wrapText="1"/>
    </xf>
    <xf numFmtId="49" fontId="11" fillId="0" borderId="46"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166" fontId="11" fillId="0" borderId="12" xfId="0" applyNumberFormat="1" applyFont="1" applyBorder="1" applyAlignment="1">
      <alignment horizontal="center" vertical="center" wrapText="1"/>
    </xf>
    <xf numFmtId="166" fontId="11" fillId="0" borderId="46" xfId="0" applyNumberFormat="1" applyFont="1" applyBorder="1" applyAlignment="1">
      <alignment horizontal="center" vertical="center" wrapText="1"/>
    </xf>
    <xf numFmtId="169" fontId="11" fillId="0" borderId="12" xfId="0" applyNumberFormat="1" applyFont="1" applyBorder="1" applyAlignment="1">
      <alignment horizontal="center" vertical="center"/>
    </xf>
    <xf numFmtId="169" fontId="11" fillId="0" borderId="0" xfId="0" applyNumberFormat="1" applyFont="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1" fontId="11" fillId="0" borderId="14"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1" fontId="11" fillId="0" borderId="0" xfId="0" applyNumberFormat="1" applyFont="1" applyAlignment="1">
      <alignment horizontal="center" vertical="center" wrapText="1"/>
    </xf>
    <xf numFmtId="169" fontId="11" fillId="0" borderId="14" xfId="0" applyNumberFormat="1" applyFont="1" applyBorder="1" applyAlignment="1">
      <alignment horizontal="center" vertical="center"/>
    </xf>
    <xf numFmtId="3" fontId="11" fillId="0" borderId="0" xfId="0" applyNumberFormat="1" applyFont="1" applyAlignment="1">
      <alignment horizontal="center" vertical="center" wrapText="1"/>
    </xf>
    <xf numFmtId="3" fontId="11" fillId="0" borderId="14" xfId="0" applyNumberFormat="1" applyFont="1" applyBorder="1" applyAlignment="1">
      <alignment horizontal="center" vertical="center" wrapText="1"/>
    </xf>
    <xf numFmtId="49" fontId="11" fillId="0" borderId="14" xfId="0" applyNumberFormat="1" applyFont="1" applyBorder="1" applyAlignment="1">
      <alignment horizontal="center" vertical="center"/>
    </xf>
    <xf numFmtId="169" fontId="11" fillId="0" borderId="0" xfId="0" applyNumberFormat="1" applyFont="1" applyAlignment="1">
      <alignment horizontal="center" vertical="center" wrapText="1"/>
    </xf>
    <xf numFmtId="0" fontId="11" fillId="0" borderId="0" xfId="2" applyFont="1" applyAlignment="1">
      <alignment horizontal="center" vertical="center" wrapText="1"/>
    </xf>
    <xf numFmtId="0" fontId="11" fillId="0" borderId="14" xfId="2" applyFont="1" applyBorder="1" applyAlignment="1">
      <alignment horizontal="center" vertical="center" wrapText="1"/>
    </xf>
    <xf numFmtId="169" fontId="11" fillId="0" borderId="0" xfId="6" applyNumberFormat="1" applyFont="1" applyBorder="1" applyAlignment="1">
      <alignment horizontal="center" vertical="center" wrapText="1"/>
    </xf>
    <xf numFmtId="169" fontId="11" fillId="0" borderId="14" xfId="0" applyNumberFormat="1" applyFont="1" applyBorder="1" applyAlignment="1">
      <alignment horizontal="center" vertical="center" wrapText="1"/>
    </xf>
    <xf numFmtId="0" fontId="35" fillId="0" borderId="14" xfId="0" applyFont="1" applyBorder="1" applyAlignment="1">
      <alignment horizontal="center" vertical="center" wrapText="1"/>
    </xf>
    <xf numFmtId="166" fontId="11" fillId="0" borderId="0" xfId="0" applyNumberFormat="1" applyFont="1" applyAlignment="1">
      <alignment horizontal="center" vertical="center" wrapText="1"/>
    </xf>
    <xf numFmtId="166" fontId="11" fillId="0" borderId="14" xfId="0" applyNumberFormat="1" applyFont="1" applyBorder="1" applyAlignment="1">
      <alignment horizontal="center" vertical="center" wrapText="1"/>
    </xf>
    <xf numFmtId="169" fontId="11" fillId="0" borderId="14" xfId="6" applyNumberFormat="1" applyFont="1" applyBorder="1" applyAlignment="1">
      <alignment horizontal="center" vertical="center" wrapText="1"/>
    </xf>
    <xf numFmtId="0" fontId="35" fillId="0" borderId="0" xfId="0" applyFont="1" applyAlignment="1">
      <alignment horizontal="center" vertical="center" wrapText="1"/>
    </xf>
    <xf numFmtId="0" fontId="11" fillId="0" borderId="11" xfId="0" applyFont="1" applyBorder="1" applyAlignment="1">
      <alignment horizontal="center" vertical="center" wrapText="1"/>
    </xf>
    <xf numFmtId="49" fontId="11" fillId="0" borderId="11" xfId="0" applyNumberFormat="1" applyFont="1" applyBorder="1" applyAlignment="1">
      <alignment horizontal="center" vertical="center" wrapText="1"/>
    </xf>
    <xf numFmtId="166" fontId="11" fillId="0" borderId="11" xfId="0" applyNumberFormat="1" applyFont="1" applyBorder="1" applyAlignment="1">
      <alignment horizontal="center" vertical="center" wrapText="1"/>
    </xf>
    <xf numFmtId="169" fontId="11" fillId="0" borderId="11" xfId="6"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xf>
    <xf numFmtId="0" fontId="35" fillId="0" borderId="12" xfId="0" applyFont="1" applyBorder="1" applyAlignment="1">
      <alignment horizontal="center" vertical="center" wrapText="1"/>
    </xf>
    <xf numFmtId="169" fontId="11" fillId="0" borderId="46" xfId="6" applyNumberFormat="1" applyFont="1" applyBorder="1" applyAlignment="1">
      <alignment horizontal="center" vertical="center"/>
    </xf>
    <xf numFmtId="169" fontId="11" fillId="0" borderId="21" xfId="0" applyNumberFormat="1" applyFont="1" applyBorder="1" applyAlignment="1">
      <alignment horizontal="center" vertical="center"/>
    </xf>
    <xf numFmtId="169" fontId="11" fillId="0" borderId="0" xfId="6" applyNumberFormat="1" applyFont="1" applyBorder="1" applyAlignment="1">
      <alignment horizontal="center" vertical="center"/>
    </xf>
    <xf numFmtId="169" fontId="11" fillId="0" borderId="4" xfId="0" applyNumberFormat="1" applyFont="1" applyBorder="1" applyAlignment="1">
      <alignment horizontal="center" vertical="center"/>
    </xf>
    <xf numFmtId="166" fontId="11" fillId="0" borderId="14" xfId="0" applyNumberFormat="1" applyFont="1" applyBorder="1" applyAlignment="1">
      <alignment vertical="center" wrapText="1"/>
    </xf>
    <xf numFmtId="169" fontId="11" fillId="0" borderId="4" xfId="6" applyNumberFormat="1" applyFont="1" applyBorder="1" applyAlignment="1">
      <alignment horizontal="center" vertical="center"/>
    </xf>
    <xf numFmtId="0" fontId="11" fillId="5" borderId="14" xfId="0" applyFont="1" applyFill="1" applyBorder="1" applyAlignment="1">
      <alignment horizontal="center" vertical="center" wrapText="1"/>
    </xf>
    <xf numFmtId="1" fontId="11" fillId="0" borderId="53" xfId="0" applyNumberFormat="1" applyFont="1" applyBorder="1" applyAlignment="1">
      <alignment horizontal="center" vertical="center" wrapText="1"/>
    </xf>
    <xf numFmtId="43" fontId="11" fillId="0" borderId="3" xfId="0" applyNumberFormat="1" applyFont="1" applyBorder="1" applyAlignment="1">
      <alignment horizontal="center" vertical="center" wrapText="1"/>
    </xf>
    <xf numFmtId="1" fontId="11" fillId="0" borderId="53" xfId="0" quotePrefix="1" applyNumberFormat="1" applyFont="1" applyBorder="1" applyAlignment="1">
      <alignment horizontal="center" vertical="center" wrapText="1"/>
    </xf>
    <xf numFmtId="169" fontId="11" fillId="0" borderId="4" xfId="9" applyNumberFormat="1" applyFont="1" applyBorder="1" applyAlignment="1">
      <alignment horizontal="center" vertical="center"/>
    </xf>
    <xf numFmtId="49" fontId="11" fillId="0" borderId="3" xfId="0" applyNumberFormat="1" applyFont="1" applyBorder="1" applyAlignment="1">
      <alignment horizontal="center" vertical="center" wrapText="1"/>
    </xf>
    <xf numFmtId="0" fontId="11" fillId="0" borderId="13" xfId="0" applyFont="1" applyBorder="1" applyAlignment="1">
      <alignment horizontal="center" vertical="center" wrapText="1"/>
    </xf>
    <xf numFmtId="176" fontId="11" fillId="0" borderId="0" xfId="0" applyNumberFormat="1" applyFont="1" applyAlignment="1">
      <alignment horizontal="center" vertical="center"/>
    </xf>
    <xf numFmtId="166" fontId="11" fillId="0" borderId="3" xfId="0" applyNumberFormat="1" applyFont="1" applyBorder="1" applyAlignment="1">
      <alignment horizontal="center" vertical="center" wrapText="1"/>
    </xf>
    <xf numFmtId="169" fontId="11" fillId="0" borderId="11" xfId="0" applyNumberFormat="1" applyFont="1" applyBorder="1" applyAlignment="1">
      <alignment horizontal="center" vertical="center"/>
    </xf>
    <xf numFmtId="1" fontId="11" fillId="0" borderId="11"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177" fontId="11" fillId="0" borderId="12" xfId="0" applyNumberFormat="1" applyFont="1" applyBorder="1" applyAlignment="1">
      <alignment horizontal="center" vertical="center" wrapText="1"/>
    </xf>
    <xf numFmtId="177" fontId="11" fillId="0" borderId="14" xfId="0" applyNumberFormat="1" applyFont="1" applyBorder="1" applyAlignment="1">
      <alignment horizontal="center" vertical="center" wrapText="1"/>
    </xf>
    <xf numFmtId="169" fontId="11"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169" fontId="12" fillId="7" borderId="12" xfId="0" applyNumberFormat="1" applyFont="1" applyFill="1" applyBorder="1" applyAlignment="1">
      <alignment horizontal="center" vertical="center" wrapText="1"/>
    </xf>
    <xf numFmtId="0" fontId="12" fillId="7" borderId="12" xfId="0" applyFont="1" applyFill="1" applyBorder="1" applyAlignment="1">
      <alignment vertical="center" wrapText="1"/>
    </xf>
    <xf numFmtId="169" fontId="11" fillId="0" borderId="12" xfId="0" applyNumberFormat="1" applyFont="1" applyBorder="1" applyAlignment="1">
      <alignment horizontal="center" vertical="center" wrapText="1"/>
    </xf>
    <xf numFmtId="2" fontId="11" fillId="0" borderId="12" xfId="0" applyNumberFormat="1" applyFont="1" applyBorder="1" applyAlignment="1">
      <alignment horizontal="center" vertical="center" wrapText="1"/>
    </xf>
    <xf numFmtId="166" fontId="11" fillId="0" borderId="12" xfId="0" applyNumberFormat="1" applyFont="1" applyBorder="1" applyAlignment="1">
      <alignment vertical="center" wrapText="1"/>
    </xf>
    <xf numFmtId="2" fontId="11" fillId="0" borderId="14" xfId="0" applyNumberFormat="1" applyFont="1" applyBorder="1" applyAlignment="1">
      <alignment horizontal="center" vertical="center" wrapText="1"/>
    </xf>
    <xf numFmtId="0" fontId="27" fillId="0" borderId="14" xfId="0" applyFont="1" applyBorder="1" applyAlignment="1">
      <alignment horizontal="center" vertical="center" wrapText="1"/>
    </xf>
    <xf numFmtId="0" fontId="11" fillId="0" borderId="14" xfId="0" applyFont="1" applyBorder="1" applyAlignment="1">
      <alignment vertical="center"/>
    </xf>
    <xf numFmtId="14" fontId="11" fillId="0" borderId="14" xfId="0" applyNumberFormat="1" applyFont="1" applyBorder="1" applyAlignment="1">
      <alignment horizontal="center" vertical="center" wrapText="1"/>
    </xf>
    <xf numFmtId="14" fontId="12" fillId="0" borderId="14" xfId="0" applyNumberFormat="1" applyFont="1" applyBorder="1" applyAlignment="1">
      <alignment horizontal="center" vertical="center" wrapText="1"/>
    </xf>
    <xf numFmtId="169" fontId="11" fillId="0" borderId="11" xfId="0" applyNumberFormat="1" applyFont="1" applyBorder="1" applyAlignment="1">
      <alignment horizontal="center" vertical="center" wrapText="1"/>
    </xf>
    <xf numFmtId="177" fontId="11" fillId="0" borderId="11"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166" fontId="11" fillId="0" borderId="0" xfId="0" applyNumberFormat="1" applyFont="1" applyAlignment="1">
      <alignment vertical="center" wrapText="1"/>
    </xf>
    <xf numFmtId="169" fontId="11" fillId="0" borderId="12" xfId="9" applyNumberFormat="1" applyFont="1" applyBorder="1" applyAlignment="1">
      <alignment horizontal="center" vertical="center"/>
    </xf>
    <xf numFmtId="0" fontId="11" fillId="0" borderId="0" xfId="0" applyFont="1" applyAlignment="1">
      <alignment vertical="center" wrapText="1"/>
    </xf>
    <xf numFmtId="169" fontId="11" fillId="0" borderId="14" xfId="9" applyNumberFormat="1" applyFont="1" applyBorder="1" applyAlignment="1">
      <alignment horizontal="center" vertical="center"/>
    </xf>
    <xf numFmtId="169" fontId="11" fillId="0" borderId="0" xfId="9" applyNumberFormat="1" applyFont="1" applyBorder="1" applyAlignment="1">
      <alignment horizontal="center" vertical="center"/>
    </xf>
    <xf numFmtId="169" fontId="11" fillId="0" borderId="11" xfId="9" applyNumberFormat="1" applyFont="1" applyBorder="1" applyAlignment="1">
      <alignment horizontal="center" vertical="center"/>
    </xf>
    <xf numFmtId="49" fontId="27" fillId="0" borderId="12" xfId="0" applyNumberFormat="1" applyFont="1" applyBorder="1" applyAlignment="1">
      <alignment horizontal="center" vertical="center" wrapText="1"/>
    </xf>
    <xf numFmtId="169" fontId="11" fillId="0" borderId="4" xfId="11" applyNumberFormat="1" applyFont="1" applyBorder="1" applyAlignment="1">
      <alignment horizontal="center" vertical="center"/>
    </xf>
    <xf numFmtId="49" fontId="27" fillId="0" borderId="14" xfId="0" applyNumberFormat="1" applyFont="1" applyBorder="1" applyAlignment="1">
      <alignment horizontal="center" vertical="center" wrapText="1"/>
    </xf>
    <xf numFmtId="49" fontId="27" fillId="0" borderId="14" xfId="0" quotePrefix="1" applyNumberFormat="1" applyFont="1" applyBorder="1" applyAlignment="1">
      <alignment horizontal="center" vertical="center" wrapText="1"/>
    </xf>
    <xf numFmtId="49" fontId="27" fillId="0" borderId="4" xfId="0" applyNumberFormat="1" applyFont="1" applyBorder="1" applyAlignment="1">
      <alignment horizontal="center" vertical="center" wrapText="1"/>
    </xf>
    <xf numFmtId="169" fontId="11" fillId="0" borderId="12" xfId="5" applyNumberFormat="1" applyFont="1" applyFill="1" applyBorder="1" applyAlignment="1">
      <alignment horizontal="center" vertical="center"/>
    </xf>
    <xf numFmtId="169" fontId="11" fillId="0" borderId="14" xfId="5" applyNumberFormat="1" applyFont="1" applyFill="1" applyBorder="1" applyAlignment="1">
      <alignment horizontal="center" vertical="center"/>
    </xf>
    <xf numFmtId="0" fontId="37" fillId="0" borderId="14" xfId="0" applyFont="1" applyBorder="1" applyAlignment="1">
      <alignment horizontal="center" vertical="center" wrapText="1"/>
    </xf>
    <xf numFmtId="169" fontId="11" fillId="0" borderId="14" xfId="5" applyNumberFormat="1" applyFont="1" applyBorder="1" applyAlignment="1">
      <alignment horizontal="center" vertical="center"/>
    </xf>
    <xf numFmtId="2" fontId="11" fillId="0" borderId="0" xfId="0" applyNumberFormat="1" applyFont="1" applyAlignment="1">
      <alignment horizontal="center" vertical="center" wrapText="1"/>
    </xf>
    <xf numFmtId="0" fontId="11" fillId="0" borderId="12" xfId="2" applyFont="1" applyBorder="1" applyAlignment="1">
      <alignment horizontal="center" vertical="center" wrapText="1"/>
    </xf>
    <xf numFmtId="4" fontId="11" fillId="0" borderId="0" xfId="0" applyNumberFormat="1" applyFont="1" applyAlignment="1">
      <alignment horizontal="center" vertical="center" wrapText="1"/>
    </xf>
    <xf numFmtId="2" fontId="38" fillId="0" borderId="0" xfId="0" applyNumberFormat="1" applyFont="1" applyAlignment="1">
      <alignment horizontal="center" vertical="center" wrapText="1"/>
    </xf>
    <xf numFmtId="4" fontId="11" fillId="0" borderId="14" xfId="0" applyNumberFormat="1" applyFont="1" applyBorder="1" applyAlignment="1">
      <alignment horizontal="center" vertical="center" wrapText="1"/>
    </xf>
    <xf numFmtId="0" fontId="27" fillId="0" borderId="0" xfId="0" applyFont="1" applyAlignment="1">
      <alignment horizontal="center" vertical="center" wrapText="1"/>
    </xf>
    <xf numFmtId="166" fontId="11" fillId="0" borderId="0" xfId="0" quotePrefix="1" applyNumberFormat="1" applyFont="1" applyAlignment="1">
      <alignment horizontal="center" vertical="center" wrapText="1"/>
    </xf>
    <xf numFmtId="1" fontId="11" fillId="0" borderId="14" xfId="0" quotePrefix="1" applyNumberFormat="1" applyFont="1" applyBorder="1" applyAlignment="1">
      <alignment horizontal="center" vertical="center" wrapText="1"/>
    </xf>
    <xf numFmtId="0" fontId="11" fillId="0" borderId="14" xfId="0" quotePrefix="1" applyFont="1" applyBorder="1" applyAlignment="1">
      <alignment horizontal="center" vertical="center" wrapText="1"/>
    </xf>
    <xf numFmtId="166" fontId="11" fillId="0" borderId="14" xfId="0" quotePrefix="1" applyNumberFormat="1" applyFont="1" applyBorder="1" applyAlignment="1">
      <alignment horizontal="center" vertical="center" wrapText="1"/>
    </xf>
    <xf numFmtId="1" fontId="11" fillId="0" borderId="0" xfId="0" quotePrefix="1" applyNumberFormat="1" applyFont="1" applyAlignment="1">
      <alignment horizontal="center" vertical="center" wrapText="1"/>
    </xf>
    <xf numFmtId="4" fontId="11" fillId="0" borderId="0" xfId="0" quotePrefix="1" applyNumberFormat="1" applyFont="1" applyAlignment="1">
      <alignment horizontal="center" vertical="center" wrapText="1"/>
    </xf>
    <xf numFmtId="166" fontId="11" fillId="0" borderId="11" xfId="0" quotePrefix="1" applyNumberFormat="1" applyFont="1" applyBorder="1" applyAlignment="1">
      <alignment horizontal="center" vertical="center" wrapText="1"/>
    </xf>
    <xf numFmtId="4" fontId="11" fillId="0" borderId="11" xfId="0" applyNumberFormat="1" applyFont="1" applyBorder="1" applyAlignment="1">
      <alignment horizontal="center" vertical="center" wrapText="1"/>
    </xf>
    <xf numFmtId="1" fontId="11" fillId="0" borderId="46" xfId="0" applyNumberFormat="1" applyFont="1" applyBorder="1" applyAlignment="1">
      <alignment horizontal="center" vertical="center" wrapText="1"/>
    </xf>
    <xf numFmtId="1" fontId="27" fillId="0" borderId="14" xfId="0" applyNumberFormat="1" applyFont="1" applyBorder="1" applyAlignment="1">
      <alignment horizontal="center" vertical="center" wrapText="1"/>
    </xf>
    <xf numFmtId="1" fontId="27" fillId="0" borderId="0" xfId="0" applyNumberFormat="1" applyFont="1" applyAlignment="1">
      <alignment horizontal="center" vertical="center" wrapText="1"/>
    </xf>
    <xf numFmtId="169" fontId="27" fillId="0" borderId="14" xfId="0" applyNumberFormat="1" applyFont="1" applyBorder="1" applyAlignment="1">
      <alignment horizontal="center" vertical="center"/>
    </xf>
    <xf numFmtId="166" fontId="11" fillId="0" borderId="4" xfId="0" applyNumberFormat="1" applyFont="1" applyBorder="1" applyAlignment="1">
      <alignment vertical="center"/>
    </xf>
    <xf numFmtId="4" fontId="11" fillId="0" borderId="14" xfId="0" applyNumberFormat="1" applyFont="1" applyBorder="1" applyAlignment="1">
      <alignment vertical="center"/>
    </xf>
    <xf numFmtId="4" fontId="11" fillId="0" borderId="14" xfId="0" applyNumberFormat="1" applyFont="1" applyBorder="1" applyAlignment="1">
      <alignment vertical="center" wrapText="1"/>
    </xf>
    <xf numFmtId="4" fontId="11" fillId="0" borderId="11" xfId="0" applyNumberFormat="1" applyFont="1" applyBorder="1" applyAlignment="1">
      <alignment vertical="center" wrapText="1"/>
    </xf>
    <xf numFmtId="4" fontId="11" fillId="0" borderId="76" xfId="0" applyNumberFormat="1" applyFont="1" applyBorder="1" applyAlignment="1">
      <alignment horizontal="center" vertical="center" wrapText="1"/>
    </xf>
    <xf numFmtId="4" fontId="11" fillId="0" borderId="11" xfId="0" applyNumberFormat="1" applyFont="1" applyBorder="1" applyAlignment="1">
      <alignment vertical="center"/>
    </xf>
    <xf numFmtId="169" fontId="11" fillId="0" borderId="8" xfId="0" applyNumberFormat="1" applyFont="1" applyBorder="1" applyAlignment="1">
      <alignment horizontal="center" vertical="center"/>
    </xf>
    <xf numFmtId="169" fontId="11" fillId="0" borderId="0" xfId="5" applyNumberFormat="1" applyFont="1" applyBorder="1" applyAlignment="1">
      <alignment horizontal="center" vertical="center" wrapText="1"/>
    </xf>
    <xf numFmtId="178" fontId="11" fillId="0" borderId="12" xfId="0" applyNumberFormat="1" applyFont="1" applyBorder="1" applyAlignment="1">
      <alignment horizontal="center" vertical="center" wrapText="1"/>
    </xf>
    <xf numFmtId="169" fontId="11" fillId="0" borderId="12" xfId="5" applyNumberFormat="1" applyFont="1" applyBorder="1" applyAlignment="1">
      <alignment horizontal="center" vertical="center" wrapText="1"/>
    </xf>
    <xf numFmtId="178" fontId="11" fillId="0" borderId="0" xfId="0" applyNumberFormat="1" applyFont="1" applyAlignment="1">
      <alignment horizontal="center" vertical="center" wrapText="1"/>
    </xf>
    <xf numFmtId="169" fontId="11" fillId="0" borderId="4" xfId="0" applyNumberFormat="1" applyFont="1" applyBorder="1" applyAlignment="1">
      <alignment horizontal="center" vertical="center" wrapText="1"/>
    </xf>
    <xf numFmtId="178" fontId="11" fillId="0" borderId="14" xfId="0" applyNumberFormat="1" applyFont="1" applyBorder="1" applyAlignment="1">
      <alignment horizontal="center" vertical="center" wrapText="1"/>
    </xf>
    <xf numFmtId="169" fontId="11" fillId="0" borderId="14" xfId="5" applyNumberFormat="1" applyFont="1" applyBorder="1" applyAlignment="1">
      <alignment horizontal="center" vertical="center" wrapText="1"/>
    </xf>
    <xf numFmtId="178" fontId="11" fillId="0" borderId="11" xfId="0" applyNumberFormat="1" applyFont="1" applyBorder="1" applyAlignment="1">
      <alignment horizontal="center" vertical="center" wrapText="1"/>
    </xf>
    <xf numFmtId="169" fontId="11" fillId="0" borderId="11" xfId="5" applyNumberFormat="1" applyFont="1" applyBorder="1" applyAlignment="1">
      <alignment horizontal="center" vertical="center" wrapText="1"/>
    </xf>
    <xf numFmtId="0" fontId="11" fillId="0" borderId="3" xfId="0" applyFont="1" applyBorder="1" applyAlignment="1">
      <alignment horizontal="center" vertical="center"/>
    </xf>
    <xf numFmtId="1" fontId="11" fillId="0" borderId="0" xfId="0" applyNumberFormat="1" applyFont="1" applyAlignment="1">
      <alignment horizontal="center" vertical="center"/>
    </xf>
    <xf numFmtId="1" fontId="11" fillId="0" borderId="12" xfId="0" applyNumberFormat="1" applyFont="1" applyBorder="1" applyAlignment="1">
      <alignment horizontal="center" vertical="center"/>
    </xf>
    <xf numFmtId="1" fontId="11" fillId="0" borderId="14" xfId="0" applyNumberFormat="1" applyFont="1" applyBorder="1" applyAlignment="1">
      <alignment horizontal="center" vertical="center"/>
    </xf>
    <xf numFmtId="166" fontId="11" fillId="0" borderId="0" xfId="0" applyNumberFormat="1" applyFont="1" applyAlignment="1">
      <alignment horizontal="center" vertical="center"/>
    </xf>
    <xf numFmtId="166" fontId="11" fillId="0" borderId="14" xfId="0" applyNumberFormat="1" applyFont="1" applyBorder="1" applyAlignment="1">
      <alignment horizontal="center" vertical="center"/>
    </xf>
    <xf numFmtId="0" fontId="11" fillId="0" borderId="11" xfId="0" applyFont="1" applyBorder="1" applyAlignment="1">
      <alignment horizontal="center" vertical="center"/>
    </xf>
    <xf numFmtId="169" fontId="12" fillId="7" borderId="11" xfId="0" applyNumberFormat="1" applyFont="1" applyFill="1" applyBorder="1" applyAlignment="1">
      <alignment horizontal="center" vertical="center" wrapText="1"/>
    </xf>
    <xf numFmtId="169" fontId="10" fillId="7" borderId="5" xfId="0" applyNumberFormat="1" applyFont="1" applyFill="1" applyBorder="1" applyAlignment="1">
      <alignment horizontal="center" vertical="center"/>
    </xf>
    <xf numFmtId="0" fontId="18" fillId="7" borderId="20" xfId="0" applyFont="1" applyFill="1" applyBorder="1" applyAlignment="1">
      <alignment horizontal="center" vertical="center"/>
    </xf>
    <xf numFmtId="0" fontId="18" fillId="7" borderId="20" xfId="0" applyFont="1" applyFill="1" applyBorder="1" applyAlignment="1">
      <alignment horizontal="center" vertical="center" wrapText="1"/>
    </xf>
    <xf numFmtId="166" fontId="18" fillId="7" borderId="20" xfId="0" applyNumberFormat="1" applyFont="1" applyFill="1" applyBorder="1" applyAlignment="1">
      <alignment horizontal="center" vertical="center" wrapText="1"/>
    </xf>
    <xf numFmtId="0" fontId="18" fillId="0" borderId="0" xfId="0" applyFont="1" applyAlignment="1">
      <alignment vertical="center"/>
    </xf>
    <xf numFmtId="0" fontId="8" fillId="0" borderId="28" xfId="0" applyFont="1" applyBorder="1" applyAlignment="1">
      <alignment horizontal="left"/>
    </xf>
    <xf numFmtId="0" fontId="12" fillId="0" borderId="28" xfId="0" applyFont="1" applyBorder="1" applyAlignment="1">
      <alignment horizontal="center"/>
    </xf>
    <xf numFmtId="0" fontId="12" fillId="0" borderId="28" xfId="2" applyFont="1" applyBorder="1" applyAlignment="1">
      <alignment vertical="center"/>
    </xf>
    <xf numFmtId="49" fontId="16" fillId="7" borderId="28" xfId="3" applyFont="1" applyFill="1" applyBorder="1" applyAlignment="1">
      <alignment horizontal="center" textRotation="90" wrapText="1"/>
    </xf>
    <xf numFmtId="49" fontId="14" fillId="7" borderId="28" xfId="3" applyFont="1" applyFill="1" applyBorder="1" applyAlignment="1">
      <alignment horizontal="center" textRotation="90" wrapText="1"/>
    </xf>
    <xf numFmtId="49" fontId="12" fillId="7" borderId="28" xfId="3" applyFont="1" applyFill="1" applyBorder="1" applyAlignment="1">
      <alignment horizontal="center" textRotation="90" wrapText="1"/>
    </xf>
    <xf numFmtId="4" fontId="11" fillId="0" borderId="28" xfId="0" applyNumberFormat="1" applyFont="1" applyBorder="1"/>
    <xf numFmtId="4" fontId="11" fillId="0" borderId="28" xfId="0" applyNumberFormat="1" applyFont="1" applyBorder="1" applyAlignment="1">
      <alignment horizontal="left"/>
    </xf>
    <xf numFmtId="4" fontId="11" fillId="3" borderId="28" xfId="0" applyNumberFormat="1" applyFont="1" applyFill="1" applyBorder="1" applyAlignment="1">
      <alignment horizontal="right"/>
    </xf>
    <xf numFmtId="4" fontId="11" fillId="3" borderId="28" xfId="0" applyNumberFormat="1" applyFont="1" applyFill="1" applyBorder="1"/>
    <xf numFmtId="4" fontId="12" fillId="3" borderId="28" xfId="0" applyNumberFormat="1" applyFont="1" applyFill="1" applyBorder="1"/>
    <xf numFmtId="4" fontId="11" fillId="0" borderId="28" xfId="0" applyNumberFormat="1" applyFont="1" applyBorder="1" applyAlignment="1">
      <alignment horizontal="right"/>
    </xf>
    <xf numFmtId="2" fontId="11" fillId="0" borderId="28" xfId="0" applyNumberFormat="1" applyFont="1" applyBorder="1"/>
    <xf numFmtId="2" fontId="11" fillId="0" borderId="0" xfId="0" applyNumberFormat="1" applyFont="1"/>
    <xf numFmtId="4" fontId="1" fillId="0" borderId="28" xfId="0" applyNumberFormat="1" applyFont="1" applyBorder="1"/>
    <xf numFmtId="4" fontId="11" fillId="0" borderId="28" xfId="0" applyNumberFormat="1" applyFont="1" applyBorder="1" applyAlignment="1">
      <alignment horizontal="center"/>
    </xf>
    <xf numFmtId="0" fontId="12" fillId="7" borderId="57" xfId="0" applyFont="1" applyFill="1" applyBorder="1" applyAlignment="1">
      <alignment horizontal="center" vertical="center" wrapText="1"/>
    </xf>
    <xf numFmtId="0" fontId="12" fillId="7" borderId="5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47" xfId="0" applyFont="1" applyFill="1" applyBorder="1" applyAlignment="1">
      <alignment horizontal="center" vertical="center" wrapText="1"/>
    </xf>
    <xf numFmtId="166" fontId="12" fillId="7" borderId="47" xfId="0" applyNumberFormat="1" applyFont="1" applyFill="1" applyBorder="1" applyAlignment="1">
      <alignment horizontal="center" vertical="center" textRotation="90" wrapText="1"/>
    </xf>
    <xf numFmtId="166" fontId="12" fillId="7" borderId="52" xfId="0" applyNumberFormat="1" applyFont="1" applyFill="1" applyBorder="1" applyAlignment="1">
      <alignment horizontal="center" vertical="center" textRotation="90" wrapText="1"/>
    </xf>
    <xf numFmtId="0" fontId="11" fillId="0" borderId="28" xfId="0" applyFont="1" applyBorder="1"/>
    <xf numFmtId="0" fontId="11" fillId="0" borderId="28" xfId="0" applyFont="1" applyBorder="1" applyAlignment="1">
      <alignment horizontal="center"/>
    </xf>
    <xf numFmtId="169" fontId="11" fillId="0" borderId="28" xfId="0" applyNumberFormat="1" applyFont="1" applyBorder="1" applyAlignment="1">
      <alignment horizontal="center" vertical="top" wrapText="1"/>
    </xf>
    <xf numFmtId="14" fontId="11" fillId="0" borderId="28" xfId="0" applyNumberFormat="1" applyFont="1" applyBorder="1" applyAlignment="1">
      <alignment horizontal="center"/>
    </xf>
    <xf numFmtId="0" fontId="1" fillId="0" borderId="28" xfId="8" applyFill="1" applyBorder="1" applyAlignment="1">
      <alignment horizontal="left"/>
    </xf>
    <xf numFmtId="0" fontId="11" fillId="0" borderId="28" xfId="0" applyFont="1" applyBorder="1" applyAlignment="1">
      <alignment horizontal="center" wrapText="1"/>
    </xf>
    <xf numFmtId="0" fontId="11" fillId="0" borderId="28" xfId="0" applyFont="1" applyBorder="1" applyAlignment="1">
      <alignment horizontal="center" vertical="center"/>
    </xf>
    <xf numFmtId="0" fontId="11" fillId="0" borderId="28" xfId="11" applyFont="1" applyBorder="1" applyAlignment="1">
      <alignment horizontal="center"/>
    </xf>
    <xf numFmtId="0" fontId="40" fillId="0" borderId="28" xfId="0" applyFont="1" applyBorder="1" applyAlignment="1">
      <alignment vertical="center" wrapText="1"/>
    </xf>
    <xf numFmtId="0" fontId="40" fillId="0" borderId="28" xfId="0" applyFont="1" applyBorder="1" applyAlignment="1">
      <alignment horizontal="center" vertical="center" wrapText="1"/>
    </xf>
    <xf numFmtId="169" fontId="40" fillId="0" borderId="28" xfId="0" applyNumberFormat="1" applyFont="1" applyBorder="1" applyAlignment="1">
      <alignment horizontal="center" vertical="center" wrapText="1"/>
    </xf>
    <xf numFmtId="0" fontId="11" fillId="0" borderId="28" xfId="0" applyFont="1" applyBorder="1" applyAlignment="1">
      <alignment vertical="top"/>
    </xf>
    <xf numFmtId="0" fontId="11" fillId="0" borderId="28" xfId="2" applyFont="1" applyBorder="1" applyAlignment="1">
      <alignment vertical="top" wrapText="1"/>
    </xf>
    <xf numFmtId="0" fontId="11" fillId="0" borderId="28" xfId="2" applyFont="1" applyBorder="1" applyAlignment="1">
      <alignment horizontal="center" vertical="top"/>
    </xf>
    <xf numFmtId="0" fontId="11" fillId="0" borderId="28" xfId="0" applyFont="1" applyBorder="1" applyAlignment="1">
      <alignment horizontal="center" vertical="top"/>
    </xf>
    <xf numFmtId="169" fontId="11" fillId="0" borderId="28" xfId="2" applyNumberFormat="1" applyFont="1" applyBorder="1" applyAlignment="1">
      <alignment horizontal="center" vertical="top"/>
    </xf>
    <xf numFmtId="0" fontId="11" fillId="0" borderId="28" xfId="0" applyFont="1" applyBorder="1" applyAlignment="1">
      <alignment vertical="top" wrapText="1"/>
    </xf>
    <xf numFmtId="169" fontId="11" fillId="0" borderId="28" xfId="0" applyNumberFormat="1" applyFont="1" applyBorder="1" applyAlignment="1">
      <alignment horizontal="center" vertical="top"/>
    </xf>
    <xf numFmtId="179" fontId="11" fillId="0" borderId="28" xfId="2" applyNumberFormat="1" applyFont="1" applyBorder="1" applyAlignment="1">
      <alignment horizontal="center" vertical="center"/>
    </xf>
    <xf numFmtId="0" fontId="11" fillId="0" borderId="48" xfId="0" applyFont="1" applyBorder="1" applyAlignment="1">
      <alignment horizontal="center" vertical="top"/>
    </xf>
    <xf numFmtId="0" fontId="11" fillId="0" borderId="28" xfId="2" applyFont="1" applyBorder="1" applyAlignment="1">
      <alignment vertical="center"/>
    </xf>
    <xf numFmtId="0" fontId="11" fillId="0" borderId="28" xfId="0" applyFont="1" applyBorder="1" applyAlignment="1">
      <alignment wrapText="1"/>
    </xf>
    <xf numFmtId="0" fontId="12" fillId="7" borderId="12" xfId="0" applyFont="1" applyFill="1" applyBorder="1" applyAlignment="1">
      <alignment horizontal="center" vertical="center" wrapText="1"/>
    </xf>
    <xf numFmtId="0" fontId="11" fillId="0" borderId="28" xfId="2" applyFont="1" applyBorder="1" applyAlignment="1">
      <alignment horizontal="center" vertical="center" wrapText="1"/>
    </xf>
    <xf numFmtId="0" fontId="11" fillId="0" borderId="28" xfId="2" applyFont="1" applyBorder="1" applyAlignment="1">
      <alignment horizontal="center" vertical="center"/>
    </xf>
    <xf numFmtId="0" fontId="4" fillId="0" borderId="28" xfId="2" applyFont="1" applyBorder="1" applyAlignment="1">
      <alignment horizontal="center" vertical="center"/>
    </xf>
    <xf numFmtId="0" fontId="4" fillId="0" borderId="28" xfId="2" applyFont="1" applyBorder="1" applyAlignment="1">
      <alignment horizontal="center" vertical="center" wrapText="1"/>
    </xf>
    <xf numFmtId="0" fontId="4" fillId="0" borderId="28" xfId="2" applyFont="1" applyBorder="1" applyAlignment="1">
      <alignment horizontal="left" vertical="center"/>
    </xf>
    <xf numFmtId="4" fontId="4" fillId="0" borderId="28" xfId="2" applyNumberFormat="1" applyFont="1" applyBorder="1" applyAlignment="1">
      <alignment vertical="center"/>
    </xf>
    <xf numFmtId="0" fontId="12" fillId="7" borderId="12" xfId="2" applyFont="1" applyFill="1" applyBorder="1" applyAlignment="1">
      <alignment horizontal="center" vertical="center"/>
    </xf>
    <xf numFmtId="0" fontId="12" fillId="7" borderId="21" xfId="0" applyFont="1" applyFill="1" applyBorder="1" applyAlignment="1">
      <alignment horizontal="center" vertical="center" wrapText="1"/>
    </xf>
    <xf numFmtId="0" fontId="11" fillId="0" borderId="14" xfId="2" applyFont="1" applyFill="1" applyBorder="1" applyAlignment="1">
      <alignment horizontal="left" vertical="center"/>
    </xf>
    <xf numFmtId="4" fontId="11" fillId="0" borderId="0" xfId="2" applyNumberFormat="1" applyFont="1" applyFill="1" applyAlignment="1">
      <alignment vertical="center"/>
    </xf>
    <xf numFmtId="4" fontId="27" fillId="0" borderId="72" xfId="0" applyNumberFormat="1" applyFont="1" applyFill="1" applyBorder="1" applyAlignment="1">
      <alignment horizontal="right" wrapText="1"/>
    </xf>
    <xf numFmtId="4" fontId="11" fillId="0" borderId="52" xfId="5" applyNumberFormat="1" applyFont="1" applyFill="1" applyBorder="1"/>
    <xf numFmtId="3" fontId="11" fillId="0" borderId="0" xfId="0" applyNumberFormat="1" applyFont="1" applyFill="1"/>
    <xf numFmtId="4" fontId="27" fillId="0" borderId="73" xfId="0" applyNumberFormat="1" applyFont="1" applyFill="1" applyBorder="1" applyAlignment="1">
      <alignment horizontal="right" wrapText="1"/>
    </xf>
    <xf numFmtId="4" fontId="11" fillId="0" borderId="54" xfId="5" applyNumberFormat="1" applyFont="1" applyFill="1" applyBorder="1"/>
    <xf numFmtId="4" fontId="11" fillId="0" borderId="54" xfId="2" applyNumberFormat="1" applyFont="1" applyFill="1" applyBorder="1" applyAlignment="1">
      <alignment vertical="center"/>
    </xf>
    <xf numFmtId="0" fontId="12" fillId="0" borderId="54" xfId="2" applyFont="1" applyFill="1" applyBorder="1" applyAlignment="1">
      <alignment vertical="center"/>
    </xf>
    <xf numFmtId="0" fontId="12" fillId="0" borderId="4" xfId="2" applyFont="1" applyFill="1" applyBorder="1" applyAlignment="1">
      <alignment vertical="center"/>
    </xf>
    <xf numFmtId="4" fontId="11" fillId="0" borderId="0" xfId="0" applyNumberFormat="1" applyFont="1" applyFill="1"/>
    <xf numFmtId="4" fontId="11" fillId="0" borderId="54" xfId="0" applyNumberFormat="1" applyFont="1" applyFill="1" applyBorder="1"/>
    <xf numFmtId="0" fontId="11" fillId="0" borderId="0" xfId="0" applyFont="1" applyFill="1"/>
    <xf numFmtId="0" fontId="12" fillId="0" borderId="0" xfId="2" applyFont="1" applyFill="1" applyAlignment="1">
      <alignment vertical="center"/>
    </xf>
    <xf numFmtId="0" fontId="11" fillId="0" borderId="14" xfId="2" applyFont="1" applyBorder="1" applyAlignment="1">
      <alignment horizontal="left" vertical="center" wrapText="1"/>
    </xf>
    <xf numFmtId="0" fontId="11" fillId="0" borderId="4" xfId="2" applyFont="1" applyBorder="1" applyAlignment="1">
      <alignment horizontal="center" vertical="center" wrapText="1"/>
    </xf>
    <xf numFmtId="4" fontId="11" fillId="0" borderId="4" xfId="2" applyNumberFormat="1" applyFont="1" applyBorder="1" applyAlignment="1">
      <alignment horizontal="right" vertical="center" wrapText="1"/>
    </xf>
    <xf numFmtId="173" fontId="11" fillId="0" borderId="4" xfId="2" applyNumberFormat="1" applyFont="1" applyBorder="1" applyAlignment="1">
      <alignment horizontal="center" vertical="center" wrapText="1"/>
    </xf>
    <xf numFmtId="0" fontId="11" fillId="0" borderId="4" xfId="2" applyFont="1" applyBorder="1" applyAlignment="1">
      <alignment horizontal="left" vertical="center" wrapText="1"/>
    </xf>
    <xf numFmtId="0" fontId="11" fillId="0" borderId="4" xfId="2" applyFont="1" applyBorder="1" applyAlignment="1">
      <alignment horizontal="center" vertical="center"/>
    </xf>
    <xf numFmtId="4" fontId="11" fillId="0" borderId="4" xfId="2" applyNumberFormat="1" applyFont="1" applyBorder="1" applyAlignment="1">
      <alignment horizontal="right" vertical="center"/>
    </xf>
    <xf numFmtId="173" fontId="11" fillId="0" borderId="4" xfId="2" applyNumberFormat="1" applyFont="1" applyBorder="1" applyAlignment="1">
      <alignment horizontal="center" vertical="center"/>
    </xf>
    <xf numFmtId="0" fontId="11" fillId="0" borderId="4" xfId="2" applyFont="1" applyBorder="1" applyAlignment="1">
      <alignment horizontal="left" vertical="center"/>
    </xf>
    <xf numFmtId="14" fontId="11" fillId="0" borderId="4" xfId="2" applyNumberFormat="1" applyFont="1" applyBorder="1" applyAlignment="1">
      <alignment horizontal="center" vertical="center"/>
    </xf>
    <xf numFmtId="14" fontId="11" fillId="0" borderId="4" xfId="2" quotePrefix="1" applyNumberFormat="1" applyFont="1" applyBorder="1" applyAlignment="1">
      <alignment horizontal="center" vertical="center"/>
    </xf>
    <xf numFmtId="0" fontId="11" fillId="0" borderId="4" xfId="5" applyNumberFormat="1" applyFont="1" applyFill="1" applyBorder="1" applyAlignment="1">
      <alignment horizontal="center" vertical="center" wrapText="1"/>
    </xf>
    <xf numFmtId="14" fontId="11" fillId="0" borderId="4" xfId="2" applyNumberFormat="1" applyFont="1" applyBorder="1" applyAlignment="1">
      <alignment horizontal="center" vertical="center" wrapText="1"/>
    </xf>
    <xf numFmtId="0" fontId="11" fillId="0" borderId="4" xfId="2" applyFont="1" applyBorder="1" applyAlignment="1">
      <alignment vertical="center" wrapText="1"/>
    </xf>
    <xf numFmtId="173" fontId="11" fillId="0" borderId="4" xfId="2" quotePrefix="1" applyNumberFormat="1" applyFont="1" applyBorder="1" applyAlignment="1">
      <alignment horizontal="center" vertical="center"/>
    </xf>
    <xf numFmtId="14" fontId="11" fillId="0" borderId="14" xfId="2" applyNumberFormat="1" applyFont="1" applyBorder="1" applyAlignment="1">
      <alignment horizontal="center" vertical="center"/>
    </xf>
    <xf numFmtId="0" fontId="11" fillId="0" borderId="14" xfId="2" quotePrefix="1" applyFont="1" applyBorder="1" applyAlignment="1">
      <alignment horizontal="center" vertical="center"/>
    </xf>
    <xf numFmtId="173" fontId="11" fillId="0" borderId="4" xfId="2" quotePrefix="1" applyNumberFormat="1" applyFont="1" applyBorder="1" applyAlignment="1">
      <alignment horizontal="center" vertical="center" wrapText="1"/>
    </xf>
    <xf numFmtId="0" fontId="11" fillId="0" borderId="11" xfId="2" applyFont="1" applyBorder="1" applyAlignment="1">
      <alignment horizontal="center" vertical="center"/>
    </xf>
    <xf numFmtId="3" fontId="11" fillId="0" borderId="11" xfId="0" applyNumberFormat="1" applyFont="1" applyBorder="1" applyAlignment="1">
      <alignment horizontal="center"/>
    </xf>
    <xf numFmtId="3" fontId="11" fillId="0" borderId="10" xfId="0" applyNumberFormat="1" applyFont="1" applyBorder="1"/>
    <xf numFmtId="0" fontId="11" fillId="0" borderId="10" xfId="0" applyFont="1" applyBorder="1"/>
    <xf numFmtId="167" fontId="11" fillId="0" borderId="10" xfId="4" applyNumberFormat="1" applyFont="1" applyBorder="1" applyAlignment="1">
      <alignment horizontal="center"/>
    </xf>
    <xf numFmtId="167" fontId="11" fillId="0" borderId="76" xfId="4" applyNumberFormat="1" applyFont="1" applyBorder="1" applyAlignment="1">
      <alignment horizontal="center"/>
    </xf>
    <xf numFmtId="168" fontId="11" fillId="0" borderId="9" xfId="9" applyNumberFormat="1" applyFont="1" applyBorder="1"/>
    <xf numFmtId="3" fontId="11" fillId="0" borderId="8" xfId="0" applyNumberFormat="1" applyFont="1" applyBorder="1"/>
    <xf numFmtId="3" fontId="11" fillId="0" borderId="76" xfId="0" applyNumberFormat="1" applyFont="1" applyBorder="1"/>
    <xf numFmtId="3" fontId="11" fillId="0" borderId="9" xfId="0" applyNumberFormat="1" applyFont="1" applyBorder="1"/>
    <xf numFmtId="3" fontId="11" fillId="0" borderId="11" xfId="0" applyNumberFormat="1" applyFont="1" applyBorder="1"/>
    <xf numFmtId="0" fontId="11" fillId="0" borderId="11" xfId="2" applyFont="1" applyBorder="1" applyAlignment="1">
      <alignment horizontal="left" vertical="center" wrapText="1"/>
    </xf>
    <xf numFmtId="0" fontId="11" fillId="0" borderId="8" xfId="2" applyFont="1" applyBorder="1" applyAlignment="1">
      <alignment horizontal="center" vertical="center"/>
    </xf>
    <xf numFmtId="0" fontId="11" fillId="0" borderId="8" xfId="2" applyFont="1" applyBorder="1" applyAlignment="1">
      <alignment horizontal="center" vertical="center" wrapText="1"/>
    </xf>
    <xf numFmtId="4" fontId="11" fillId="0" borderId="8" xfId="2" applyNumberFormat="1" applyFont="1" applyBorder="1" applyAlignment="1">
      <alignment horizontal="right" vertical="center"/>
    </xf>
    <xf numFmtId="14" fontId="11" fillId="0" borderId="8" xfId="2" applyNumberFormat="1" applyFont="1" applyBorder="1" applyAlignment="1">
      <alignment horizontal="center" vertical="center"/>
    </xf>
    <xf numFmtId="0" fontId="11" fillId="0" borderId="8" xfId="2" applyFont="1" applyBorder="1" applyAlignment="1">
      <alignment vertical="center"/>
    </xf>
    <xf numFmtId="14" fontId="11" fillId="0" borderId="8" xfId="2" quotePrefix="1" applyNumberFormat="1" applyFont="1" applyBorder="1" applyAlignment="1">
      <alignment horizontal="center" vertical="center"/>
    </xf>
    <xf numFmtId="0" fontId="11" fillId="0" borderId="11" xfId="2" applyFont="1" applyBorder="1" applyAlignment="1">
      <alignment horizontal="center" vertical="center" wrapText="1"/>
    </xf>
    <xf numFmtId="0" fontId="12" fillId="0" borderId="11" xfId="2" applyFont="1" applyBorder="1" applyAlignment="1">
      <alignment horizontal="center" vertical="center" wrapText="1"/>
    </xf>
    <xf numFmtId="0" fontId="11" fillId="0" borderId="22" xfId="2" applyFont="1" applyBorder="1" applyAlignment="1">
      <alignment horizontal="left" vertical="top" wrapText="1"/>
    </xf>
    <xf numFmtId="0" fontId="11" fillId="0" borderId="23" xfId="2" applyFont="1" applyBorder="1" applyAlignment="1">
      <alignment horizontal="center" vertical="center" wrapText="1"/>
    </xf>
    <xf numFmtId="0" fontId="11" fillId="0" borderId="23" xfId="2" applyFont="1" applyBorder="1" applyAlignment="1">
      <alignment horizontal="center" vertical="center"/>
    </xf>
    <xf numFmtId="49" fontId="3" fillId="0" borderId="23" xfId="0" applyNumberFormat="1" applyFont="1" applyBorder="1" applyAlignment="1">
      <alignment horizontal="center" wrapText="1"/>
    </xf>
    <xf numFmtId="165" fontId="11" fillId="0" borderId="23" xfId="6" applyFont="1" applyBorder="1" applyAlignment="1">
      <alignment horizontal="right" vertical="center"/>
    </xf>
    <xf numFmtId="14" fontId="3" fillId="0" borderId="23" xfId="0" applyNumberFormat="1" applyFont="1" applyBorder="1" applyAlignment="1">
      <alignment horizontal="center" vertical="center" wrapText="1"/>
    </xf>
    <xf numFmtId="14" fontId="11" fillId="0" borderId="23" xfId="2" applyNumberFormat="1" applyFont="1" applyBorder="1" applyAlignment="1">
      <alignment horizontal="center" vertical="center"/>
    </xf>
    <xf numFmtId="0" fontId="11" fillId="0" borderId="25" xfId="2" applyFont="1" applyBorder="1" applyAlignment="1">
      <alignment horizontal="center" vertical="center"/>
    </xf>
    <xf numFmtId="0" fontId="11" fillId="0" borderId="37" xfId="2" applyFont="1" applyBorder="1" applyAlignment="1">
      <alignment horizontal="left" vertical="center" wrapText="1"/>
    </xf>
    <xf numFmtId="0" fontId="11" fillId="0" borderId="39" xfId="2" applyFont="1" applyBorder="1" applyAlignment="1">
      <alignment horizontal="center" vertical="center" wrapText="1"/>
    </xf>
    <xf numFmtId="0" fontId="11" fillId="0" borderId="39" xfId="2" applyFont="1" applyBorder="1" applyAlignment="1">
      <alignment horizontal="center" vertical="center"/>
    </xf>
    <xf numFmtId="49" fontId="3" fillId="0" borderId="39" xfId="0" applyNumberFormat="1" applyFont="1" applyBorder="1" applyAlignment="1">
      <alignment horizontal="center" wrapText="1"/>
    </xf>
    <xf numFmtId="165" fontId="11" fillId="0" borderId="39" xfId="6" applyFont="1" applyBorder="1" applyAlignment="1">
      <alignment horizontal="right" vertical="center"/>
    </xf>
    <xf numFmtId="14" fontId="3" fillId="0" borderId="39" xfId="0" applyNumberFormat="1" applyFont="1" applyBorder="1" applyAlignment="1">
      <alignment horizontal="center" vertical="center" wrapText="1"/>
    </xf>
    <xf numFmtId="14" fontId="11" fillId="0" borderId="39" xfId="2" applyNumberFormat="1" applyFont="1" applyBorder="1" applyAlignment="1">
      <alignment horizontal="center" vertical="center"/>
    </xf>
    <xf numFmtId="0" fontId="11" fillId="0" borderId="38" xfId="2" applyFont="1" applyBorder="1" applyAlignment="1">
      <alignment horizontal="center" vertical="center"/>
    </xf>
    <xf numFmtId="0" fontId="11" fillId="0" borderId="22" xfId="2" applyFont="1" applyBorder="1" applyAlignment="1">
      <alignment horizontal="justify" vertical="center"/>
    </xf>
    <xf numFmtId="49" fontId="11" fillId="0" borderId="23" xfId="2" applyNumberFormat="1" applyFont="1" applyBorder="1" applyAlignment="1">
      <alignment horizontal="center" vertical="center"/>
    </xf>
    <xf numFmtId="169" fontId="11" fillId="0" borderId="23" xfId="2" applyNumberFormat="1" applyFont="1" applyBorder="1" applyAlignment="1">
      <alignment horizontal="right" vertical="center"/>
    </xf>
    <xf numFmtId="0" fontId="11" fillId="0" borderId="37" xfId="2" applyFont="1" applyBorder="1" applyAlignment="1">
      <alignment horizontal="justify" vertical="center"/>
    </xf>
    <xf numFmtId="49" fontId="11" fillId="0" borderId="39" xfId="2" applyNumberFormat="1" applyFont="1" applyBorder="1" applyAlignment="1">
      <alignment horizontal="center" vertical="center"/>
    </xf>
    <xf numFmtId="169" fontId="11" fillId="0" borderId="39" xfId="2" applyNumberFormat="1" applyFont="1" applyBorder="1" applyAlignment="1">
      <alignment horizontal="right" vertical="center"/>
    </xf>
    <xf numFmtId="0" fontId="11" fillId="0" borderId="22" xfId="2" applyFont="1" applyBorder="1" applyAlignment="1">
      <alignment horizontal="left" vertical="center" wrapText="1"/>
    </xf>
    <xf numFmtId="4" fontId="11" fillId="0" borderId="23" xfId="2" applyNumberFormat="1" applyFont="1" applyBorder="1" applyAlignment="1">
      <alignment horizontal="right" vertical="center" wrapText="1"/>
    </xf>
    <xf numFmtId="14" fontId="11" fillId="0" borderId="23" xfId="2" applyNumberFormat="1" applyFont="1" applyBorder="1" applyAlignment="1">
      <alignment horizontal="center" vertical="center" wrapText="1"/>
    </xf>
    <xf numFmtId="4" fontId="11" fillId="0" borderId="39" xfId="2" applyNumberFormat="1" applyFont="1" applyBorder="1" applyAlignment="1">
      <alignment horizontal="right" vertical="center" wrapText="1"/>
    </xf>
    <xf numFmtId="14" fontId="11" fillId="0" borderId="39" xfId="2" applyNumberFormat="1" applyFont="1" applyBorder="1" applyAlignment="1">
      <alignment horizontal="center" vertical="center" wrapText="1"/>
    </xf>
    <xf numFmtId="0" fontId="11" fillId="0" borderId="23" xfId="2" applyFont="1" applyBorder="1" applyAlignment="1">
      <alignment vertical="center" wrapText="1"/>
    </xf>
    <xf numFmtId="0" fontId="11" fillId="0" borderId="25" xfId="2" applyFont="1" applyBorder="1" applyAlignment="1">
      <alignment horizontal="center" vertical="center" wrapText="1"/>
    </xf>
    <xf numFmtId="0" fontId="11" fillId="0" borderId="39" xfId="2" applyFont="1" applyBorder="1" applyAlignment="1">
      <alignment vertical="center" wrapText="1"/>
    </xf>
    <xf numFmtId="0" fontId="11" fillId="0" borderId="38" xfId="2" applyFont="1" applyBorder="1" applyAlignment="1">
      <alignment horizontal="center" vertical="center" wrapText="1"/>
    </xf>
    <xf numFmtId="44" fontId="11" fillId="0" borderId="23" xfId="2" applyNumberFormat="1" applyFont="1" applyBorder="1" applyAlignment="1">
      <alignment horizontal="left" vertical="center"/>
    </xf>
    <xf numFmtId="44" fontId="11" fillId="0" borderId="23" xfId="2" applyNumberFormat="1" applyFont="1" applyBorder="1" applyAlignment="1">
      <alignment horizontal="right" vertical="center"/>
    </xf>
    <xf numFmtId="0" fontId="11" fillId="0" borderId="23" xfId="2" applyFont="1" applyBorder="1" applyAlignment="1">
      <alignment horizontal="justify" vertical="center"/>
    </xf>
    <xf numFmtId="0" fontId="11" fillId="0" borderId="25" xfId="0" applyFont="1" applyBorder="1" applyAlignment="1">
      <alignment horizontal="center"/>
    </xf>
    <xf numFmtId="44" fontId="11" fillId="0" borderId="39" xfId="2" applyNumberFormat="1" applyFont="1" applyBorder="1" applyAlignment="1">
      <alignment horizontal="left" vertical="center"/>
    </xf>
    <xf numFmtId="44" fontId="11" fillId="0" borderId="39" xfId="2" applyNumberFormat="1" applyFont="1" applyBorder="1" applyAlignment="1">
      <alignment horizontal="right" vertical="center"/>
    </xf>
    <xf numFmtId="0" fontId="11" fillId="0" borderId="39" xfId="2" applyFont="1" applyBorder="1" applyAlignment="1">
      <alignment horizontal="justify" vertical="center"/>
    </xf>
    <xf numFmtId="0" fontId="11" fillId="0" borderId="38" xfId="0" applyFont="1" applyBorder="1" applyAlignment="1">
      <alignment horizontal="center"/>
    </xf>
    <xf numFmtId="0" fontId="12" fillId="0" borderId="25" xfId="2" applyFont="1" applyBorder="1" applyAlignment="1">
      <alignment horizontal="center" vertical="center"/>
    </xf>
    <xf numFmtId="0" fontId="12" fillId="0" borderId="38" xfId="2" applyFont="1" applyBorder="1" applyAlignment="1">
      <alignment horizontal="center" vertical="center"/>
    </xf>
    <xf numFmtId="0" fontId="6" fillId="0" borderId="22" xfId="0" applyFont="1" applyBorder="1" applyAlignment="1">
      <alignment vertical="center" wrapText="1"/>
    </xf>
    <xf numFmtId="4" fontId="11" fillId="0" borderId="23" xfId="2" applyNumberFormat="1" applyFont="1" applyBorder="1" applyAlignment="1">
      <alignment horizontal="right" vertical="center"/>
    </xf>
    <xf numFmtId="0" fontId="6" fillId="0" borderId="23" xfId="0" applyFont="1" applyBorder="1" applyAlignment="1">
      <alignment horizontal="center" vertical="center" wrapText="1"/>
    </xf>
    <xf numFmtId="0" fontId="6" fillId="0" borderId="37" xfId="0" applyFont="1" applyBorder="1" applyAlignment="1">
      <alignment vertical="center" wrapText="1"/>
    </xf>
    <xf numFmtId="4" fontId="11" fillId="0" borderId="39" xfId="2" applyNumberFormat="1" applyFont="1" applyBorder="1" applyAlignment="1">
      <alignment horizontal="right" vertical="center"/>
    </xf>
    <xf numFmtId="0" fontId="6" fillId="0" borderId="39" xfId="0" applyFont="1" applyBorder="1" applyAlignment="1">
      <alignment horizontal="center" vertical="center" wrapText="1"/>
    </xf>
    <xf numFmtId="0" fontId="8" fillId="10" borderId="0" xfId="2" applyFont="1" applyFill="1" applyBorder="1" applyAlignment="1">
      <alignment vertical="center"/>
    </xf>
    <xf numFmtId="0" fontId="4" fillId="0" borderId="26" xfId="2" applyFont="1" applyBorder="1" applyAlignment="1">
      <alignment vertical="center" wrapText="1"/>
    </xf>
    <xf numFmtId="0" fontId="4" fillId="0" borderId="26" xfId="2" applyFont="1" applyBorder="1" applyAlignment="1">
      <alignment vertical="justify" wrapText="1"/>
    </xf>
    <xf numFmtId="0" fontId="4" fillId="0" borderId="14" xfId="2" applyFont="1" applyBorder="1" applyAlignment="1">
      <alignment vertical="center" wrapText="1"/>
    </xf>
    <xf numFmtId="164" fontId="4" fillId="0" borderId="0" xfId="5" applyFont="1" applyBorder="1" applyAlignment="1">
      <alignment vertical="center"/>
    </xf>
    <xf numFmtId="0" fontId="8" fillId="0" borderId="0" xfId="2" applyFont="1" applyBorder="1" applyAlignment="1">
      <alignment vertical="center"/>
    </xf>
    <xf numFmtId="3" fontId="4" fillId="0" borderId="0" xfId="2" applyNumberFormat="1" applyFont="1" applyBorder="1" applyAlignment="1">
      <alignment vertical="center"/>
    </xf>
    <xf numFmtId="4" fontId="8" fillId="0" borderId="0" xfId="2" applyNumberFormat="1" applyFont="1" applyBorder="1" applyAlignment="1">
      <alignment vertical="center"/>
    </xf>
    <xf numFmtId="0" fontId="4" fillId="0" borderId="26" xfId="2" applyFont="1" applyBorder="1" applyAlignment="1">
      <alignment horizontal="left" vertical="center" wrapText="1"/>
    </xf>
    <xf numFmtId="0" fontId="4" fillId="0" borderId="0" xfId="0" applyFont="1" applyBorder="1"/>
    <xf numFmtId="0" fontId="4" fillId="0" borderId="0" xfId="0" applyFont="1" applyBorder="1" applyAlignment="1">
      <alignment horizontal="center"/>
    </xf>
    <xf numFmtId="0" fontId="4" fillId="5" borderId="26" xfId="2" applyFont="1" applyFill="1" applyBorder="1" applyAlignment="1">
      <alignment horizontal="left" vertical="center" wrapText="1"/>
    </xf>
    <xf numFmtId="4" fontId="4" fillId="0" borderId="0" xfId="2" applyNumberFormat="1" applyFont="1" applyBorder="1" applyAlignment="1">
      <alignment vertical="center"/>
    </xf>
    <xf numFmtId="0" fontId="4" fillId="0" borderId="0" xfId="2" applyFont="1" applyBorder="1" applyAlignment="1">
      <alignment vertical="center"/>
    </xf>
    <xf numFmtId="0" fontId="4" fillId="0" borderId="29" xfId="2" applyFont="1" applyBorder="1" applyAlignment="1">
      <alignment vertical="center"/>
    </xf>
    <xf numFmtId="0" fontId="8" fillId="0" borderId="29" xfId="2" applyFont="1" applyBorder="1" applyAlignment="1">
      <alignment horizontal="center" vertical="center"/>
    </xf>
    <xf numFmtId="0" fontId="30" fillId="0" borderId="45" xfId="0" applyFont="1" applyBorder="1" applyAlignment="1">
      <alignment horizontal="left" wrapText="1"/>
    </xf>
    <xf numFmtId="0" fontId="30" fillId="0" borderId="45" xfId="0" applyFont="1" applyBorder="1" applyAlignment="1">
      <alignment horizontal="left" vertical="center" wrapText="1"/>
    </xf>
    <xf numFmtId="0" fontId="8" fillId="5" borderId="14" xfId="2" applyFont="1" applyFill="1" applyBorder="1" applyAlignment="1">
      <alignment horizontal="left" vertical="center"/>
    </xf>
    <xf numFmtId="3" fontId="11" fillId="0" borderId="8" xfId="4" applyNumberFormat="1" applyFont="1" applyBorder="1" applyAlignment="1">
      <alignment horizontal="center"/>
    </xf>
    <xf numFmtId="4" fontId="11" fillId="0" borderId="7" xfId="0" applyNumberFormat="1" applyFont="1" applyBorder="1" applyAlignment="1">
      <alignment horizontal="center"/>
    </xf>
    <xf numFmtId="3" fontId="11" fillId="0" borderId="76" xfId="4" applyNumberFormat="1" applyFont="1" applyBorder="1" applyAlignment="1">
      <alignment horizontal="center"/>
    </xf>
    <xf numFmtId="0" fontId="11" fillId="0" borderId="8" xfId="4" quotePrefix="1" applyFont="1" applyBorder="1" applyAlignment="1">
      <alignment horizontal="center"/>
    </xf>
    <xf numFmtId="3" fontId="11" fillId="0" borderId="76" xfId="4" quotePrefix="1" applyNumberFormat="1" applyFont="1" applyBorder="1" applyAlignment="1">
      <alignment horizontal="center"/>
    </xf>
    <xf numFmtId="49" fontId="11" fillId="0" borderId="11" xfId="4" applyNumberFormat="1" applyFont="1" applyBorder="1" applyAlignment="1">
      <alignment horizontal="center"/>
    </xf>
    <xf numFmtId="4" fontId="11" fillId="0" borderId="8" xfId="4" applyNumberFormat="1" applyFont="1" applyBorder="1" applyAlignment="1">
      <alignment horizontal="center"/>
    </xf>
    <xf numFmtId="3" fontId="11" fillId="0" borderId="8" xfId="4" applyNumberFormat="1" applyFont="1" applyBorder="1"/>
    <xf numFmtId="0" fontId="11" fillId="0" borderId="8" xfId="0" applyFont="1" applyBorder="1" applyAlignment="1">
      <alignment horizontal="center"/>
    </xf>
    <xf numFmtId="3" fontId="11" fillId="0" borderId="8" xfId="0" applyNumberFormat="1" applyFont="1" applyBorder="1" applyAlignment="1">
      <alignment horizontal="center"/>
    </xf>
    <xf numFmtId="49" fontId="11" fillId="0" borderId="11" xfId="0" applyNumberFormat="1" applyFont="1" applyBorder="1" applyAlignment="1">
      <alignment horizontal="center"/>
    </xf>
    <xf numFmtId="49" fontId="11" fillId="0" borderId="76" xfId="4" applyNumberFormat="1" applyFont="1" applyBorder="1" applyAlignment="1">
      <alignment horizontal="center"/>
    </xf>
    <xf numFmtId="49" fontId="11" fillId="0" borderId="11" xfId="4" applyNumberFormat="1" applyFont="1" applyBorder="1"/>
    <xf numFmtId="0" fontId="11" fillId="0" borderId="26" xfId="0" applyFont="1" applyBorder="1"/>
    <xf numFmtId="169" fontId="11" fillId="0" borderId="29" xfId="0" applyNumberFormat="1" applyFont="1" applyBorder="1" applyAlignment="1">
      <alignment horizontal="center" vertical="top" wrapText="1"/>
    </xf>
    <xf numFmtId="0" fontId="11" fillId="0" borderId="26" xfId="0" applyFont="1" applyBorder="1" applyAlignment="1">
      <alignment horizontal="center" wrapText="1"/>
    </xf>
    <xf numFmtId="0" fontId="11" fillId="0" borderId="26" xfId="0" applyFont="1" applyBorder="1" applyAlignment="1">
      <alignment vertical="top"/>
    </xf>
    <xf numFmtId="0" fontId="11" fillId="0" borderId="29" xfId="0" applyFont="1" applyBorder="1"/>
    <xf numFmtId="4" fontId="11" fillId="0" borderId="29" xfId="0" applyNumberFormat="1" applyFont="1" applyBorder="1"/>
    <xf numFmtId="4" fontId="11" fillId="0" borderId="29" xfId="0" applyNumberFormat="1" applyFont="1" applyBorder="1" applyAlignment="1">
      <alignment horizontal="center"/>
    </xf>
    <xf numFmtId="4" fontId="11" fillId="0" borderId="29" xfId="0" applyNumberFormat="1" applyFont="1" applyBorder="1" applyAlignment="1">
      <alignment horizontal="center" vertical="center"/>
    </xf>
    <xf numFmtId="0" fontId="4" fillId="0" borderId="22" xfId="0" applyFont="1" applyBorder="1" applyAlignment="1">
      <alignment horizontal="justify" vertical="center"/>
    </xf>
    <xf numFmtId="0" fontId="4" fillId="0" borderId="63" xfId="0" applyFont="1" applyBorder="1" applyAlignment="1">
      <alignment horizontal="justify" vertical="center"/>
    </xf>
    <xf numFmtId="0" fontId="20" fillId="0" borderId="0" xfId="4" applyFont="1" applyFill="1" applyAlignment="1"/>
    <xf numFmtId="0" fontId="19" fillId="0" borderId="0" xfId="4" applyFont="1" applyFill="1" applyAlignment="1">
      <alignment horizontal="centerContinuous"/>
    </xf>
    <xf numFmtId="0" fontId="19" fillId="0" borderId="0" xfId="4" applyFont="1" applyFill="1"/>
    <xf numFmtId="0" fontId="19" fillId="0" borderId="0" xfId="4" applyFont="1"/>
    <xf numFmtId="0" fontId="20" fillId="7" borderId="5" xfId="4" applyFont="1" applyFill="1" applyBorder="1" applyAlignment="1">
      <alignment horizontal="center" vertical="center" textRotation="90" wrapText="1"/>
    </xf>
    <xf numFmtId="0" fontId="20" fillId="7" borderId="20" xfId="4" applyFont="1" applyFill="1" applyBorder="1" applyAlignment="1">
      <alignment horizontal="center" vertical="center" textRotation="90" wrapText="1"/>
    </xf>
    <xf numFmtId="0" fontId="20" fillId="7" borderId="18" xfId="4" applyFont="1" applyFill="1" applyBorder="1" applyAlignment="1">
      <alignment horizontal="center" vertical="center" textRotation="90" wrapText="1"/>
    </xf>
    <xf numFmtId="0" fontId="20" fillId="0" borderId="0" xfId="4" applyFont="1" applyFill="1" applyAlignment="1">
      <alignment horizontal="center" vertical="center" wrapText="1"/>
    </xf>
    <xf numFmtId="0" fontId="19" fillId="0" borderId="14" xfId="4" applyFont="1" applyBorder="1"/>
    <xf numFmtId="3" fontId="19" fillId="0" borderId="14" xfId="4" applyNumberFormat="1" applyFont="1" applyBorder="1"/>
    <xf numFmtId="3" fontId="19" fillId="0" borderId="0" xfId="4" applyNumberFormat="1" applyFont="1" applyBorder="1"/>
    <xf numFmtId="3" fontId="19" fillId="0" borderId="4" xfId="4" applyNumberFormat="1" applyFont="1" applyBorder="1"/>
    <xf numFmtId="2" fontId="19" fillId="0" borderId="14" xfId="4" applyNumberFormat="1" applyFont="1" applyBorder="1"/>
    <xf numFmtId="3" fontId="3" fillId="0" borderId="0" xfId="4" applyNumberFormat="1"/>
    <xf numFmtId="3" fontId="3" fillId="0" borderId="14" xfId="4" applyNumberFormat="1" applyBorder="1"/>
    <xf numFmtId="0" fontId="20" fillId="0" borderId="14" xfId="4" applyFont="1" applyBorder="1" applyAlignment="1"/>
    <xf numFmtId="3" fontId="19" fillId="0" borderId="0" xfId="4" applyNumberFormat="1" applyFont="1" applyBorder="1" applyAlignment="1"/>
    <xf numFmtId="3" fontId="19" fillId="0" borderId="14" xfId="4" applyNumberFormat="1" applyFont="1" applyBorder="1" applyAlignment="1"/>
    <xf numFmtId="3" fontId="19" fillId="0" borderId="4" xfId="4" applyNumberFormat="1" applyFont="1" applyBorder="1" applyAlignment="1"/>
    <xf numFmtId="0" fontId="19" fillId="0" borderId="11" xfId="4" applyFont="1" applyBorder="1"/>
    <xf numFmtId="0" fontId="19" fillId="0" borderId="0" xfId="4" applyFont="1" applyBorder="1"/>
    <xf numFmtId="0" fontId="19" fillId="0" borderId="4" xfId="4" applyFont="1" applyBorder="1"/>
    <xf numFmtId="0" fontId="19" fillId="0" borderId="5" xfId="4" applyFont="1" applyBorder="1"/>
    <xf numFmtId="3" fontId="20" fillId="0" borderId="5" xfId="4" applyNumberFormat="1" applyFont="1" applyBorder="1"/>
    <xf numFmtId="2" fontId="20" fillId="0" borderId="18" xfId="4" applyNumberFormat="1" applyFont="1" applyBorder="1"/>
    <xf numFmtId="0" fontId="4" fillId="0" borderId="11" xfId="0" applyFont="1" applyBorder="1" applyAlignment="1">
      <alignment horizontal="left" wrapText="1"/>
    </xf>
    <xf numFmtId="3" fontId="4" fillId="0" borderId="9" xfId="0" applyNumberFormat="1" applyFont="1" applyBorder="1"/>
    <xf numFmtId="3" fontId="4" fillId="0" borderId="49" xfId="0" applyNumberFormat="1" applyFont="1" applyBorder="1"/>
    <xf numFmtId="3" fontId="4" fillId="0" borderId="10" xfId="0" applyNumberFormat="1" applyFont="1" applyBorder="1"/>
    <xf numFmtId="3" fontId="4" fillId="0" borderId="8" xfId="0" applyNumberFormat="1" applyFont="1" applyBorder="1"/>
    <xf numFmtId="0" fontId="11" fillId="0" borderId="76" xfId="2" applyFont="1" applyBorder="1" applyAlignment="1">
      <alignment vertical="center"/>
    </xf>
    <xf numFmtId="0" fontId="11" fillId="0" borderId="77" xfId="2" applyFont="1" applyBorder="1" applyAlignment="1">
      <alignment horizontal="center" vertical="center"/>
    </xf>
    <xf numFmtId="0" fontId="11" fillId="0" borderId="78" xfId="2" applyFont="1" applyBorder="1" applyAlignment="1">
      <alignment vertical="center"/>
    </xf>
    <xf numFmtId="4" fontId="11" fillId="0" borderId="79" xfId="2" applyNumberFormat="1" applyFont="1" applyBorder="1" applyAlignment="1">
      <alignment vertical="center"/>
    </xf>
    <xf numFmtId="0" fontId="4" fillId="0" borderId="22" xfId="2" applyFont="1" applyBorder="1" applyAlignment="1">
      <alignment vertical="center" wrapText="1"/>
    </xf>
    <xf numFmtId="0" fontId="4" fillId="0" borderId="23" xfId="2" applyFont="1" applyBorder="1" applyAlignment="1">
      <alignment horizontal="center" vertical="center" wrapText="1"/>
    </xf>
    <xf numFmtId="0" fontId="4" fillId="0" borderId="23" xfId="2" applyFont="1" applyBorder="1" applyAlignment="1">
      <alignment horizontal="center" vertical="center"/>
    </xf>
    <xf numFmtId="4" fontId="4" fillId="0" borderId="23" xfId="2" applyNumberFormat="1" applyFont="1" applyBorder="1" applyAlignment="1">
      <alignment vertical="center" wrapText="1"/>
    </xf>
    <xf numFmtId="0" fontId="4" fillId="0" borderId="23" xfId="2" applyFont="1" applyBorder="1" applyAlignment="1">
      <alignment vertical="center"/>
    </xf>
    <xf numFmtId="0" fontId="4" fillId="0" borderId="25" xfId="2" applyFont="1" applyBorder="1" applyAlignment="1">
      <alignment vertical="center"/>
    </xf>
    <xf numFmtId="0" fontId="4" fillId="0" borderId="37" xfId="2" applyFont="1" applyBorder="1" applyAlignment="1">
      <alignment vertical="center" wrapText="1"/>
    </xf>
    <xf numFmtId="0" fontId="4" fillId="0" borderId="39" xfId="2" applyFont="1" applyBorder="1" applyAlignment="1">
      <alignment horizontal="center" vertical="center" wrapText="1"/>
    </xf>
    <xf numFmtId="0" fontId="4" fillId="0" borderId="39" xfId="2" applyFont="1" applyBorder="1" applyAlignment="1">
      <alignment horizontal="center" vertical="center"/>
    </xf>
    <xf numFmtId="4" fontId="4" fillId="0" borderId="39" xfId="2" applyNumberFormat="1" applyFont="1" applyBorder="1" applyAlignment="1">
      <alignment vertical="center" wrapText="1"/>
    </xf>
    <xf numFmtId="0" fontId="4" fillId="0" borderId="39" xfId="2" applyFont="1" applyBorder="1" applyAlignment="1">
      <alignment vertical="center"/>
    </xf>
    <xf numFmtId="0" fontId="4" fillId="0" borderId="38" xfId="2" applyFont="1" applyBorder="1" applyAlignment="1">
      <alignment vertical="center"/>
    </xf>
    <xf numFmtId="0" fontId="4" fillId="0" borderId="22" xfId="2" applyFont="1" applyBorder="1" applyAlignment="1">
      <alignment horizontal="left" vertical="center" wrapText="1"/>
    </xf>
    <xf numFmtId="0" fontId="4" fillId="0" borderId="23" xfId="2" applyFont="1" applyBorder="1" applyAlignment="1">
      <alignment horizontal="left" vertical="center"/>
    </xf>
    <xf numFmtId="169" fontId="4" fillId="0" borderId="48" xfId="0" applyNumberFormat="1" applyFont="1" applyBorder="1" applyAlignment="1">
      <alignment horizontal="right" vertical="center"/>
    </xf>
    <xf numFmtId="169" fontId="4" fillId="0" borderId="23" xfId="0" applyNumberFormat="1" applyFont="1" applyBorder="1" applyAlignment="1">
      <alignment horizontal="right" vertical="center"/>
    </xf>
    <xf numFmtId="8" fontId="4" fillId="0" borderId="23" xfId="2" applyNumberFormat="1" applyFont="1" applyBorder="1" applyAlignment="1">
      <alignment vertical="center"/>
    </xf>
    <xf numFmtId="0" fontId="4" fillId="0" borderId="25" xfId="2" applyFont="1" applyBorder="1" applyAlignment="1">
      <alignment horizontal="center" vertical="center"/>
    </xf>
    <xf numFmtId="0" fontId="4" fillId="0" borderId="37" xfId="2" applyFont="1" applyBorder="1" applyAlignment="1">
      <alignment horizontal="left" vertical="center" wrapText="1"/>
    </xf>
    <xf numFmtId="0" fontId="4" fillId="0" borderId="39" xfId="2" applyFont="1" applyBorder="1" applyAlignment="1">
      <alignment horizontal="left" vertical="center"/>
    </xf>
    <xf numFmtId="169" fontId="4" fillId="0" borderId="39" xfId="0" applyNumberFormat="1" applyFont="1" applyBorder="1" applyAlignment="1">
      <alignment horizontal="right" vertical="center"/>
    </xf>
    <xf numFmtId="8" fontId="4" fillId="0" borderId="39" xfId="2" applyNumberFormat="1" applyFont="1" applyBorder="1" applyAlignment="1">
      <alignment vertical="center"/>
    </xf>
    <xf numFmtId="0" fontId="4" fillId="0" borderId="38" xfId="2" applyFont="1" applyBorder="1" applyAlignment="1">
      <alignment horizontal="center" vertical="center"/>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8" fillId="0" borderId="11" xfId="2" applyFont="1" applyBorder="1" applyAlignment="1">
      <alignment horizontal="left" vertical="center"/>
    </xf>
    <xf numFmtId="164" fontId="4" fillId="0" borderId="9" xfId="5" applyFont="1" applyBorder="1" applyAlignment="1">
      <alignment vertical="center"/>
    </xf>
    <xf numFmtId="164" fontId="4" fillId="0" borderId="76" xfId="5" applyFont="1" applyBorder="1" applyAlignment="1">
      <alignment vertical="center"/>
    </xf>
    <xf numFmtId="43" fontId="8" fillId="0" borderId="49" xfId="2" applyNumberFormat="1" applyFont="1" applyBorder="1" applyAlignment="1">
      <alignment vertical="center"/>
    </xf>
    <xf numFmtId="0" fontId="4" fillId="0" borderId="74" xfId="2" applyFont="1" applyBorder="1" applyAlignment="1">
      <alignment horizontal="center" vertical="center" wrapText="1"/>
    </xf>
    <xf numFmtId="0" fontId="4" fillId="0" borderId="74" xfId="2" applyFont="1" applyBorder="1" applyAlignment="1">
      <alignment horizontal="center" vertical="center"/>
    </xf>
    <xf numFmtId="3" fontId="11" fillId="0" borderId="21" xfId="4" applyNumberFormat="1" applyFont="1" applyBorder="1" applyAlignment="1">
      <alignment horizontal="center"/>
    </xf>
    <xf numFmtId="4" fontId="11" fillId="0" borderId="6" xfId="0" applyNumberFormat="1" applyFont="1" applyBorder="1" applyAlignment="1">
      <alignment horizontal="center"/>
    </xf>
    <xf numFmtId="14" fontId="11" fillId="0" borderId="46" xfId="4" applyNumberFormat="1" applyFont="1" applyBorder="1" applyAlignment="1">
      <alignment horizontal="center"/>
    </xf>
    <xf numFmtId="0" fontId="11" fillId="0" borderId="77" xfId="4" applyFont="1" applyBorder="1" applyAlignment="1">
      <alignment horizontal="center" vertical="center" wrapText="1"/>
    </xf>
    <xf numFmtId="0" fontId="11" fillId="0" borderId="79" xfId="4" applyFont="1" applyBorder="1" applyAlignment="1">
      <alignment horizontal="center" vertical="center" wrapText="1"/>
    </xf>
    <xf numFmtId="169" fontId="11" fillId="0" borderId="77" xfId="4" applyNumberFormat="1" applyFont="1" applyBorder="1" applyAlignment="1">
      <alignment horizontal="center" vertical="center"/>
    </xf>
    <xf numFmtId="0" fontId="11" fillId="0" borderId="77" xfId="4" applyFont="1" applyBorder="1" applyAlignment="1">
      <alignment horizontal="center" vertical="center"/>
    </xf>
    <xf numFmtId="0" fontId="11" fillId="0" borderId="78" xfId="4" applyFont="1" applyBorder="1" applyAlignment="1">
      <alignment horizontal="center" vertical="center" wrapText="1"/>
    </xf>
    <xf numFmtId="169" fontId="11" fillId="0" borderId="79" xfId="4" applyNumberFormat="1" applyFont="1" applyBorder="1" applyAlignment="1">
      <alignment horizontal="center" vertical="center"/>
    </xf>
    <xf numFmtId="0" fontId="12" fillId="0" borderId="37" xfId="0" applyFont="1" applyBorder="1" applyAlignment="1">
      <alignment horizontal="center"/>
    </xf>
    <xf numFmtId="0" fontId="12" fillId="0" borderId="39" xfId="0" applyFont="1" applyBorder="1" applyAlignment="1">
      <alignment horizontal="center"/>
    </xf>
    <xf numFmtId="0" fontId="11" fillId="0" borderId="39" xfId="0" applyFont="1" applyBorder="1"/>
    <xf numFmtId="0" fontId="11" fillId="0" borderId="39" xfId="0" applyFont="1" applyBorder="1" applyAlignment="1">
      <alignment horizontal="center"/>
    </xf>
    <xf numFmtId="169" fontId="12" fillId="0" borderId="39" xfId="0" applyNumberFormat="1" applyFont="1" applyBorder="1"/>
    <xf numFmtId="169" fontId="12" fillId="0" borderId="38" xfId="0" applyNumberFormat="1" applyFont="1" applyBorder="1"/>
    <xf numFmtId="0" fontId="3" fillId="5" borderId="1" xfId="0" applyFont="1" applyFill="1" applyBorder="1" applyAlignment="1">
      <alignment horizontal="left" vertical="center" wrapText="1"/>
    </xf>
    <xf numFmtId="0" fontId="3" fillId="5" borderId="69"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8" fillId="7" borderId="33" xfId="0" applyFont="1" applyFill="1" applyBorder="1" applyAlignment="1">
      <alignment horizontal="center" vertical="center" wrapText="1"/>
    </xf>
    <xf numFmtId="0" fontId="8" fillId="7" borderId="64"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77"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4" fillId="0" borderId="7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left" vertical="center" wrapText="1"/>
    </xf>
    <xf numFmtId="0" fontId="4" fillId="0" borderId="22" xfId="0" applyFont="1" applyBorder="1" applyAlignment="1">
      <alignment horizontal="left" vertical="center" wrapText="1"/>
    </xf>
    <xf numFmtId="0" fontId="4" fillId="0" borderId="55" xfId="0" applyFont="1" applyBorder="1" applyAlignment="1">
      <alignment horizontal="left" vertical="center" wrapText="1"/>
    </xf>
    <xf numFmtId="49" fontId="8" fillId="7" borderId="12" xfId="3" applyFont="1" applyFill="1" applyBorder="1" applyAlignment="1">
      <alignment horizontal="center" vertical="center" wrapText="1"/>
    </xf>
    <xf numFmtId="49" fontId="8" fillId="7" borderId="11" xfId="3" applyFont="1" applyFill="1" applyBorder="1" applyAlignment="1">
      <alignment horizontal="center" vertical="center" wrapText="1"/>
    </xf>
    <xf numFmtId="49" fontId="8" fillId="7" borderId="6" xfId="3" applyFont="1" applyFill="1" applyBorder="1" applyAlignment="1">
      <alignment horizontal="center" vertical="center" wrapText="1"/>
    </xf>
    <xf numFmtId="49" fontId="8" fillId="7" borderId="46" xfId="3" applyFont="1" applyFill="1" applyBorder="1" applyAlignment="1">
      <alignment horizontal="center" vertical="center" wrapText="1"/>
    </xf>
    <xf numFmtId="49" fontId="8" fillId="7" borderId="21" xfId="3" applyFont="1" applyFill="1" applyBorder="1" applyAlignment="1">
      <alignment horizontal="center" vertical="center" wrapText="1"/>
    </xf>
    <xf numFmtId="0" fontId="8" fillId="7" borderId="12" xfId="0" applyFont="1" applyFill="1" applyBorder="1" applyAlignment="1">
      <alignment horizontal="center" vertical="center"/>
    </xf>
    <xf numFmtId="0" fontId="8" fillId="7" borderId="11"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44" xfId="0" applyFont="1" applyBorder="1" applyAlignment="1">
      <alignment horizontal="center" vertical="center" wrapText="1"/>
    </xf>
    <xf numFmtId="3" fontId="8" fillId="0" borderId="57" xfId="0" applyNumberFormat="1" applyFont="1" applyBorder="1" applyAlignment="1">
      <alignment horizontal="center" vertical="center"/>
    </xf>
    <xf numFmtId="3" fontId="8" fillId="0" borderId="66" xfId="0" applyNumberFormat="1" applyFont="1" applyBorder="1" applyAlignment="1">
      <alignment horizontal="center" vertical="center"/>
    </xf>
    <xf numFmtId="3" fontId="8" fillId="0" borderId="47" xfId="0" applyNumberFormat="1" applyFont="1" applyBorder="1" applyAlignment="1">
      <alignment horizontal="center" vertical="center"/>
    </xf>
    <xf numFmtId="3" fontId="8" fillId="0" borderId="68" xfId="0" applyNumberFormat="1" applyFont="1" applyBorder="1" applyAlignment="1">
      <alignment horizontal="center" vertical="center"/>
    </xf>
    <xf numFmtId="3" fontId="8" fillId="0" borderId="52" xfId="0" applyNumberFormat="1" applyFont="1" applyBorder="1" applyAlignment="1">
      <alignment horizontal="center" vertical="center"/>
    </xf>
    <xf numFmtId="3" fontId="8" fillId="0" borderId="67" xfId="0" applyNumberFormat="1" applyFont="1" applyBorder="1" applyAlignment="1">
      <alignment horizontal="center" vertical="center"/>
    </xf>
    <xf numFmtId="0" fontId="8" fillId="7" borderId="19" xfId="0" applyFont="1" applyFill="1" applyBorder="1" applyAlignment="1">
      <alignment horizontal="center" wrapText="1"/>
    </xf>
    <xf numFmtId="0" fontId="8" fillId="7" borderId="20" xfId="0" applyFont="1" applyFill="1" applyBorder="1" applyAlignment="1">
      <alignment horizontal="center" wrapText="1"/>
    </xf>
    <xf numFmtId="0" fontId="8" fillId="7" borderId="18" xfId="0" applyFont="1" applyFill="1" applyBorder="1" applyAlignment="1">
      <alignment horizontal="center" wrapText="1"/>
    </xf>
    <xf numFmtId="0" fontId="8" fillId="7" borderId="6" xfId="0" applyFont="1" applyFill="1" applyBorder="1" applyAlignment="1">
      <alignment horizontal="center" wrapText="1"/>
    </xf>
    <xf numFmtId="0" fontId="8" fillId="7" borderId="46" xfId="0" applyFont="1" applyFill="1" applyBorder="1" applyAlignment="1">
      <alignment horizontal="center" wrapText="1"/>
    </xf>
    <xf numFmtId="0" fontId="20" fillId="7" borderId="5" xfId="4" applyFont="1" applyFill="1" applyBorder="1" applyAlignment="1">
      <alignment horizontal="center" vertical="center"/>
    </xf>
    <xf numFmtId="0" fontId="20" fillId="7" borderId="11" xfId="4" applyFont="1" applyFill="1" applyBorder="1" applyAlignment="1">
      <alignment horizontal="center" vertical="center"/>
    </xf>
    <xf numFmtId="0" fontId="20" fillId="7" borderId="5" xfId="4" applyFont="1" applyFill="1" applyBorder="1" applyAlignment="1">
      <alignment horizontal="center"/>
    </xf>
    <xf numFmtId="0" fontId="20" fillId="7" borderId="20" xfId="4" applyFont="1" applyFill="1" applyBorder="1" applyAlignment="1">
      <alignment horizontal="center"/>
    </xf>
    <xf numFmtId="0" fontId="20" fillId="7" borderId="18" xfId="4" applyFont="1" applyFill="1" applyBorder="1" applyAlignment="1">
      <alignment horizontal="center"/>
    </xf>
    <xf numFmtId="0" fontId="20" fillId="7" borderId="19" xfId="4" applyFont="1" applyFill="1" applyBorder="1" applyAlignment="1">
      <alignment horizontal="center"/>
    </xf>
    <xf numFmtId="49" fontId="12" fillId="7" borderId="28" xfId="3" applyFont="1" applyFill="1" applyBorder="1" applyAlignment="1">
      <alignment horizontal="center" vertical="center" wrapText="1"/>
    </xf>
    <xf numFmtId="0" fontId="12" fillId="7" borderId="28" xfId="0" applyFont="1" applyFill="1" applyBorder="1" applyAlignment="1">
      <alignment horizontal="center" vertical="center"/>
    </xf>
    <xf numFmtId="49" fontId="12" fillId="7" borderId="28" xfId="3" applyFont="1" applyFill="1" applyBorder="1" applyAlignment="1">
      <alignment horizontal="center" vertical="center"/>
    </xf>
    <xf numFmtId="0" fontId="12" fillId="7" borderId="28" xfId="0" applyFont="1" applyFill="1" applyBorder="1" applyAlignment="1">
      <alignment horizontal="center" vertical="center" wrapText="1"/>
    </xf>
    <xf numFmtId="0" fontId="8" fillId="7" borderId="65" xfId="2" applyFont="1" applyFill="1" applyBorder="1" applyAlignment="1">
      <alignment horizontal="center" vertical="center"/>
    </xf>
    <xf numFmtId="0" fontId="8" fillId="7" borderId="58" xfId="2" applyFont="1" applyFill="1" applyBorder="1" applyAlignment="1">
      <alignment horizontal="center" vertical="center"/>
    </xf>
    <xf numFmtId="0" fontId="8" fillId="7" borderId="61" xfId="2" applyFont="1" applyFill="1" applyBorder="1" applyAlignment="1">
      <alignment horizontal="center" vertical="center"/>
    </xf>
    <xf numFmtId="0" fontId="12" fillId="7" borderId="46" xfId="2" applyFont="1" applyFill="1" applyBorder="1" applyAlignment="1">
      <alignment horizontal="center" vertical="center"/>
    </xf>
    <xf numFmtId="0" fontId="12" fillId="7" borderId="19" xfId="2" applyFont="1" applyFill="1" applyBorder="1" applyAlignment="1">
      <alignment horizontal="center" vertical="center"/>
    </xf>
    <xf numFmtId="0" fontId="12" fillId="7" borderId="18" xfId="2" applyFont="1" applyFill="1" applyBorder="1" applyAlignment="1">
      <alignment horizontal="center" vertical="center"/>
    </xf>
    <xf numFmtId="0" fontId="12" fillId="7" borderId="20" xfId="2" applyFont="1" applyFill="1" applyBorder="1" applyAlignment="1">
      <alignment horizontal="center" vertical="center"/>
    </xf>
    <xf numFmtId="0" fontId="12" fillId="7" borderId="1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2" fillId="7" borderId="20" xfId="0" applyFont="1" applyFill="1" applyBorder="1" applyAlignment="1">
      <alignment horizontal="center"/>
    </xf>
    <xf numFmtId="0" fontId="12" fillId="7" borderId="19" xfId="0" applyFont="1" applyFill="1" applyBorder="1" applyAlignment="1">
      <alignment horizontal="center"/>
    </xf>
    <xf numFmtId="0" fontId="12" fillId="7" borderId="18" xfId="0" applyFont="1" applyFill="1" applyBorder="1" applyAlignment="1">
      <alignment horizontal="center"/>
    </xf>
    <xf numFmtId="0" fontId="12" fillId="7" borderId="19" xfId="0" applyFont="1" applyFill="1" applyBorder="1" applyAlignment="1">
      <alignment horizontal="center" wrapText="1"/>
    </xf>
    <xf numFmtId="0" fontId="12" fillId="7" borderId="18" xfId="0" applyFont="1" applyFill="1" applyBorder="1" applyAlignment="1">
      <alignment horizontal="center" wrapText="1"/>
    </xf>
    <xf numFmtId="0" fontId="12" fillId="7" borderId="6" xfId="2" applyFont="1" applyFill="1" applyBorder="1" applyAlignment="1">
      <alignment horizontal="center" vertical="center" wrapText="1"/>
    </xf>
    <xf numFmtId="0" fontId="12" fillId="7" borderId="19" xfId="2" applyFont="1" applyFill="1" applyBorder="1" applyAlignment="1">
      <alignment horizontal="center" vertical="center" wrapText="1"/>
    </xf>
    <xf numFmtId="0" fontId="12" fillId="7" borderId="30" xfId="2" applyFont="1" applyFill="1" applyBorder="1" applyAlignment="1">
      <alignment horizontal="center" vertical="center" wrapText="1"/>
    </xf>
    <xf numFmtId="0" fontId="12" fillId="7" borderId="37" xfId="2" applyFont="1" applyFill="1" applyBorder="1" applyAlignment="1">
      <alignment horizontal="center" vertical="center" wrapText="1"/>
    </xf>
    <xf numFmtId="0" fontId="12" fillId="7" borderId="33" xfId="2" applyFont="1" applyFill="1" applyBorder="1" applyAlignment="1">
      <alignment horizontal="center" vertical="center" wrapText="1"/>
    </xf>
    <xf numFmtId="0" fontId="12" fillId="7" borderId="40" xfId="2" applyFont="1" applyFill="1" applyBorder="1" applyAlignment="1">
      <alignment horizontal="center" vertical="center" wrapText="1"/>
    </xf>
    <xf numFmtId="0" fontId="12" fillId="7" borderId="31" xfId="2" applyFont="1" applyFill="1" applyBorder="1" applyAlignment="1">
      <alignment horizontal="center" vertical="center" wrapText="1"/>
    </xf>
    <xf numFmtId="0" fontId="12" fillId="7" borderId="38" xfId="2" applyFont="1" applyFill="1" applyBorder="1" applyAlignment="1">
      <alignment horizontal="center" vertical="center" wrapText="1"/>
    </xf>
    <xf numFmtId="0" fontId="12" fillId="7" borderId="62" xfId="2" applyFont="1" applyFill="1" applyBorder="1" applyAlignment="1">
      <alignment horizontal="center" vertical="center" wrapText="1"/>
    </xf>
    <xf numFmtId="0" fontId="12" fillId="7" borderId="63" xfId="2" applyFont="1" applyFill="1" applyBorder="1" applyAlignment="1">
      <alignment horizontal="center" vertical="center" wrapText="1"/>
    </xf>
    <xf numFmtId="0" fontId="12" fillId="7" borderId="61" xfId="2" applyFont="1" applyFill="1" applyBorder="1" applyAlignment="1">
      <alignment horizontal="center" vertical="center" wrapText="1"/>
    </xf>
    <xf numFmtId="0" fontId="12" fillId="7" borderId="64" xfId="2" applyFont="1" applyFill="1" applyBorder="1" applyAlignment="1">
      <alignment horizontal="center" vertical="center" wrapText="1"/>
    </xf>
    <xf numFmtId="0" fontId="12" fillId="7" borderId="50" xfId="2" applyFont="1" applyFill="1" applyBorder="1" applyAlignment="1">
      <alignment horizontal="center" vertical="center" wrapText="1"/>
    </xf>
    <xf numFmtId="0" fontId="11" fillId="0" borderId="28" xfId="2" applyFont="1" applyBorder="1" applyAlignment="1">
      <alignment horizontal="center" vertical="center" wrapText="1"/>
    </xf>
    <xf numFmtId="0" fontId="11" fillId="0" borderId="28" xfId="2" applyFont="1" applyBorder="1" applyAlignment="1">
      <alignment horizontal="center" vertical="center"/>
    </xf>
    <xf numFmtId="164" fontId="11" fillId="0" borderId="28" xfId="5" applyFont="1" applyFill="1" applyBorder="1" applyAlignment="1">
      <alignment horizontal="right" vertical="center"/>
    </xf>
    <xf numFmtId="0" fontId="12" fillId="7" borderId="12" xfId="2" applyFont="1" applyFill="1" applyBorder="1" applyAlignment="1">
      <alignment horizontal="center" vertical="center"/>
    </xf>
    <xf numFmtId="0" fontId="12" fillId="7" borderId="5" xfId="2" applyFont="1" applyFill="1" applyBorder="1" applyAlignment="1">
      <alignment horizontal="center" vertical="center"/>
    </xf>
    <xf numFmtId="0" fontId="12" fillId="7" borderId="11" xfId="2" applyFont="1" applyFill="1" applyBorder="1" applyAlignment="1">
      <alignment horizontal="center" vertical="center"/>
    </xf>
    <xf numFmtId="0" fontId="4" fillId="0" borderId="28" xfId="2" applyFont="1" applyBorder="1" applyAlignment="1">
      <alignment horizontal="center" vertical="center"/>
    </xf>
    <xf numFmtId="0" fontId="4" fillId="0" borderId="28" xfId="2" applyFont="1" applyBorder="1" applyAlignment="1">
      <alignment horizontal="center" vertical="center" wrapText="1"/>
    </xf>
    <xf numFmtId="0" fontId="4" fillId="0" borderId="29" xfId="2" applyFont="1" applyBorder="1" applyAlignment="1">
      <alignment horizontal="center" vertical="center"/>
    </xf>
    <xf numFmtId="0" fontId="4" fillId="0" borderId="26" xfId="2" applyFont="1" applyBorder="1" applyAlignment="1">
      <alignment horizontal="left" vertical="center"/>
    </xf>
    <xf numFmtId="4" fontId="4" fillId="0" borderId="28" xfId="2" applyNumberFormat="1" applyFont="1" applyBorder="1" applyAlignment="1">
      <alignment vertical="center"/>
    </xf>
    <xf numFmtId="4" fontId="4" fillId="0" borderId="28" xfId="7" applyNumberFormat="1" applyFont="1" applyBorder="1" applyAlignment="1">
      <alignment vertical="center"/>
    </xf>
    <xf numFmtId="4" fontId="4" fillId="0" borderId="28" xfId="5" applyNumberFormat="1" applyFont="1" applyBorder="1" applyAlignment="1">
      <alignment vertical="center"/>
    </xf>
    <xf numFmtId="0" fontId="4" fillId="12" borderId="26" xfId="2" applyFont="1" applyFill="1" applyBorder="1" applyAlignment="1">
      <alignment horizontal="center" vertical="justify" wrapText="1"/>
    </xf>
    <xf numFmtId="0" fontId="4" fillId="12" borderId="28" xfId="2" applyFont="1" applyFill="1" applyBorder="1" applyAlignment="1">
      <alignment horizontal="center" vertical="justify" wrapText="1"/>
    </xf>
    <xf numFmtId="0" fontId="12" fillId="8" borderId="5" xfId="4" applyFont="1" applyFill="1" applyBorder="1" applyAlignment="1">
      <alignment horizontal="center"/>
    </xf>
    <xf numFmtId="0" fontId="12" fillId="8" borderId="19" xfId="4" applyFont="1" applyFill="1" applyBorder="1" applyAlignment="1">
      <alignment horizontal="center" vertical="center"/>
    </xf>
    <xf numFmtId="0" fontId="12" fillId="8" borderId="14" xfId="4" applyFont="1" applyFill="1" applyBorder="1" applyAlignment="1">
      <alignment horizontal="center" vertical="center"/>
    </xf>
    <xf numFmtId="0" fontId="12" fillId="8" borderId="5" xfId="4" applyFont="1" applyFill="1" applyBorder="1" applyAlignment="1">
      <alignment horizontal="center" vertical="center" wrapText="1"/>
    </xf>
    <xf numFmtId="0" fontId="12" fillId="8" borderId="14" xfId="4" applyFont="1" applyFill="1" applyBorder="1" applyAlignment="1">
      <alignment horizontal="center" vertical="center" wrapText="1"/>
    </xf>
    <xf numFmtId="0" fontId="10" fillId="0" borderId="0" xfId="2" applyFont="1" applyAlignment="1">
      <alignment horizontal="center" vertical="center"/>
    </xf>
    <xf numFmtId="0" fontId="12" fillId="8" borderId="19" xfId="0" applyFont="1" applyFill="1" applyBorder="1" applyAlignment="1">
      <alignment horizontal="center"/>
    </xf>
    <xf numFmtId="0" fontId="12" fillId="8" borderId="20" xfId="0" applyFont="1" applyFill="1" applyBorder="1" applyAlignment="1">
      <alignment horizontal="center"/>
    </xf>
    <xf numFmtId="0" fontId="12" fillId="8" borderId="18" xfId="0" applyFont="1" applyFill="1" applyBorder="1" applyAlignment="1">
      <alignment horizontal="center"/>
    </xf>
    <xf numFmtId="0" fontId="12" fillId="8" borderId="19" xfId="4" applyFont="1" applyFill="1" applyBorder="1" applyAlignment="1">
      <alignment horizontal="center"/>
    </xf>
    <xf numFmtId="0" fontId="12" fillId="8" borderId="20" xfId="4" applyFont="1" applyFill="1" applyBorder="1" applyAlignment="1">
      <alignment horizontal="center"/>
    </xf>
    <xf numFmtId="0" fontId="12" fillId="8" borderId="18" xfId="4" applyFont="1" applyFill="1" applyBorder="1" applyAlignment="1">
      <alignment horizontal="center"/>
    </xf>
    <xf numFmtId="0" fontId="11" fillId="0" borderId="14" xfId="4" applyFont="1" applyBorder="1" applyAlignment="1">
      <alignment horizontal="center" vertical="center" wrapText="1"/>
    </xf>
    <xf numFmtId="0" fontId="11" fillId="0" borderId="14" xfId="4" applyFont="1" applyBorder="1" applyAlignment="1">
      <alignment horizontal="left"/>
    </xf>
    <xf numFmtId="3" fontId="11" fillId="0" borderId="14" xfId="4" applyNumberFormat="1" applyFont="1" applyBorder="1" applyAlignment="1">
      <alignment horizontal="center"/>
    </xf>
    <xf numFmtId="4" fontId="11" fillId="0" borderId="14" xfId="4" applyNumberFormat="1" applyFont="1" applyBorder="1" applyAlignment="1">
      <alignment horizontal="center"/>
    </xf>
    <xf numFmtId="0" fontId="11" fillId="0" borderId="14" xfId="4" applyFont="1" applyBorder="1" applyAlignment="1">
      <alignment horizontal="center" vertical="center"/>
    </xf>
    <xf numFmtId="0" fontId="10" fillId="8" borderId="19" xfId="4" applyFont="1" applyFill="1" applyBorder="1" applyAlignment="1">
      <alignment horizontal="center"/>
    </xf>
    <xf numFmtId="0" fontId="10" fillId="8" borderId="20" xfId="4" applyFont="1" applyFill="1" applyBorder="1" applyAlignment="1">
      <alignment horizontal="center"/>
    </xf>
    <xf numFmtId="0" fontId="10" fillId="8" borderId="18" xfId="4" applyFont="1" applyFill="1" applyBorder="1" applyAlignment="1">
      <alignment horizontal="center"/>
    </xf>
    <xf numFmtId="166" fontId="12" fillId="7" borderId="19" xfId="0" applyNumberFormat="1" applyFont="1" applyFill="1" applyBorder="1" applyAlignment="1">
      <alignment horizontal="center" vertical="center" wrapText="1"/>
    </xf>
    <xf numFmtId="166" fontId="12" fillId="7" borderId="20" xfId="0" applyNumberFormat="1" applyFont="1" applyFill="1" applyBorder="1" applyAlignment="1">
      <alignment horizontal="center" vertical="center" wrapText="1"/>
    </xf>
    <xf numFmtId="166" fontId="12" fillId="7" borderId="18" xfId="0" applyNumberFormat="1"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42"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2" fillId="7" borderId="4" xfId="0" applyFont="1" applyFill="1" applyBorder="1" applyAlignment="1">
      <alignment horizontal="center" vertical="center" wrapText="1"/>
    </xf>
  </cellXfs>
  <cellStyles count="12">
    <cellStyle name="60% - Énfasis4" xfId="8" builtinId="44"/>
    <cellStyle name="Millares" xfId="5" builtinId="3"/>
    <cellStyle name="Millares 2" xfId="10" xr:uid="{11AC5DF3-DF54-4B01-A32D-C41D7953AE9B}"/>
    <cellStyle name="Millares 3" xfId="9" xr:uid="{72E0B07E-0879-4277-AD62-1A6B8B63FF23}"/>
    <cellStyle name="Moneda" xfId="6" builtinId="4"/>
    <cellStyle name="Normal" xfId="0" builtinId="0"/>
    <cellStyle name="Normal 2" xfId="4" xr:uid="{00000000-0005-0000-0000-000001000000}"/>
    <cellStyle name="Normal 3" xfId="11" xr:uid="{11642C6F-7908-4C93-8E1B-ED0A2CE121E7}"/>
    <cellStyle name="Normal_ESTR98" xfId="1" xr:uid="{00000000-0005-0000-0000-000002000000}"/>
    <cellStyle name="Normal_PLAZAS98" xfId="2" xr:uid="{00000000-0005-0000-0000-000003000000}"/>
    <cellStyle name="Normal_SPGG98" xfId="3" xr:uid="{00000000-0005-0000-0000-000004000000}"/>
    <cellStyle name="Porcentaje" xfId="7"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SR34"/>
  <sheetViews>
    <sheetView topLeftCell="A9" zoomScaleNormal="100" zoomScaleSheetLayoutView="100" zoomScalePageLayoutView="85" workbookViewId="0">
      <selection activeCell="A20" sqref="A20"/>
    </sheetView>
  </sheetViews>
  <sheetFormatPr baseColWidth="10" defaultColWidth="11.42578125" defaultRowHeight="12.75" x14ac:dyDescent="0.2"/>
  <cols>
    <col min="1" max="1" width="19.85546875" style="43" customWidth="1"/>
    <col min="2" max="2" width="69.85546875" style="44" customWidth="1"/>
    <col min="3" max="5" width="8.7109375" style="43" customWidth="1"/>
    <col min="6" max="16384" width="11.42578125" style="43"/>
  </cols>
  <sheetData>
    <row r="1" spans="1:512" s="42" customFormat="1" ht="15.75" x14ac:dyDescent="0.2">
      <c r="A1" s="40" t="s">
        <v>384</v>
      </c>
      <c r="B1" s="41"/>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c r="IX1" s="47"/>
      <c r="IY1" s="47"/>
      <c r="IZ1" s="47"/>
      <c r="JA1" s="47"/>
      <c r="JB1" s="47"/>
      <c r="JC1" s="47"/>
      <c r="JD1" s="47"/>
      <c r="JE1" s="47"/>
      <c r="JF1" s="47"/>
      <c r="JG1" s="47"/>
      <c r="JH1" s="47"/>
      <c r="JI1" s="47"/>
      <c r="JJ1" s="47"/>
      <c r="JK1" s="47"/>
      <c r="JL1" s="47"/>
      <c r="JM1" s="47"/>
      <c r="JN1" s="47"/>
      <c r="JO1" s="47"/>
      <c r="JP1" s="47"/>
      <c r="JQ1" s="47"/>
      <c r="JR1" s="47"/>
      <c r="JS1" s="47"/>
      <c r="JT1" s="47"/>
      <c r="JU1" s="47"/>
      <c r="JV1" s="47"/>
      <c r="JW1" s="47"/>
      <c r="JX1" s="47"/>
      <c r="JY1" s="47"/>
      <c r="JZ1" s="47"/>
      <c r="KA1" s="47"/>
      <c r="KB1" s="47"/>
      <c r="KC1" s="47"/>
      <c r="KD1" s="47"/>
      <c r="KE1" s="47"/>
      <c r="KF1" s="47"/>
      <c r="KG1" s="47"/>
      <c r="KH1" s="47"/>
      <c r="KI1" s="47"/>
      <c r="KJ1" s="47"/>
      <c r="KK1" s="47"/>
      <c r="KL1" s="47"/>
      <c r="KM1" s="47"/>
      <c r="KN1" s="47"/>
      <c r="KO1" s="47"/>
      <c r="KP1" s="47"/>
      <c r="KQ1" s="47"/>
      <c r="KR1" s="47"/>
      <c r="KS1" s="47"/>
      <c r="KT1" s="47"/>
      <c r="KU1" s="47"/>
      <c r="KV1" s="47"/>
      <c r="KW1" s="47"/>
      <c r="KX1" s="47"/>
      <c r="KY1" s="47"/>
      <c r="KZ1" s="47"/>
      <c r="LA1" s="47"/>
      <c r="LB1" s="47"/>
      <c r="LC1" s="47"/>
      <c r="LD1" s="47"/>
      <c r="LE1" s="47"/>
      <c r="LF1" s="47"/>
      <c r="LG1" s="47"/>
      <c r="LH1" s="47"/>
      <c r="LI1" s="47"/>
      <c r="LJ1" s="47"/>
      <c r="LK1" s="47"/>
      <c r="LL1" s="47"/>
      <c r="LM1" s="47"/>
      <c r="LN1" s="47"/>
      <c r="LO1" s="47"/>
      <c r="LP1" s="47"/>
      <c r="LQ1" s="47"/>
      <c r="LR1" s="47"/>
      <c r="LS1" s="47"/>
      <c r="LT1" s="47"/>
      <c r="LU1" s="47"/>
      <c r="LV1" s="47"/>
      <c r="LW1" s="47"/>
      <c r="LX1" s="47"/>
      <c r="LY1" s="47"/>
      <c r="LZ1" s="47"/>
      <c r="MA1" s="47"/>
      <c r="MB1" s="47"/>
      <c r="MC1" s="47"/>
      <c r="MD1" s="47"/>
      <c r="ME1" s="47"/>
      <c r="MF1" s="47"/>
      <c r="MG1" s="47"/>
      <c r="MH1" s="47"/>
      <c r="MI1" s="47"/>
      <c r="MJ1" s="47"/>
      <c r="MK1" s="47"/>
      <c r="ML1" s="47"/>
      <c r="MM1" s="47"/>
      <c r="MN1" s="47"/>
      <c r="MO1" s="47"/>
      <c r="MP1" s="47"/>
      <c r="MQ1" s="47"/>
      <c r="MR1" s="47"/>
      <c r="MS1" s="47"/>
      <c r="MT1" s="47"/>
      <c r="MU1" s="47"/>
      <c r="MV1" s="47"/>
      <c r="MW1" s="47"/>
      <c r="MX1" s="47"/>
      <c r="MY1" s="47"/>
      <c r="MZ1" s="47"/>
      <c r="NA1" s="47"/>
      <c r="NB1" s="47"/>
      <c r="NC1" s="47"/>
      <c r="ND1" s="47"/>
      <c r="NE1" s="47"/>
      <c r="NF1" s="47"/>
      <c r="NG1" s="47"/>
      <c r="NH1" s="47"/>
      <c r="NI1" s="47"/>
      <c r="NJ1" s="47"/>
      <c r="NK1" s="47"/>
      <c r="NL1" s="47"/>
      <c r="NM1" s="47"/>
      <c r="NN1" s="47"/>
      <c r="NO1" s="47"/>
      <c r="NP1" s="47"/>
      <c r="NQ1" s="47"/>
      <c r="NR1" s="47"/>
      <c r="NS1" s="47"/>
      <c r="NT1" s="47"/>
      <c r="NU1" s="47"/>
      <c r="NV1" s="47"/>
      <c r="NW1" s="47"/>
      <c r="NX1" s="47"/>
      <c r="NY1" s="47"/>
      <c r="NZ1" s="47"/>
      <c r="OA1" s="47"/>
      <c r="OB1" s="47"/>
      <c r="OC1" s="47"/>
      <c r="OD1" s="47"/>
      <c r="OE1" s="47"/>
      <c r="OF1" s="47"/>
      <c r="OG1" s="47"/>
      <c r="OH1" s="47"/>
      <c r="OI1" s="47"/>
      <c r="OJ1" s="47"/>
      <c r="OK1" s="47"/>
      <c r="OL1" s="47"/>
      <c r="OM1" s="47"/>
      <c r="ON1" s="47"/>
      <c r="OO1" s="47"/>
      <c r="OP1" s="47"/>
      <c r="OQ1" s="47"/>
      <c r="OR1" s="47"/>
      <c r="OS1" s="47"/>
      <c r="OT1" s="47"/>
      <c r="OU1" s="47"/>
      <c r="OV1" s="47"/>
      <c r="OW1" s="47"/>
      <c r="OX1" s="47"/>
      <c r="OY1" s="47"/>
      <c r="OZ1" s="47"/>
      <c r="PA1" s="47"/>
      <c r="PB1" s="47"/>
      <c r="PC1" s="47"/>
      <c r="PD1" s="47"/>
      <c r="PE1" s="47"/>
      <c r="PF1" s="47"/>
      <c r="PG1" s="47"/>
      <c r="PH1" s="47"/>
      <c r="PI1" s="47"/>
      <c r="PJ1" s="47"/>
      <c r="PK1" s="47"/>
      <c r="PL1" s="47"/>
      <c r="PM1" s="47"/>
      <c r="PN1" s="47"/>
      <c r="PO1" s="47"/>
      <c r="PP1" s="47"/>
      <c r="PQ1" s="47"/>
      <c r="PR1" s="47"/>
      <c r="PS1" s="47"/>
      <c r="PT1" s="47"/>
      <c r="PU1" s="47"/>
      <c r="PV1" s="47"/>
      <c r="PW1" s="47"/>
      <c r="PX1" s="47"/>
      <c r="PY1" s="47"/>
      <c r="PZ1" s="47"/>
      <c r="QA1" s="47"/>
      <c r="QB1" s="47"/>
      <c r="QC1" s="47"/>
      <c r="QD1" s="47"/>
      <c r="QE1" s="47"/>
      <c r="QF1" s="47"/>
      <c r="QG1" s="47"/>
      <c r="QH1" s="47"/>
      <c r="QI1" s="47"/>
      <c r="QJ1" s="47"/>
      <c r="QK1" s="47"/>
      <c r="QL1" s="47"/>
      <c r="QM1" s="47"/>
      <c r="QN1" s="47"/>
      <c r="QO1" s="47"/>
      <c r="QP1" s="47"/>
      <c r="QQ1" s="47"/>
      <c r="QR1" s="47"/>
      <c r="QS1" s="47"/>
      <c r="QT1" s="47"/>
      <c r="QU1" s="47"/>
      <c r="QV1" s="47"/>
      <c r="QW1" s="47"/>
      <c r="QX1" s="47"/>
      <c r="QY1" s="47"/>
      <c r="QZ1" s="47"/>
      <c r="RA1" s="47"/>
      <c r="RB1" s="47"/>
      <c r="RC1" s="47"/>
      <c r="RD1" s="47"/>
      <c r="RE1" s="47"/>
      <c r="RF1" s="47"/>
      <c r="RG1" s="47"/>
      <c r="RH1" s="47"/>
      <c r="RI1" s="47"/>
      <c r="RJ1" s="47"/>
      <c r="RK1" s="47"/>
      <c r="RL1" s="47"/>
      <c r="RM1" s="47"/>
      <c r="RN1" s="47"/>
      <c r="RO1" s="47"/>
      <c r="RP1" s="47"/>
      <c r="RQ1" s="47"/>
      <c r="RR1" s="47"/>
      <c r="RS1" s="47"/>
      <c r="RT1" s="47"/>
      <c r="RU1" s="47"/>
      <c r="RV1" s="47"/>
      <c r="RW1" s="47"/>
      <c r="RX1" s="47"/>
      <c r="RY1" s="47"/>
      <c r="RZ1" s="47"/>
      <c r="SA1" s="47"/>
      <c r="SB1" s="47"/>
      <c r="SC1" s="47"/>
      <c r="SD1" s="47"/>
      <c r="SE1" s="47"/>
      <c r="SF1" s="47"/>
      <c r="SG1" s="47"/>
      <c r="SH1" s="47"/>
      <c r="SI1" s="47"/>
      <c r="SJ1" s="47"/>
      <c r="SK1" s="47"/>
      <c r="SL1" s="47"/>
      <c r="SM1" s="47"/>
      <c r="SN1" s="47"/>
      <c r="SO1" s="47"/>
      <c r="SP1" s="47"/>
      <c r="SQ1" s="47"/>
      <c r="SR1" s="47"/>
    </row>
    <row r="2" spans="1:512" x14ac:dyDescent="0.2">
      <c r="C2" s="45"/>
      <c r="D2" s="45"/>
      <c r="E2" s="49"/>
      <c r="F2" s="48"/>
    </row>
    <row r="3" spans="1:512" x14ac:dyDescent="0.2">
      <c r="A3" s="46" t="s">
        <v>403</v>
      </c>
      <c r="E3" s="48"/>
      <c r="F3" s="48"/>
    </row>
    <row r="4" spans="1:512" x14ac:dyDescent="0.2">
      <c r="E4" s="48"/>
      <c r="F4" s="48"/>
    </row>
    <row r="5" spans="1:512" s="169" customFormat="1" ht="27" customHeight="1" x14ac:dyDescent="0.2">
      <c r="A5" s="173" t="s">
        <v>385</v>
      </c>
      <c r="B5" s="1036" t="s">
        <v>454</v>
      </c>
      <c r="C5" s="1037"/>
      <c r="D5" s="1037"/>
      <c r="E5" s="1038"/>
      <c r="F5" s="170"/>
    </row>
    <row r="6" spans="1:512" x14ac:dyDescent="0.2">
      <c r="A6" s="46"/>
      <c r="B6" s="168"/>
      <c r="C6" s="169"/>
      <c r="D6" s="169"/>
      <c r="E6" s="170"/>
      <c r="F6" s="48"/>
    </row>
    <row r="7" spans="1:512" x14ac:dyDescent="0.2">
      <c r="A7" s="46" t="s">
        <v>404</v>
      </c>
      <c r="B7" s="168"/>
      <c r="C7" s="169"/>
      <c r="D7" s="169"/>
      <c r="E7" s="170"/>
      <c r="F7" s="48"/>
    </row>
    <row r="8" spans="1:512" x14ac:dyDescent="0.2">
      <c r="A8" s="46"/>
      <c r="B8" s="168"/>
      <c r="C8" s="169"/>
      <c r="D8" s="169"/>
      <c r="E8" s="170"/>
      <c r="F8" s="48"/>
    </row>
    <row r="9" spans="1:512" s="169" customFormat="1" ht="27" customHeight="1" x14ac:dyDescent="0.2">
      <c r="A9" s="173" t="s">
        <v>386</v>
      </c>
      <c r="B9" s="1036" t="s">
        <v>455</v>
      </c>
      <c r="C9" s="1037"/>
      <c r="D9" s="1037"/>
      <c r="E9" s="1038"/>
      <c r="F9" s="170"/>
    </row>
    <row r="10" spans="1:512" s="169" customFormat="1" ht="27" customHeight="1" x14ac:dyDescent="0.2">
      <c r="A10" s="173" t="s">
        <v>387</v>
      </c>
      <c r="B10" s="1036" t="s">
        <v>456</v>
      </c>
      <c r="C10" s="1037"/>
      <c r="D10" s="1037"/>
      <c r="E10" s="1038"/>
      <c r="F10" s="170"/>
    </row>
    <row r="11" spans="1:512" s="169" customFormat="1" ht="27" customHeight="1" x14ac:dyDescent="0.2">
      <c r="A11" s="173" t="s">
        <v>388</v>
      </c>
      <c r="B11" s="1036" t="s">
        <v>457</v>
      </c>
      <c r="C11" s="1037"/>
      <c r="D11" s="1037"/>
      <c r="E11" s="1038"/>
      <c r="F11" s="170"/>
    </row>
    <row r="12" spans="1:512" s="169" customFormat="1" ht="27" customHeight="1" x14ac:dyDescent="0.2">
      <c r="A12" s="173" t="s">
        <v>389</v>
      </c>
      <c r="B12" s="1036" t="s">
        <v>458</v>
      </c>
      <c r="C12" s="1037"/>
      <c r="D12" s="1037"/>
      <c r="E12" s="1038"/>
      <c r="F12" s="170"/>
    </row>
    <row r="13" spans="1:512" s="169" customFormat="1" ht="27" customHeight="1" x14ac:dyDescent="0.2">
      <c r="A13" s="173" t="s">
        <v>390</v>
      </c>
      <c r="B13" s="1036" t="s">
        <v>459</v>
      </c>
      <c r="C13" s="1037"/>
      <c r="D13" s="1037"/>
      <c r="E13" s="1038"/>
      <c r="F13" s="170"/>
    </row>
    <row r="14" spans="1:512" s="169" customFormat="1" ht="27" customHeight="1" x14ac:dyDescent="0.2">
      <c r="A14" s="173" t="s">
        <v>391</v>
      </c>
      <c r="B14" s="1036" t="s">
        <v>460</v>
      </c>
      <c r="C14" s="1037"/>
      <c r="D14" s="1037"/>
      <c r="E14" s="1038"/>
      <c r="F14" s="170"/>
    </row>
    <row r="15" spans="1:512" s="169" customFormat="1" ht="27" customHeight="1" x14ac:dyDescent="0.2">
      <c r="A15" s="173" t="s">
        <v>392</v>
      </c>
      <c r="B15" s="1036" t="s">
        <v>461</v>
      </c>
      <c r="C15" s="1037"/>
      <c r="D15" s="1037"/>
      <c r="E15" s="1038"/>
      <c r="F15" s="170"/>
    </row>
    <row r="16" spans="1:512" x14ac:dyDescent="0.2">
      <c r="A16" s="46"/>
      <c r="B16" s="168"/>
      <c r="C16" s="169"/>
      <c r="D16" s="169"/>
      <c r="E16" s="170"/>
      <c r="F16" s="48"/>
    </row>
    <row r="17" spans="1:6" x14ac:dyDescent="0.2">
      <c r="A17" s="46" t="s">
        <v>405</v>
      </c>
      <c r="B17" s="168"/>
      <c r="C17" s="169"/>
      <c r="D17" s="169"/>
      <c r="E17" s="170"/>
      <c r="F17" s="48"/>
    </row>
    <row r="18" spans="1:6" x14ac:dyDescent="0.2">
      <c r="A18" s="46"/>
      <c r="B18" s="168"/>
      <c r="C18" s="169"/>
      <c r="D18" s="169"/>
      <c r="E18" s="170"/>
      <c r="F18" s="48"/>
    </row>
    <row r="19" spans="1:6" s="169" customFormat="1" ht="27" customHeight="1" x14ac:dyDescent="0.2">
      <c r="A19" s="173" t="s">
        <v>393</v>
      </c>
      <c r="B19" s="1036" t="s">
        <v>462</v>
      </c>
      <c r="C19" s="1037"/>
      <c r="D19" s="1037"/>
      <c r="E19" s="1038"/>
      <c r="F19" s="170"/>
    </row>
    <row r="20" spans="1:6" s="169" customFormat="1" ht="27" customHeight="1" x14ac:dyDescent="0.2">
      <c r="A20" s="173" t="s">
        <v>394</v>
      </c>
      <c r="B20" s="1036" t="s">
        <v>463</v>
      </c>
      <c r="C20" s="1037"/>
      <c r="D20" s="1037"/>
      <c r="E20" s="1038"/>
      <c r="F20" s="170"/>
    </row>
    <row r="21" spans="1:6" s="169" customFormat="1" ht="27" customHeight="1" x14ac:dyDescent="0.2">
      <c r="A21" s="173" t="s">
        <v>395</v>
      </c>
      <c r="B21" s="1036" t="s">
        <v>464</v>
      </c>
      <c r="C21" s="1037"/>
      <c r="D21" s="1037"/>
      <c r="E21" s="1038"/>
      <c r="F21" s="170"/>
    </row>
    <row r="22" spans="1:6" x14ac:dyDescent="0.2">
      <c r="A22" s="46"/>
      <c r="B22" s="168"/>
      <c r="C22" s="169"/>
      <c r="D22" s="169"/>
      <c r="E22" s="170"/>
      <c r="F22" s="48"/>
    </row>
    <row r="23" spans="1:6" x14ac:dyDescent="0.2">
      <c r="A23" s="46" t="s">
        <v>406</v>
      </c>
      <c r="B23" s="168"/>
      <c r="C23" s="169"/>
      <c r="D23" s="169"/>
      <c r="E23" s="170"/>
      <c r="F23" s="48"/>
    </row>
    <row r="24" spans="1:6" x14ac:dyDescent="0.2">
      <c r="A24" s="46"/>
      <c r="B24" s="168"/>
      <c r="C24" s="169"/>
      <c r="D24" s="169"/>
      <c r="E24" s="170"/>
      <c r="F24" s="48"/>
    </row>
    <row r="25" spans="1:6" s="169" customFormat="1" ht="27" customHeight="1" x14ac:dyDescent="0.2">
      <c r="A25" s="173" t="s">
        <v>396</v>
      </c>
      <c r="B25" s="1036" t="s">
        <v>465</v>
      </c>
      <c r="C25" s="1037"/>
      <c r="D25" s="1037"/>
      <c r="E25" s="1038"/>
      <c r="F25" s="170"/>
    </row>
    <row r="26" spans="1:6" s="169" customFormat="1" ht="27" customHeight="1" x14ac:dyDescent="0.2">
      <c r="A26" s="173" t="s">
        <v>397</v>
      </c>
      <c r="B26" s="1036" t="s">
        <v>466</v>
      </c>
      <c r="C26" s="1037"/>
      <c r="D26" s="1037"/>
      <c r="E26" s="1038"/>
      <c r="F26" s="170"/>
    </row>
    <row r="27" spans="1:6" s="169" customFormat="1" ht="27" customHeight="1" x14ac:dyDescent="0.2">
      <c r="A27" s="173" t="s">
        <v>398</v>
      </c>
      <c r="B27" s="1036" t="s">
        <v>467</v>
      </c>
      <c r="C27" s="1037"/>
      <c r="D27" s="1037"/>
      <c r="E27" s="1038"/>
      <c r="F27" s="170"/>
    </row>
    <row r="28" spans="1:6" s="169" customFormat="1" ht="27" customHeight="1" x14ac:dyDescent="0.2">
      <c r="A28" s="173" t="s">
        <v>399</v>
      </c>
      <c r="B28" s="1036" t="s">
        <v>468</v>
      </c>
      <c r="C28" s="1037"/>
      <c r="D28" s="1037"/>
      <c r="E28" s="1038"/>
      <c r="F28" s="170"/>
    </row>
    <row r="29" spans="1:6" s="169" customFormat="1" ht="27" customHeight="1" x14ac:dyDescent="0.2">
      <c r="A29" s="173" t="s">
        <v>400</v>
      </c>
      <c r="B29" s="1036" t="s">
        <v>469</v>
      </c>
      <c r="C29" s="1037"/>
      <c r="D29" s="1037"/>
      <c r="E29" s="1038"/>
      <c r="F29" s="170"/>
    </row>
    <row r="30" spans="1:6" x14ac:dyDescent="0.2">
      <c r="A30" s="46"/>
      <c r="B30" s="168"/>
      <c r="C30" s="169"/>
      <c r="D30" s="169"/>
      <c r="E30" s="170"/>
      <c r="F30" s="48"/>
    </row>
    <row r="31" spans="1:6" x14ac:dyDescent="0.2">
      <c r="A31" s="46" t="s">
        <v>31</v>
      </c>
      <c r="B31" s="168"/>
      <c r="C31" s="169"/>
      <c r="D31" s="169"/>
      <c r="E31" s="170"/>
      <c r="F31" s="48"/>
    </row>
    <row r="32" spans="1:6" x14ac:dyDescent="0.2">
      <c r="A32" s="46"/>
      <c r="B32" s="168"/>
      <c r="C32" s="169"/>
      <c r="D32" s="169"/>
      <c r="E32" s="170"/>
      <c r="F32" s="48"/>
    </row>
    <row r="33" spans="1:6" s="169" customFormat="1" ht="27" customHeight="1" x14ac:dyDescent="0.2">
      <c r="A33" s="173" t="s">
        <v>401</v>
      </c>
      <c r="B33" s="1036" t="s">
        <v>470</v>
      </c>
      <c r="C33" s="1037"/>
      <c r="D33" s="1037"/>
      <c r="E33" s="1038"/>
      <c r="F33" s="170"/>
    </row>
    <row r="34" spans="1:6" s="169" customFormat="1" ht="27" customHeight="1" x14ac:dyDescent="0.2">
      <c r="A34" s="173" t="s">
        <v>402</v>
      </c>
      <c r="B34" s="1036" t="s">
        <v>471</v>
      </c>
      <c r="C34" s="1037"/>
      <c r="D34" s="1037"/>
      <c r="E34" s="1038"/>
      <c r="F34" s="170"/>
    </row>
  </sheetData>
  <mergeCells count="18">
    <mergeCell ref="B33:E33"/>
    <mergeCell ref="B34:E34"/>
    <mergeCell ref="B9:E9"/>
    <mergeCell ref="B10:E10"/>
    <mergeCell ref="B11:E11"/>
    <mergeCell ref="B15:E15"/>
    <mergeCell ref="B21:E21"/>
    <mergeCell ref="B25:E25"/>
    <mergeCell ref="B26:E26"/>
    <mergeCell ref="B27:E27"/>
    <mergeCell ref="B28:E28"/>
    <mergeCell ref="B29:E29"/>
    <mergeCell ref="B20:E20"/>
    <mergeCell ref="B5:E5"/>
    <mergeCell ref="B12:E12"/>
    <mergeCell ref="B13:E13"/>
    <mergeCell ref="B14:E14"/>
    <mergeCell ref="B19:E19"/>
  </mergeCells>
  <pageMargins left="0.8203125" right="0.70866141732283472" top="0.74803149606299213" bottom="0.74803149606299213" header="0.31496062992125984" footer="0.31496062992125984"/>
  <pageSetup paperSize="9" scale="75" orientation="portrait" r:id="rId1"/>
  <headerFooter>
    <oddHeader xml:space="preserve">&amp;C&amp;"Arial,Negrita"&amp;18FORMATOS DEL PROYECTO DE PRESUPUESTO 2022
</oddHeader>
    <oddFooter>&amp;L&amp;"Arial,Negrita"&amp;8PROYECTO DE PRESUPUESTO PARA EL AÑO FISCAL 2020
INFORMACIÓN PARA LA COMISIÓN DE PRESUPUESTO Y CUENTA GENERAL DE LA REPÚBLICA DEL CONGRESO DE LA REPÚBLICA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AE151"/>
  <sheetViews>
    <sheetView zoomScaleNormal="100" zoomScaleSheetLayoutView="90" zoomScalePageLayoutView="85" workbookViewId="0">
      <selection activeCell="E80" sqref="E80"/>
    </sheetView>
  </sheetViews>
  <sheetFormatPr baseColWidth="10" defaultColWidth="11.42578125" defaultRowHeight="12.75" x14ac:dyDescent="0.2"/>
  <cols>
    <col min="1" max="1" width="1.42578125" style="50" customWidth="1"/>
    <col min="2" max="2" width="41.28515625" style="8" customWidth="1"/>
    <col min="3" max="10" width="7" style="8" customWidth="1"/>
    <col min="11" max="11" width="8.140625" style="8" customWidth="1"/>
    <col min="12" max="12" width="7" style="8" customWidth="1"/>
    <col min="13" max="13" width="12.140625" style="8" customWidth="1"/>
    <col min="14" max="14" width="8.42578125" style="8" customWidth="1"/>
    <col min="15" max="15" width="16.140625" style="8" customWidth="1"/>
    <col min="16" max="26" width="7" style="8" customWidth="1"/>
    <col min="27" max="27" width="9.140625" style="39" customWidth="1"/>
    <col min="28" max="28" width="13.42578125" customWidth="1"/>
    <col min="29" max="31" width="10.7109375" customWidth="1"/>
    <col min="32" max="16384" width="11.42578125" style="50"/>
  </cols>
  <sheetData>
    <row r="1" spans="2:31" s="220" customFormat="1" ht="15.75" x14ac:dyDescent="0.2">
      <c r="B1" s="221" t="s">
        <v>431</v>
      </c>
      <c r="C1" s="222"/>
      <c r="D1" s="222"/>
      <c r="E1" s="222"/>
      <c r="F1" s="222"/>
      <c r="G1" s="222"/>
      <c r="H1" s="222"/>
      <c r="I1" s="222"/>
      <c r="J1" s="222"/>
      <c r="K1" s="222"/>
      <c r="L1" s="222"/>
      <c r="M1" s="222"/>
      <c r="N1" s="222"/>
      <c r="O1" s="222"/>
      <c r="P1" s="222"/>
      <c r="Q1" s="222"/>
      <c r="R1" s="222"/>
      <c r="S1" s="222"/>
      <c r="T1" s="222"/>
      <c r="U1" s="222"/>
      <c r="V1" s="222"/>
      <c r="W1" s="222"/>
      <c r="X1" s="222"/>
      <c r="Y1" s="222"/>
      <c r="Z1" s="222"/>
    </row>
    <row r="2" spans="2:31" s="220" customFormat="1" ht="15.75" x14ac:dyDescent="0.2">
      <c r="B2" s="221" t="s">
        <v>548</v>
      </c>
      <c r="C2" s="222"/>
      <c r="D2" s="222"/>
      <c r="E2" s="222"/>
      <c r="F2" s="222"/>
      <c r="G2" s="222"/>
      <c r="H2" s="222"/>
      <c r="I2" s="222"/>
      <c r="J2" s="222"/>
      <c r="K2" s="222"/>
      <c r="L2" s="222"/>
      <c r="M2" s="222"/>
      <c r="N2" s="222"/>
      <c r="O2" s="222"/>
      <c r="P2" s="222"/>
      <c r="Q2" s="222"/>
      <c r="R2" s="222"/>
      <c r="S2" s="222"/>
      <c r="T2" s="222"/>
      <c r="U2" s="222"/>
      <c r="V2" s="222"/>
      <c r="W2" s="222"/>
      <c r="X2" s="222"/>
      <c r="Y2" s="222"/>
      <c r="Z2" s="222"/>
    </row>
    <row r="3" spans="2:31" s="36" customFormat="1" ht="15.75" x14ac:dyDescent="0.25">
      <c r="B3" s="158" t="s">
        <v>367</v>
      </c>
    </row>
    <row r="4" spans="2:31" ht="13.5" thickBot="1" x14ac:dyDescent="0.25">
      <c r="O4" s="223"/>
      <c r="Z4" s="223"/>
    </row>
    <row r="5" spans="2:31" s="31" customFormat="1" ht="26.25" customHeight="1" x14ac:dyDescent="0.2">
      <c r="B5" s="80" t="s">
        <v>11</v>
      </c>
      <c r="C5" s="1083" t="s">
        <v>475</v>
      </c>
      <c r="D5" s="1083"/>
      <c r="E5" s="1083"/>
      <c r="F5" s="1083"/>
      <c r="G5" s="1083"/>
      <c r="H5" s="1083"/>
      <c r="I5" s="1083"/>
      <c r="J5" s="1083"/>
      <c r="K5" s="1083"/>
      <c r="L5" s="1083"/>
      <c r="M5" s="1083"/>
      <c r="N5" s="1083"/>
      <c r="O5" s="1084"/>
      <c r="P5" s="1085" t="s">
        <v>476</v>
      </c>
      <c r="Q5" s="1083"/>
      <c r="R5" s="1083"/>
      <c r="S5" s="1083"/>
      <c r="T5" s="1083"/>
      <c r="U5" s="1083"/>
      <c r="V5" s="1083"/>
      <c r="W5" s="1083"/>
      <c r="X5" s="1083"/>
      <c r="Y5" s="1083"/>
      <c r="Z5" s="1083"/>
      <c r="AA5" s="1083"/>
      <c r="AB5" s="1084"/>
    </row>
    <row r="6" spans="2:31" s="32" customFormat="1" ht="99.95" customHeight="1" x14ac:dyDescent="0.2">
      <c r="B6" s="81" t="s">
        <v>10</v>
      </c>
      <c r="C6" s="82" t="s">
        <v>368</v>
      </c>
      <c r="D6" s="82" t="s">
        <v>137</v>
      </c>
      <c r="E6" s="83" t="s">
        <v>326</v>
      </c>
      <c r="F6" s="83" t="s">
        <v>320</v>
      </c>
      <c r="G6" s="83" t="s">
        <v>328</v>
      </c>
      <c r="H6" s="83" t="s">
        <v>329</v>
      </c>
      <c r="I6" s="83" t="s">
        <v>330</v>
      </c>
      <c r="J6" s="83" t="s">
        <v>335</v>
      </c>
      <c r="K6" s="84" t="s">
        <v>549</v>
      </c>
      <c r="L6" s="84" t="s">
        <v>550</v>
      </c>
      <c r="M6" s="84" t="s">
        <v>551</v>
      </c>
      <c r="N6" s="85" t="s">
        <v>333</v>
      </c>
      <c r="O6" s="86" t="s">
        <v>334</v>
      </c>
      <c r="P6" s="82" t="s">
        <v>368</v>
      </c>
      <c r="Q6" s="82" t="s">
        <v>137</v>
      </c>
      <c r="R6" s="83" t="s">
        <v>326</v>
      </c>
      <c r="S6" s="83" t="s">
        <v>320</v>
      </c>
      <c r="T6" s="83" t="s">
        <v>328</v>
      </c>
      <c r="U6" s="83" t="s">
        <v>329</v>
      </c>
      <c r="V6" s="83" t="s">
        <v>330</v>
      </c>
      <c r="W6" s="83" t="s">
        <v>335</v>
      </c>
      <c r="X6" s="84" t="s">
        <v>549</v>
      </c>
      <c r="Y6" s="84" t="s">
        <v>550</v>
      </c>
      <c r="Z6" s="84" t="s">
        <v>551</v>
      </c>
      <c r="AA6" s="85" t="s">
        <v>333</v>
      </c>
      <c r="AB6" s="86" t="s">
        <v>334</v>
      </c>
    </row>
    <row r="7" spans="2:31" x14ac:dyDescent="0.2">
      <c r="B7" s="9"/>
      <c r="O7" s="13"/>
      <c r="AA7" s="8"/>
      <c r="AB7" s="13"/>
      <c r="AD7" s="50"/>
      <c r="AE7" s="50"/>
    </row>
    <row r="8" spans="2:31" x14ac:dyDescent="0.2">
      <c r="B8" s="10" t="s">
        <v>8</v>
      </c>
      <c r="C8" s="224">
        <f>SUM(C10:C16)</f>
        <v>136</v>
      </c>
      <c r="D8" s="224"/>
      <c r="E8" s="224"/>
      <c r="F8" s="224"/>
      <c r="G8" s="224"/>
      <c r="H8" s="224"/>
      <c r="I8" s="224"/>
      <c r="J8" s="224"/>
      <c r="K8" s="224"/>
      <c r="L8" s="224"/>
      <c r="M8" s="224"/>
      <c r="N8" s="224">
        <f>SUM(C8:M8)</f>
        <v>136</v>
      </c>
      <c r="O8" s="225">
        <f>SUM(O10:O16)</f>
        <v>4828306.96</v>
      </c>
      <c r="P8" s="224">
        <f>SUM(P10:P16)</f>
        <v>136</v>
      </c>
      <c r="Q8" s="224"/>
      <c r="R8" s="224"/>
      <c r="S8" s="224"/>
      <c r="T8" s="224"/>
      <c r="U8" s="224"/>
      <c r="V8" s="224"/>
      <c r="W8" s="224"/>
      <c r="X8" s="224"/>
      <c r="Y8" s="224"/>
      <c r="Z8" s="224"/>
      <c r="AA8" s="224">
        <f>SUM(P8:Z8)</f>
        <v>136</v>
      </c>
      <c r="AB8" s="225">
        <f>SUM(AB10:AB16)</f>
        <v>4828306.96</v>
      </c>
      <c r="AD8" s="50"/>
      <c r="AE8" s="50"/>
    </row>
    <row r="9" spans="2:31" x14ac:dyDescent="0.2">
      <c r="B9" s="9"/>
      <c r="O9" s="226"/>
      <c r="AA9" s="8"/>
      <c r="AB9" s="226"/>
      <c r="AD9" s="50"/>
      <c r="AE9" s="50"/>
    </row>
    <row r="10" spans="2:31" x14ac:dyDescent="0.2">
      <c r="B10" s="9" t="s">
        <v>552</v>
      </c>
      <c r="C10" s="8">
        <v>1</v>
      </c>
      <c r="N10" s="8">
        <f t="shared" ref="N10:N73" si="0">SUM(C10:M10)</f>
        <v>1</v>
      </c>
      <c r="O10" s="226">
        <v>12027.76</v>
      </c>
      <c r="P10" s="8">
        <v>1</v>
      </c>
      <c r="AA10" s="8">
        <f t="shared" ref="AA10:AA16" si="1">SUM(P10:Z10)</f>
        <v>1</v>
      </c>
      <c r="AB10" s="226">
        <v>12027.76</v>
      </c>
      <c r="AD10" s="50"/>
      <c r="AE10" s="50"/>
    </row>
    <row r="11" spans="2:31" x14ac:dyDescent="0.2">
      <c r="B11" s="9" t="s">
        <v>553</v>
      </c>
      <c r="C11" s="8">
        <v>2</v>
      </c>
      <c r="N11" s="8">
        <f t="shared" si="0"/>
        <v>2</v>
      </c>
      <c r="O11" s="226">
        <v>91868.479999999996</v>
      </c>
      <c r="P11" s="8">
        <v>2</v>
      </c>
      <c r="AA11" s="8">
        <f t="shared" si="1"/>
        <v>2</v>
      </c>
      <c r="AB11" s="226">
        <v>91868.479999999996</v>
      </c>
      <c r="AD11" s="50"/>
      <c r="AE11" s="50"/>
    </row>
    <row r="12" spans="2:31" x14ac:dyDescent="0.2">
      <c r="B12" s="9" t="s">
        <v>554</v>
      </c>
      <c r="C12" s="8">
        <v>24</v>
      </c>
      <c r="N12" s="8">
        <f t="shared" si="0"/>
        <v>24</v>
      </c>
      <c r="O12" s="226">
        <v>1143266.6399999999</v>
      </c>
      <c r="P12" s="8">
        <v>24</v>
      </c>
      <c r="AA12" s="8">
        <f t="shared" si="1"/>
        <v>24</v>
      </c>
      <c r="AB12" s="226">
        <v>1143266.6399999999</v>
      </c>
      <c r="AD12" s="50"/>
      <c r="AE12" s="50"/>
    </row>
    <row r="13" spans="2:31" x14ac:dyDescent="0.2">
      <c r="B13" s="9" t="s">
        <v>555</v>
      </c>
      <c r="C13" s="8">
        <v>22</v>
      </c>
      <c r="N13" s="8">
        <f t="shared" si="0"/>
        <v>22</v>
      </c>
      <c r="O13" s="226">
        <v>832267.96</v>
      </c>
      <c r="P13" s="8">
        <v>22</v>
      </c>
      <c r="AA13" s="8">
        <f t="shared" si="1"/>
        <v>22</v>
      </c>
      <c r="AB13" s="226">
        <v>832267.96</v>
      </c>
      <c r="AD13" s="50"/>
      <c r="AE13" s="50"/>
    </row>
    <row r="14" spans="2:31" x14ac:dyDescent="0.2">
      <c r="B14" s="9" t="s">
        <v>556</v>
      </c>
      <c r="C14" s="8">
        <v>71</v>
      </c>
      <c r="N14" s="8">
        <f t="shared" si="0"/>
        <v>71</v>
      </c>
      <c r="O14" s="226">
        <v>2285659.16</v>
      </c>
      <c r="P14" s="8">
        <v>71</v>
      </c>
      <c r="AA14" s="8">
        <f t="shared" si="1"/>
        <v>71</v>
      </c>
      <c r="AB14" s="226">
        <v>2285659.16</v>
      </c>
      <c r="AD14" s="50"/>
      <c r="AE14" s="50"/>
    </row>
    <row r="15" spans="2:31" x14ac:dyDescent="0.2">
      <c r="B15" s="9" t="s">
        <v>557</v>
      </c>
      <c r="C15" s="8">
        <v>12</v>
      </c>
      <c r="N15" s="8">
        <f t="shared" si="0"/>
        <v>12</v>
      </c>
      <c r="O15" s="226">
        <v>346489.92</v>
      </c>
      <c r="P15" s="8">
        <v>12</v>
      </c>
      <c r="AA15" s="8">
        <f t="shared" si="1"/>
        <v>12</v>
      </c>
      <c r="AB15" s="226">
        <v>346489.92</v>
      </c>
      <c r="AD15" s="50"/>
      <c r="AE15" s="50"/>
    </row>
    <row r="16" spans="2:31" x14ac:dyDescent="0.2">
      <c r="B16" s="9" t="s">
        <v>13</v>
      </c>
      <c r="C16" s="8">
        <v>4</v>
      </c>
      <c r="N16" s="8">
        <f t="shared" si="0"/>
        <v>4</v>
      </c>
      <c r="O16" s="226">
        <v>116727.03999999999</v>
      </c>
      <c r="P16" s="8">
        <v>4</v>
      </c>
      <c r="AA16" s="8">
        <f t="shared" si="1"/>
        <v>4</v>
      </c>
      <c r="AB16" s="226">
        <v>116727.03999999999</v>
      </c>
      <c r="AD16" s="50"/>
      <c r="AE16" s="50"/>
    </row>
    <row r="17" spans="2:31" x14ac:dyDescent="0.2">
      <c r="B17" s="9"/>
      <c r="O17" s="13"/>
      <c r="AA17" s="8"/>
      <c r="AB17" s="13"/>
      <c r="AD17" s="50"/>
      <c r="AE17" s="50"/>
    </row>
    <row r="18" spans="2:31" x14ac:dyDescent="0.2">
      <c r="B18" s="10" t="s">
        <v>5</v>
      </c>
      <c r="C18" s="224">
        <f>SUM(C19:C25)</f>
        <v>99</v>
      </c>
      <c r="D18" s="224"/>
      <c r="E18" s="224"/>
      <c r="F18" s="224"/>
      <c r="G18" s="224"/>
      <c r="H18" s="224"/>
      <c r="I18" s="224"/>
      <c r="J18" s="224"/>
      <c r="K18" s="224"/>
      <c r="L18" s="224"/>
      <c r="M18" s="224"/>
      <c r="N18" s="224">
        <f t="shared" si="0"/>
        <v>99</v>
      </c>
      <c r="O18" s="225">
        <f>SUM(O20:O25)</f>
        <v>2614276.3199999998</v>
      </c>
      <c r="P18" s="224">
        <f>SUM(P19:P25)</f>
        <v>99</v>
      </c>
      <c r="Q18" s="224"/>
      <c r="R18" s="224"/>
      <c r="S18" s="224"/>
      <c r="T18" s="224"/>
      <c r="U18" s="224"/>
      <c r="V18" s="224"/>
      <c r="W18" s="224"/>
      <c r="X18" s="224"/>
      <c r="Y18" s="224"/>
      <c r="Z18" s="224"/>
      <c r="AA18" s="224">
        <f t="shared" ref="AA18" si="2">SUM(P18:Z18)</f>
        <v>99</v>
      </c>
      <c r="AB18" s="225">
        <f>SUM(AB20:AB25)</f>
        <v>2614276.3199999998</v>
      </c>
      <c r="AD18" s="50"/>
      <c r="AE18" s="50"/>
    </row>
    <row r="19" spans="2:31" x14ac:dyDescent="0.2">
      <c r="B19" s="5"/>
      <c r="O19" s="13"/>
      <c r="AA19" s="8"/>
      <c r="AB19" s="13"/>
      <c r="AD19" s="50"/>
      <c r="AE19" s="50"/>
    </row>
    <row r="20" spans="2:31" x14ac:dyDescent="0.2">
      <c r="B20" s="9" t="s">
        <v>14</v>
      </c>
      <c r="C20" s="8">
        <v>20</v>
      </c>
      <c r="N20" s="8">
        <f t="shared" si="0"/>
        <v>20</v>
      </c>
      <c r="O20" s="226">
        <v>499678.88</v>
      </c>
      <c r="P20" s="8">
        <v>20</v>
      </c>
      <c r="AA20" s="8">
        <f t="shared" ref="AA20:AA25" si="3">SUM(P20:Z20)</f>
        <v>20</v>
      </c>
      <c r="AB20" s="226">
        <v>499678.88</v>
      </c>
      <c r="AD20" s="50"/>
      <c r="AE20" s="50"/>
    </row>
    <row r="21" spans="2:31" x14ac:dyDescent="0.2">
      <c r="B21" s="9" t="s">
        <v>558</v>
      </c>
      <c r="C21" s="8">
        <v>42</v>
      </c>
      <c r="N21" s="8">
        <f t="shared" si="0"/>
        <v>42</v>
      </c>
      <c r="O21" s="226">
        <v>1076111.04</v>
      </c>
      <c r="P21" s="8">
        <v>42</v>
      </c>
      <c r="AA21" s="8">
        <f t="shared" si="3"/>
        <v>42</v>
      </c>
      <c r="AB21" s="226">
        <v>1076111.04</v>
      </c>
      <c r="AD21" s="50"/>
      <c r="AE21" s="50"/>
    </row>
    <row r="22" spans="2:31" x14ac:dyDescent="0.2">
      <c r="B22" s="9" t="s">
        <v>559</v>
      </c>
      <c r="C22" s="8">
        <v>6</v>
      </c>
      <c r="N22" s="8">
        <f t="shared" si="0"/>
        <v>6</v>
      </c>
      <c r="O22" s="226">
        <v>171238.8</v>
      </c>
      <c r="P22" s="8">
        <v>6</v>
      </c>
      <c r="AA22" s="8">
        <f t="shared" si="3"/>
        <v>6</v>
      </c>
      <c r="AB22" s="226">
        <v>171238.8</v>
      </c>
      <c r="AD22" s="50"/>
      <c r="AE22" s="50"/>
    </row>
    <row r="23" spans="2:31" x14ac:dyDescent="0.2">
      <c r="B23" s="9" t="s">
        <v>560</v>
      </c>
      <c r="C23" s="8">
        <v>2</v>
      </c>
      <c r="N23" s="8">
        <f t="shared" si="0"/>
        <v>2</v>
      </c>
      <c r="O23" s="226">
        <v>56458.64</v>
      </c>
      <c r="P23" s="8">
        <v>2</v>
      </c>
      <c r="AA23" s="8">
        <f t="shared" si="3"/>
        <v>2</v>
      </c>
      <c r="AB23" s="226">
        <v>56458.64</v>
      </c>
      <c r="AD23" s="50"/>
      <c r="AE23" s="50"/>
    </row>
    <row r="24" spans="2:31" x14ac:dyDescent="0.2">
      <c r="B24" s="9" t="s">
        <v>15</v>
      </c>
      <c r="C24" s="8">
        <v>25</v>
      </c>
      <c r="N24" s="8">
        <f t="shared" si="0"/>
        <v>25</v>
      </c>
      <c r="O24" s="226">
        <v>699910.24</v>
      </c>
      <c r="P24" s="8">
        <v>25</v>
      </c>
      <c r="AA24" s="8">
        <f t="shared" si="3"/>
        <v>25</v>
      </c>
      <c r="AB24" s="226">
        <v>699910.24</v>
      </c>
      <c r="AD24" s="50"/>
      <c r="AE24" s="50"/>
    </row>
    <row r="25" spans="2:31" x14ac:dyDescent="0.2">
      <c r="B25" s="9" t="s">
        <v>561</v>
      </c>
      <c r="C25" s="8">
        <v>4</v>
      </c>
      <c r="N25" s="8">
        <f t="shared" si="0"/>
        <v>4</v>
      </c>
      <c r="O25" s="226">
        <v>110878.72</v>
      </c>
      <c r="P25" s="8">
        <v>4</v>
      </c>
      <c r="AA25" s="8">
        <f t="shared" si="3"/>
        <v>4</v>
      </c>
      <c r="AB25" s="226">
        <v>110878.72</v>
      </c>
      <c r="AD25" s="50"/>
      <c r="AE25" s="50"/>
    </row>
    <row r="26" spans="2:31" x14ac:dyDescent="0.2">
      <c r="B26" s="9"/>
      <c r="O26" s="13"/>
      <c r="AA26" s="8"/>
      <c r="AB26" s="13"/>
      <c r="AD26" s="50"/>
      <c r="AE26" s="50"/>
    </row>
    <row r="27" spans="2:31" x14ac:dyDescent="0.2">
      <c r="B27" s="10" t="s">
        <v>6</v>
      </c>
      <c r="C27" s="224">
        <f>SUM(C28:C35)</f>
        <v>444</v>
      </c>
      <c r="D27" s="224"/>
      <c r="E27" s="224"/>
      <c r="F27" s="224"/>
      <c r="G27" s="224"/>
      <c r="H27" s="224"/>
      <c r="I27" s="224"/>
      <c r="J27" s="224"/>
      <c r="K27" s="224"/>
      <c r="L27" s="224"/>
      <c r="M27" s="224"/>
      <c r="N27" s="224">
        <f t="shared" si="0"/>
        <v>444</v>
      </c>
      <c r="O27" s="225">
        <f>SUM(O29:O34)</f>
        <v>11160301.32</v>
      </c>
      <c r="P27" s="224">
        <f>SUM(P28:P35)</f>
        <v>444</v>
      </c>
      <c r="Q27" s="224"/>
      <c r="R27" s="224"/>
      <c r="S27" s="224"/>
      <c r="T27" s="224"/>
      <c r="U27" s="224"/>
      <c r="V27" s="224"/>
      <c r="W27" s="224"/>
      <c r="X27" s="224"/>
      <c r="Y27" s="224"/>
      <c r="Z27" s="224"/>
      <c r="AA27" s="224">
        <f t="shared" ref="AA27" si="4">SUM(P27:Z27)</f>
        <v>444</v>
      </c>
      <c r="AB27" s="225">
        <f>SUM(AB29:AB34)</f>
        <v>11160301.32</v>
      </c>
      <c r="AD27" s="50"/>
      <c r="AE27" s="50"/>
    </row>
    <row r="28" spans="2:31" x14ac:dyDescent="0.2">
      <c r="B28" s="5"/>
      <c r="O28" s="13"/>
      <c r="AA28" s="8"/>
      <c r="AB28" s="13"/>
      <c r="AD28" s="50"/>
      <c r="AE28" s="50"/>
    </row>
    <row r="29" spans="2:31" x14ac:dyDescent="0.2">
      <c r="B29" s="9" t="s">
        <v>16</v>
      </c>
      <c r="C29" s="8">
        <v>117</v>
      </c>
      <c r="N29" s="8">
        <f t="shared" si="0"/>
        <v>117</v>
      </c>
      <c r="O29" s="226">
        <v>2967142.8</v>
      </c>
      <c r="P29" s="8">
        <v>117</v>
      </c>
      <c r="AA29" s="8">
        <f t="shared" ref="AA29:AA34" si="5">SUM(P29:Z29)</f>
        <v>117</v>
      </c>
      <c r="AB29" s="226">
        <v>2967142.8</v>
      </c>
      <c r="AD29" s="50"/>
      <c r="AE29" s="50"/>
    </row>
    <row r="30" spans="2:31" x14ac:dyDescent="0.2">
      <c r="B30" s="9" t="s">
        <v>562</v>
      </c>
      <c r="C30" s="8">
        <v>193</v>
      </c>
      <c r="N30" s="8">
        <f t="shared" si="0"/>
        <v>193</v>
      </c>
      <c r="O30" s="226">
        <v>4728120.4000000004</v>
      </c>
      <c r="P30" s="8">
        <v>193</v>
      </c>
      <c r="AA30" s="8">
        <f t="shared" si="5"/>
        <v>193</v>
      </c>
      <c r="AB30" s="226">
        <v>4728120.4000000004</v>
      </c>
      <c r="AD30" s="50"/>
      <c r="AE30" s="50"/>
    </row>
    <row r="31" spans="2:31" x14ac:dyDescent="0.2">
      <c r="B31" s="9" t="s">
        <v>563</v>
      </c>
      <c r="C31" s="8">
        <v>25</v>
      </c>
      <c r="N31" s="8">
        <f t="shared" si="0"/>
        <v>25</v>
      </c>
      <c r="O31" s="226">
        <v>608815.84</v>
      </c>
      <c r="P31" s="8">
        <v>25</v>
      </c>
      <c r="AA31" s="8">
        <f t="shared" si="5"/>
        <v>25</v>
      </c>
      <c r="AB31" s="226">
        <v>608815.84</v>
      </c>
      <c r="AD31" s="50"/>
      <c r="AE31" s="50"/>
    </row>
    <row r="32" spans="2:31" x14ac:dyDescent="0.2">
      <c r="B32" s="9" t="s">
        <v>564</v>
      </c>
      <c r="C32" s="8">
        <v>13</v>
      </c>
      <c r="N32" s="8">
        <f t="shared" si="0"/>
        <v>13</v>
      </c>
      <c r="O32" s="226">
        <v>331373.2</v>
      </c>
      <c r="P32" s="8">
        <v>13</v>
      </c>
      <c r="AA32" s="8">
        <f t="shared" si="5"/>
        <v>13</v>
      </c>
      <c r="AB32" s="226">
        <v>331373.2</v>
      </c>
      <c r="AD32" s="50"/>
      <c r="AE32" s="50"/>
    </row>
    <row r="33" spans="2:31" x14ac:dyDescent="0.2">
      <c r="B33" s="9" t="s">
        <v>17</v>
      </c>
      <c r="C33" s="8">
        <v>95</v>
      </c>
      <c r="N33" s="8">
        <f t="shared" si="0"/>
        <v>95</v>
      </c>
      <c r="O33" s="226">
        <v>2498568.6800000002</v>
      </c>
      <c r="P33" s="8">
        <v>95</v>
      </c>
      <c r="AA33" s="8">
        <f t="shared" si="5"/>
        <v>95</v>
      </c>
      <c r="AB33" s="226">
        <v>2498568.6800000002</v>
      </c>
      <c r="AD33" s="50"/>
      <c r="AE33" s="50"/>
    </row>
    <row r="34" spans="2:31" x14ac:dyDescent="0.2">
      <c r="B34" s="9" t="s">
        <v>565</v>
      </c>
      <c r="C34" s="8">
        <v>1</v>
      </c>
      <c r="N34" s="8">
        <f t="shared" si="0"/>
        <v>1</v>
      </c>
      <c r="O34" s="226">
        <v>26280.400000000001</v>
      </c>
      <c r="P34" s="8">
        <v>1</v>
      </c>
      <c r="AA34" s="8">
        <f t="shared" si="5"/>
        <v>1</v>
      </c>
      <c r="AB34" s="226">
        <v>26280.400000000001</v>
      </c>
      <c r="AD34" s="50"/>
      <c r="AE34" s="50"/>
    </row>
    <row r="35" spans="2:31" x14ac:dyDescent="0.2">
      <c r="B35" s="9"/>
      <c r="O35" s="13"/>
      <c r="AA35" s="8"/>
      <c r="AB35" s="13"/>
      <c r="AD35" s="50"/>
      <c r="AE35" s="50"/>
    </row>
    <row r="36" spans="2:31" x14ac:dyDescent="0.2">
      <c r="B36" s="10" t="s">
        <v>7</v>
      </c>
      <c r="C36" s="224">
        <f>SUM(C38:C43)</f>
        <v>658</v>
      </c>
      <c r="D36" s="224"/>
      <c r="E36" s="224"/>
      <c r="F36" s="224"/>
      <c r="G36" s="224"/>
      <c r="H36" s="224"/>
      <c r="I36" s="224"/>
      <c r="J36" s="224"/>
      <c r="K36" s="224"/>
      <c r="L36" s="224"/>
      <c r="M36" s="224"/>
      <c r="N36" s="224">
        <f t="shared" si="0"/>
        <v>658</v>
      </c>
      <c r="O36" s="225">
        <f>SUM(O38:O43)</f>
        <v>16804435</v>
      </c>
      <c r="P36" s="224">
        <f>SUM(P38:P43)</f>
        <v>658</v>
      </c>
      <c r="Q36" s="224"/>
      <c r="R36" s="224"/>
      <c r="S36" s="224"/>
      <c r="T36" s="224"/>
      <c r="U36" s="224"/>
      <c r="V36" s="224"/>
      <c r="W36" s="224"/>
      <c r="X36" s="224"/>
      <c r="Y36" s="224"/>
      <c r="Z36" s="224"/>
      <c r="AA36" s="224">
        <f t="shared" ref="AA36" si="6">SUM(P36:Z36)</f>
        <v>658</v>
      </c>
      <c r="AB36" s="225">
        <f>SUM(AB38:AB43)</f>
        <v>16804435</v>
      </c>
      <c r="AD36" s="50"/>
      <c r="AE36" s="50"/>
    </row>
    <row r="37" spans="2:31" x14ac:dyDescent="0.2">
      <c r="B37" s="9"/>
      <c r="O37" s="13"/>
      <c r="AA37" s="8"/>
      <c r="AB37" s="13"/>
      <c r="AD37" s="50"/>
      <c r="AE37" s="50"/>
    </row>
    <row r="38" spans="2:31" x14ac:dyDescent="0.2">
      <c r="B38" s="9" t="s">
        <v>18</v>
      </c>
      <c r="C38" s="8">
        <v>78</v>
      </c>
      <c r="N38" s="8">
        <f t="shared" si="0"/>
        <v>78</v>
      </c>
      <c r="O38" s="226">
        <v>1981147.32</v>
      </c>
      <c r="P38" s="8">
        <v>78</v>
      </c>
      <c r="AA38" s="8">
        <f t="shared" ref="AA38:AA43" si="7">SUM(P38:Z38)</f>
        <v>78</v>
      </c>
      <c r="AB38" s="226">
        <v>1981147.32</v>
      </c>
      <c r="AD38" s="50"/>
      <c r="AE38" s="50"/>
    </row>
    <row r="39" spans="2:31" x14ac:dyDescent="0.2">
      <c r="B39" s="9" t="s">
        <v>566</v>
      </c>
      <c r="C39" s="8">
        <v>86</v>
      </c>
      <c r="N39" s="8">
        <f t="shared" si="0"/>
        <v>86</v>
      </c>
      <c r="O39" s="226">
        <v>2218119.08</v>
      </c>
      <c r="P39" s="8">
        <v>86</v>
      </c>
      <c r="AA39" s="8">
        <f t="shared" si="7"/>
        <v>86</v>
      </c>
      <c r="AB39" s="226">
        <v>2218119.08</v>
      </c>
      <c r="AD39" s="50"/>
      <c r="AE39" s="50"/>
    </row>
    <row r="40" spans="2:31" x14ac:dyDescent="0.2">
      <c r="B40" s="9" t="s">
        <v>567</v>
      </c>
      <c r="C40" s="8">
        <v>1</v>
      </c>
      <c r="N40" s="8">
        <f t="shared" si="0"/>
        <v>1</v>
      </c>
      <c r="O40" s="226">
        <v>25905.52</v>
      </c>
      <c r="P40" s="8">
        <v>1</v>
      </c>
      <c r="AA40" s="8">
        <f t="shared" si="7"/>
        <v>1</v>
      </c>
      <c r="AB40" s="226">
        <v>25905.52</v>
      </c>
      <c r="AD40" s="50"/>
      <c r="AE40" s="50"/>
    </row>
    <row r="41" spans="2:31" x14ac:dyDescent="0.2">
      <c r="B41" s="9" t="s">
        <v>568</v>
      </c>
      <c r="C41" s="8">
        <v>6</v>
      </c>
      <c r="N41" s="8">
        <f t="shared" si="0"/>
        <v>6</v>
      </c>
      <c r="O41" s="226">
        <v>153479.28</v>
      </c>
      <c r="P41" s="8">
        <v>6</v>
      </c>
      <c r="AA41" s="8">
        <f t="shared" si="7"/>
        <v>6</v>
      </c>
      <c r="AB41" s="226">
        <v>153479.28</v>
      </c>
      <c r="AD41" s="50"/>
      <c r="AE41" s="50"/>
    </row>
    <row r="42" spans="2:31" x14ac:dyDescent="0.2">
      <c r="B42" s="9" t="s">
        <v>19</v>
      </c>
      <c r="C42" s="8">
        <v>484</v>
      </c>
      <c r="N42" s="8">
        <f t="shared" si="0"/>
        <v>484</v>
      </c>
      <c r="O42" s="226">
        <v>12350511.640000001</v>
      </c>
      <c r="P42" s="8">
        <v>484</v>
      </c>
      <c r="AA42" s="8">
        <f t="shared" si="7"/>
        <v>484</v>
      </c>
      <c r="AB42" s="226">
        <v>12350511.640000001</v>
      </c>
      <c r="AD42" s="50"/>
      <c r="AE42" s="50"/>
    </row>
    <row r="43" spans="2:31" x14ac:dyDescent="0.2">
      <c r="B43" s="9" t="s">
        <v>569</v>
      </c>
      <c r="C43" s="8">
        <v>3</v>
      </c>
      <c r="N43" s="8">
        <f t="shared" si="0"/>
        <v>3</v>
      </c>
      <c r="O43" s="226">
        <v>75272.160000000003</v>
      </c>
      <c r="P43" s="8">
        <v>3</v>
      </c>
      <c r="AA43" s="8">
        <f t="shared" si="7"/>
        <v>3</v>
      </c>
      <c r="AB43" s="226">
        <v>75272.160000000003</v>
      </c>
      <c r="AD43" s="50"/>
      <c r="AE43" s="50"/>
    </row>
    <row r="44" spans="2:31" x14ac:dyDescent="0.2">
      <c r="B44" s="9"/>
      <c r="O44" s="13"/>
      <c r="AA44" s="8"/>
      <c r="AB44" s="13"/>
      <c r="AD44" s="50"/>
      <c r="AE44" s="50"/>
    </row>
    <row r="45" spans="2:31" x14ac:dyDescent="0.2">
      <c r="B45" s="10" t="s">
        <v>570</v>
      </c>
      <c r="C45" s="224">
        <f>SUM(C47:C59)</f>
        <v>1192</v>
      </c>
      <c r="D45" s="224"/>
      <c r="E45" s="224"/>
      <c r="F45" s="224"/>
      <c r="G45" s="224"/>
      <c r="H45" s="224"/>
      <c r="I45" s="224"/>
      <c r="J45" s="224"/>
      <c r="K45" s="224"/>
      <c r="L45" s="224"/>
      <c r="M45" s="224"/>
      <c r="N45" s="224">
        <f t="shared" si="0"/>
        <v>1192</v>
      </c>
      <c r="O45" s="225">
        <f>SUM(O47:O59)</f>
        <v>46711086.399999999</v>
      </c>
      <c r="P45" s="224">
        <f>SUM(P47:P59)</f>
        <v>1192</v>
      </c>
      <c r="Q45" s="224"/>
      <c r="R45" s="224"/>
      <c r="S45" s="224"/>
      <c r="T45" s="224"/>
      <c r="U45" s="224"/>
      <c r="V45" s="224"/>
      <c r="W45" s="224"/>
      <c r="X45" s="224"/>
      <c r="Y45" s="224"/>
      <c r="Z45" s="224"/>
      <c r="AA45" s="224">
        <f t="shared" ref="AA45" si="8">SUM(P45:Z45)</f>
        <v>1192</v>
      </c>
      <c r="AB45" s="225">
        <f>SUM(AB47:AB59)</f>
        <v>46711086.399999999</v>
      </c>
      <c r="AD45" s="50"/>
      <c r="AE45" s="50"/>
    </row>
    <row r="46" spans="2:31" x14ac:dyDescent="0.2">
      <c r="B46" s="9"/>
      <c r="O46" s="13"/>
      <c r="AA46" s="8"/>
      <c r="AB46" s="13"/>
      <c r="AD46" s="50"/>
      <c r="AE46" s="50"/>
    </row>
    <row r="47" spans="2:31" x14ac:dyDescent="0.2">
      <c r="B47" s="9" t="s">
        <v>560</v>
      </c>
      <c r="C47" s="8">
        <v>1</v>
      </c>
      <c r="N47" s="8">
        <f t="shared" si="0"/>
        <v>1</v>
      </c>
      <c r="O47" s="13">
        <v>41378.559999999998</v>
      </c>
      <c r="P47" s="8">
        <v>1</v>
      </c>
      <c r="AA47" s="8">
        <f t="shared" ref="AA47:AA59" si="9">SUM(P47:Z47)</f>
        <v>1</v>
      </c>
      <c r="AB47" s="13">
        <v>41378.559999999998</v>
      </c>
      <c r="AD47" s="50"/>
      <c r="AE47" s="50"/>
    </row>
    <row r="48" spans="2:31" x14ac:dyDescent="0.2">
      <c r="B48" s="9" t="s">
        <v>16</v>
      </c>
      <c r="C48" s="8">
        <v>48</v>
      </c>
      <c r="N48" s="8">
        <f t="shared" si="0"/>
        <v>48</v>
      </c>
      <c r="O48" s="13">
        <v>1746323.28</v>
      </c>
      <c r="P48" s="8">
        <v>48</v>
      </c>
      <c r="AA48" s="8">
        <f t="shared" si="9"/>
        <v>48</v>
      </c>
      <c r="AB48" s="13">
        <v>1746323.28</v>
      </c>
      <c r="AD48" s="50"/>
      <c r="AE48" s="50"/>
    </row>
    <row r="49" spans="2:31" x14ac:dyDescent="0.2">
      <c r="B49" s="9" t="s">
        <v>562</v>
      </c>
      <c r="C49" s="8">
        <v>257</v>
      </c>
      <c r="N49" s="8">
        <f t="shared" si="0"/>
        <v>257</v>
      </c>
      <c r="O49" s="13">
        <v>10167546.08</v>
      </c>
      <c r="P49" s="8">
        <v>257</v>
      </c>
      <c r="AA49" s="8">
        <f t="shared" si="9"/>
        <v>257</v>
      </c>
      <c r="AB49" s="13">
        <v>10167546.08</v>
      </c>
      <c r="AD49" s="50"/>
      <c r="AE49" s="50"/>
    </row>
    <row r="50" spans="2:31" x14ac:dyDescent="0.2">
      <c r="B50" s="9" t="s">
        <v>563</v>
      </c>
      <c r="C50" s="8">
        <v>50</v>
      </c>
      <c r="N50" s="8">
        <f t="shared" si="0"/>
        <v>50</v>
      </c>
      <c r="O50" s="13">
        <v>1920724.64</v>
      </c>
      <c r="P50" s="8">
        <v>50</v>
      </c>
      <c r="AA50" s="8">
        <f t="shared" si="9"/>
        <v>50</v>
      </c>
      <c r="AB50" s="13">
        <v>1920724.64</v>
      </c>
      <c r="AD50" s="50"/>
      <c r="AE50" s="50"/>
    </row>
    <row r="51" spans="2:31" x14ac:dyDescent="0.2">
      <c r="B51" s="9" t="s">
        <v>564</v>
      </c>
      <c r="C51" s="8">
        <v>22</v>
      </c>
      <c r="N51" s="8">
        <f t="shared" si="0"/>
        <v>22</v>
      </c>
      <c r="O51" s="226">
        <v>741580.48</v>
      </c>
      <c r="P51" s="8">
        <v>22</v>
      </c>
      <c r="AA51" s="8">
        <f t="shared" si="9"/>
        <v>22</v>
      </c>
      <c r="AB51" s="226">
        <v>741580.48</v>
      </c>
      <c r="AD51" s="50"/>
      <c r="AE51" s="50"/>
    </row>
    <row r="52" spans="2:31" x14ac:dyDescent="0.2">
      <c r="B52" s="9" t="s">
        <v>17</v>
      </c>
      <c r="C52" s="8">
        <v>130</v>
      </c>
      <c r="N52" s="8">
        <f t="shared" si="0"/>
        <v>130</v>
      </c>
      <c r="O52" s="226">
        <v>5143701.5199999996</v>
      </c>
      <c r="P52" s="8">
        <v>130</v>
      </c>
      <c r="AA52" s="8">
        <f t="shared" si="9"/>
        <v>130</v>
      </c>
      <c r="AB52" s="226">
        <v>5143701.5199999996</v>
      </c>
      <c r="AD52" s="50"/>
      <c r="AE52" s="50"/>
    </row>
    <row r="53" spans="2:31" x14ac:dyDescent="0.2">
      <c r="B53" s="9" t="s">
        <v>565</v>
      </c>
      <c r="C53" s="8">
        <v>598</v>
      </c>
      <c r="N53" s="8">
        <f t="shared" si="0"/>
        <v>598</v>
      </c>
      <c r="O53" s="226">
        <v>23614280.32</v>
      </c>
      <c r="P53" s="8">
        <v>598</v>
      </c>
      <c r="AA53" s="8">
        <f t="shared" si="9"/>
        <v>598</v>
      </c>
      <c r="AB53" s="226">
        <v>23614280.32</v>
      </c>
      <c r="AD53" s="50"/>
      <c r="AE53" s="50"/>
    </row>
    <row r="54" spans="2:31" x14ac:dyDescent="0.2">
      <c r="B54" s="9" t="s">
        <v>18</v>
      </c>
      <c r="C54" s="8">
        <v>9</v>
      </c>
      <c r="N54" s="8">
        <f t="shared" si="0"/>
        <v>9</v>
      </c>
      <c r="O54" s="226">
        <v>406078.44</v>
      </c>
      <c r="P54" s="8">
        <v>9</v>
      </c>
      <c r="AA54" s="8">
        <f t="shared" si="9"/>
        <v>9</v>
      </c>
      <c r="AB54" s="226">
        <v>406078.44</v>
      </c>
      <c r="AD54" s="50"/>
      <c r="AE54" s="50"/>
    </row>
    <row r="55" spans="2:31" x14ac:dyDescent="0.2">
      <c r="B55" s="9" t="s">
        <v>566</v>
      </c>
      <c r="C55" s="8">
        <v>23</v>
      </c>
      <c r="N55" s="8">
        <f t="shared" si="0"/>
        <v>23</v>
      </c>
      <c r="O55" s="226">
        <v>857257.16</v>
      </c>
      <c r="P55" s="8">
        <v>23</v>
      </c>
      <c r="AA55" s="8">
        <f t="shared" si="9"/>
        <v>23</v>
      </c>
      <c r="AB55" s="226">
        <v>857257.16</v>
      </c>
      <c r="AD55" s="50"/>
      <c r="AE55" s="50"/>
    </row>
    <row r="56" spans="2:31" x14ac:dyDescent="0.2">
      <c r="B56" s="9" t="s">
        <v>567</v>
      </c>
      <c r="C56" s="8">
        <v>6</v>
      </c>
      <c r="N56" s="8">
        <f t="shared" si="0"/>
        <v>6</v>
      </c>
      <c r="O56" s="226">
        <v>228998.39999999999</v>
      </c>
      <c r="P56" s="8">
        <v>6</v>
      </c>
      <c r="AA56" s="8">
        <f t="shared" si="9"/>
        <v>6</v>
      </c>
      <c r="AB56" s="226">
        <v>228998.39999999999</v>
      </c>
      <c r="AD56" s="50"/>
      <c r="AE56" s="50"/>
    </row>
    <row r="57" spans="2:31" x14ac:dyDescent="0.2">
      <c r="B57" s="9" t="s">
        <v>568</v>
      </c>
      <c r="C57" s="8">
        <v>4</v>
      </c>
      <c r="N57" s="8">
        <f t="shared" si="0"/>
        <v>4</v>
      </c>
      <c r="O57" s="226">
        <v>124696.48</v>
      </c>
      <c r="P57" s="8">
        <v>4</v>
      </c>
      <c r="AA57" s="8">
        <f t="shared" si="9"/>
        <v>4</v>
      </c>
      <c r="AB57" s="226">
        <v>124696.48</v>
      </c>
      <c r="AD57" s="50"/>
      <c r="AE57" s="50"/>
    </row>
    <row r="58" spans="2:31" x14ac:dyDescent="0.2">
      <c r="B58" s="9" t="s">
        <v>19</v>
      </c>
      <c r="C58" s="8">
        <v>29</v>
      </c>
      <c r="N58" s="8">
        <f t="shared" si="0"/>
        <v>29</v>
      </c>
      <c r="O58" s="226">
        <v>1235375.8400000001</v>
      </c>
      <c r="P58" s="8">
        <v>29</v>
      </c>
      <c r="AA58" s="8">
        <f t="shared" si="9"/>
        <v>29</v>
      </c>
      <c r="AB58" s="226">
        <v>1235375.8400000001</v>
      </c>
      <c r="AD58" s="50"/>
      <c r="AE58" s="50"/>
    </row>
    <row r="59" spans="2:31" x14ac:dyDescent="0.2">
      <c r="B59" s="987" t="s">
        <v>569</v>
      </c>
      <c r="C59" s="988">
        <v>15</v>
      </c>
      <c r="D59" s="988"/>
      <c r="E59" s="988"/>
      <c r="F59" s="988"/>
      <c r="G59" s="988"/>
      <c r="H59" s="988"/>
      <c r="I59" s="988"/>
      <c r="J59" s="988"/>
      <c r="K59" s="988"/>
      <c r="L59" s="988"/>
      <c r="M59" s="988"/>
      <c r="N59" s="988">
        <f t="shared" si="0"/>
        <v>15</v>
      </c>
      <c r="O59" s="989">
        <v>483145.2</v>
      </c>
      <c r="P59" s="988">
        <v>15</v>
      </c>
      <c r="Q59" s="988"/>
      <c r="R59" s="988"/>
      <c r="S59" s="988"/>
      <c r="T59" s="988"/>
      <c r="U59" s="988"/>
      <c r="V59" s="988"/>
      <c r="W59" s="988"/>
      <c r="X59" s="988"/>
      <c r="Y59" s="988"/>
      <c r="Z59" s="988"/>
      <c r="AA59" s="988">
        <f t="shared" si="9"/>
        <v>15</v>
      </c>
      <c r="AB59" s="989">
        <v>483145.2</v>
      </c>
      <c r="AD59" s="50"/>
      <c r="AE59" s="50"/>
    </row>
    <row r="60" spans="2:31" x14ac:dyDescent="0.2">
      <c r="B60" s="9"/>
      <c r="O60" s="13"/>
      <c r="AA60" s="8"/>
      <c r="AB60" s="13"/>
      <c r="AD60" s="50"/>
      <c r="AE60" s="50"/>
    </row>
    <row r="61" spans="2:31" x14ac:dyDescent="0.2">
      <c r="B61" s="10" t="s">
        <v>571</v>
      </c>
      <c r="C61" s="224"/>
      <c r="D61" s="224"/>
      <c r="E61" s="224"/>
      <c r="F61" s="224"/>
      <c r="G61" s="224"/>
      <c r="H61" s="224"/>
      <c r="I61" s="224"/>
      <c r="J61" s="224"/>
      <c r="K61" s="224">
        <f>SUM(K63:K92)</f>
        <v>869</v>
      </c>
      <c r="L61" s="224"/>
      <c r="M61" s="224"/>
      <c r="N61" s="224">
        <f t="shared" si="0"/>
        <v>869</v>
      </c>
      <c r="O61" s="225">
        <f>SUM(O63:O92)</f>
        <v>63208025.839999989</v>
      </c>
      <c r="P61" s="224"/>
      <c r="Q61" s="224"/>
      <c r="R61" s="224"/>
      <c r="S61" s="224"/>
      <c r="T61" s="224"/>
      <c r="U61" s="224"/>
      <c r="V61" s="224"/>
      <c r="W61" s="224"/>
      <c r="X61" s="224">
        <f>SUM(X63:X92)</f>
        <v>869</v>
      </c>
      <c r="Y61" s="224"/>
      <c r="Z61" s="224"/>
      <c r="AA61" s="224">
        <f t="shared" ref="AA61" si="10">SUM(P61:Z61)</f>
        <v>869</v>
      </c>
      <c r="AB61" s="225">
        <f>SUM(AB63:AB92)</f>
        <v>63208025.839999989</v>
      </c>
      <c r="AD61" s="50"/>
      <c r="AE61" s="50"/>
    </row>
    <row r="62" spans="2:31" x14ac:dyDescent="0.2">
      <c r="B62" s="9"/>
      <c r="O62" s="13"/>
      <c r="AA62" s="8"/>
      <c r="AB62" s="13"/>
      <c r="AD62" s="50"/>
      <c r="AE62" s="50"/>
    </row>
    <row r="63" spans="2:31" x14ac:dyDescent="0.2">
      <c r="B63" s="9" t="s">
        <v>572</v>
      </c>
      <c r="K63" s="8">
        <v>26</v>
      </c>
      <c r="N63" s="8">
        <f t="shared" si="0"/>
        <v>26</v>
      </c>
      <c r="O63" s="226">
        <v>3400917.44</v>
      </c>
      <c r="X63" s="8">
        <v>26</v>
      </c>
      <c r="AA63" s="8">
        <f t="shared" ref="AA63:AA92" si="11">SUM(P63:Z63)</f>
        <v>26</v>
      </c>
      <c r="AB63" s="226">
        <v>3400917.44</v>
      </c>
      <c r="AD63" s="50"/>
      <c r="AE63" s="50"/>
    </row>
    <row r="64" spans="2:31" x14ac:dyDescent="0.2">
      <c r="B64" s="9" t="s">
        <v>573</v>
      </c>
      <c r="K64" s="8">
        <v>2</v>
      </c>
      <c r="N64" s="8">
        <f t="shared" si="0"/>
        <v>2</v>
      </c>
      <c r="O64" s="226">
        <v>228612.08</v>
      </c>
      <c r="X64" s="8">
        <v>2</v>
      </c>
      <c r="AA64" s="8">
        <f t="shared" si="11"/>
        <v>2</v>
      </c>
      <c r="AB64" s="226">
        <v>228612.08</v>
      </c>
      <c r="AD64" s="50"/>
      <c r="AE64" s="50"/>
    </row>
    <row r="65" spans="2:31" x14ac:dyDescent="0.2">
      <c r="B65" s="9" t="s">
        <v>574</v>
      </c>
      <c r="K65" s="8">
        <v>15</v>
      </c>
      <c r="N65" s="8">
        <f t="shared" si="0"/>
        <v>15</v>
      </c>
      <c r="O65" s="226">
        <v>1647699.12</v>
      </c>
      <c r="X65" s="8">
        <v>15</v>
      </c>
      <c r="AA65" s="8">
        <f t="shared" si="11"/>
        <v>15</v>
      </c>
      <c r="AB65" s="226">
        <v>1647699.12</v>
      </c>
      <c r="AD65" s="50"/>
      <c r="AE65" s="50"/>
    </row>
    <row r="66" spans="2:31" x14ac:dyDescent="0.2">
      <c r="B66" s="9" t="s">
        <v>575</v>
      </c>
      <c r="K66" s="8">
        <v>24</v>
      </c>
      <c r="N66" s="8">
        <f t="shared" si="0"/>
        <v>24</v>
      </c>
      <c r="O66" s="226">
        <v>2575187.7599999998</v>
      </c>
      <c r="X66" s="8">
        <v>24</v>
      </c>
      <c r="AA66" s="8">
        <f t="shared" si="11"/>
        <v>24</v>
      </c>
      <c r="AB66" s="226">
        <v>2575187.7599999998</v>
      </c>
      <c r="AD66" s="50"/>
      <c r="AE66" s="50"/>
    </row>
    <row r="67" spans="2:31" x14ac:dyDescent="0.2">
      <c r="B67" s="9" t="s">
        <v>576</v>
      </c>
      <c r="K67" s="8">
        <v>99</v>
      </c>
      <c r="N67" s="8">
        <f t="shared" si="0"/>
        <v>99</v>
      </c>
      <c r="O67" s="226">
        <v>9881457.1199999992</v>
      </c>
      <c r="X67" s="8">
        <v>99</v>
      </c>
      <c r="AA67" s="8">
        <f t="shared" si="11"/>
        <v>99</v>
      </c>
      <c r="AB67" s="226">
        <v>9881457.1199999992</v>
      </c>
      <c r="AD67" s="50"/>
      <c r="AE67" s="50"/>
    </row>
    <row r="68" spans="2:31" x14ac:dyDescent="0.2">
      <c r="B68" s="9" t="s">
        <v>577</v>
      </c>
      <c r="K68" s="8">
        <v>7</v>
      </c>
      <c r="N68" s="8">
        <f t="shared" si="0"/>
        <v>7</v>
      </c>
      <c r="O68" s="226">
        <v>485619.88</v>
      </c>
      <c r="X68" s="8">
        <v>7</v>
      </c>
      <c r="AA68" s="8">
        <f t="shared" si="11"/>
        <v>7</v>
      </c>
      <c r="AB68" s="226">
        <v>485619.88</v>
      </c>
      <c r="AD68" s="50"/>
      <c r="AE68" s="50"/>
    </row>
    <row r="69" spans="2:31" x14ac:dyDescent="0.2">
      <c r="B69" s="9" t="s">
        <v>578</v>
      </c>
      <c r="K69" s="8">
        <v>2</v>
      </c>
      <c r="N69" s="8">
        <f t="shared" si="0"/>
        <v>2</v>
      </c>
      <c r="O69" s="226">
        <v>132339.68</v>
      </c>
      <c r="X69" s="8">
        <v>2</v>
      </c>
      <c r="AA69" s="8">
        <f t="shared" si="11"/>
        <v>2</v>
      </c>
      <c r="AB69" s="226">
        <v>132339.68</v>
      </c>
      <c r="AD69" s="50"/>
      <c r="AE69" s="50"/>
    </row>
    <row r="70" spans="2:31" x14ac:dyDescent="0.2">
      <c r="B70" s="9" t="s">
        <v>579</v>
      </c>
      <c r="K70" s="8">
        <v>7</v>
      </c>
      <c r="N70" s="8">
        <f t="shared" si="0"/>
        <v>7</v>
      </c>
      <c r="O70" s="226">
        <v>468006.04</v>
      </c>
      <c r="X70" s="8">
        <v>7</v>
      </c>
      <c r="AA70" s="8">
        <f t="shared" si="11"/>
        <v>7</v>
      </c>
      <c r="AB70" s="226">
        <v>468006.04</v>
      </c>
      <c r="AD70" s="50"/>
      <c r="AE70" s="50"/>
    </row>
    <row r="71" spans="2:31" x14ac:dyDescent="0.2">
      <c r="B71" s="9" t="s">
        <v>580</v>
      </c>
      <c r="K71" s="8">
        <v>24</v>
      </c>
      <c r="N71" s="8">
        <f t="shared" si="0"/>
        <v>24</v>
      </c>
      <c r="O71" s="226">
        <v>1555801.44</v>
      </c>
      <c r="X71" s="8">
        <v>24</v>
      </c>
      <c r="AA71" s="8">
        <f t="shared" si="11"/>
        <v>24</v>
      </c>
      <c r="AB71" s="226">
        <v>1555801.44</v>
      </c>
      <c r="AD71" s="50"/>
      <c r="AE71" s="50"/>
    </row>
    <row r="72" spans="2:31" x14ac:dyDescent="0.2">
      <c r="B72" s="9" t="s">
        <v>581</v>
      </c>
      <c r="K72" s="8">
        <v>17</v>
      </c>
      <c r="N72" s="8">
        <f t="shared" si="0"/>
        <v>17</v>
      </c>
      <c r="O72" s="226">
        <v>1319321.8400000001</v>
      </c>
      <c r="X72" s="8">
        <v>17</v>
      </c>
      <c r="AA72" s="8">
        <f t="shared" si="11"/>
        <v>17</v>
      </c>
      <c r="AB72" s="226">
        <v>1319321.8400000001</v>
      </c>
      <c r="AD72" s="50"/>
      <c r="AE72" s="50"/>
    </row>
    <row r="73" spans="2:31" x14ac:dyDescent="0.2">
      <c r="B73" s="9" t="s">
        <v>582</v>
      </c>
      <c r="K73" s="8">
        <v>6</v>
      </c>
      <c r="N73" s="8">
        <f t="shared" si="0"/>
        <v>6</v>
      </c>
      <c r="O73" s="226">
        <v>435959.03999999998</v>
      </c>
      <c r="X73" s="8">
        <v>6</v>
      </c>
      <c r="AA73" s="8">
        <f t="shared" si="11"/>
        <v>6</v>
      </c>
      <c r="AB73" s="226">
        <v>435959.03999999998</v>
      </c>
      <c r="AD73" s="50"/>
      <c r="AE73" s="50"/>
    </row>
    <row r="74" spans="2:31" x14ac:dyDescent="0.2">
      <c r="B74" s="9" t="s">
        <v>583</v>
      </c>
      <c r="K74" s="8">
        <v>13</v>
      </c>
      <c r="N74" s="8">
        <f t="shared" ref="N74:N137" si="12">SUM(C74:M74)</f>
        <v>13</v>
      </c>
      <c r="O74" s="226">
        <v>877858.72</v>
      </c>
      <c r="X74" s="8">
        <v>13</v>
      </c>
      <c r="AA74" s="8">
        <f t="shared" si="11"/>
        <v>13</v>
      </c>
      <c r="AB74" s="226">
        <v>877858.72</v>
      </c>
      <c r="AD74" s="50"/>
      <c r="AE74" s="50"/>
    </row>
    <row r="75" spans="2:31" x14ac:dyDescent="0.2">
      <c r="B75" s="9" t="s">
        <v>584</v>
      </c>
      <c r="K75" s="8">
        <v>21</v>
      </c>
      <c r="N75" s="8">
        <f t="shared" si="12"/>
        <v>21</v>
      </c>
      <c r="O75" s="226">
        <v>1480106.4</v>
      </c>
      <c r="X75" s="8">
        <v>21</v>
      </c>
      <c r="AA75" s="8">
        <f t="shared" si="11"/>
        <v>21</v>
      </c>
      <c r="AB75" s="226">
        <v>1480106.4</v>
      </c>
      <c r="AD75" s="50"/>
      <c r="AE75" s="50"/>
    </row>
    <row r="76" spans="2:31" x14ac:dyDescent="0.2">
      <c r="B76" s="9" t="s">
        <v>585</v>
      </c>
      <c r="K76" s="8">
        <v>256</v>
      </c>
      <c r="N76" s="8">
        <f t="shared" si="12"/>
        <v>256</v>
      </c>
      <c r="O76" s="226">
        <v>16086237.279999999</v>
      </c>
      <c r="X76" s="8">
        <v>256</v>
      </c>
      <c r="AA76" s="8">
        <f t="shared" si="11"/>
        <v>256</v>
      </c>
      <c r="AB76" s="226">
        <v>16086237.279999999</v>
      </c>
      <c r="AD76" s="50"/>
      <c r="AE76" s="50"/>
    </row>
    <row r="77" spans="2:31" x14ac:dyDescent="0.2">
      <c r="B77" s="9" t="s">
        <v>586</v>
      </c>
      <c r="K77" s="8">
        <v>5</v>
      </c>
      <c r="N77" s="8">
        <f t="shared" si="12"/>
        <v>5</v>
      </c>
      <c r="O77" s="226">
        <v>385014.32</v>
      </c>
      <c r="X77" s="8">
        <v>5</v>
      </c>
      <c r="AA77" s="8">
        <f t="shared" si="11"/>
        <v>5</v>
      </c>
      <c r="AB77" s="226">
        <v>385014.32</v>
      </c>
      <c r="AD77" s="50"/>
      <c r="AE77" s="50"/>
    </row>
    <row r="78" spans="2:31" x14ac:dyDescent="0.2">
      <c r="B78" s="9" t="s">
        <v>587</v>
      </c>
      <c r="K78" s="8">
        <v>1</v>
      </c>
      <c r="N78" s="8">
        <f t="shared" si="12"/>
        <v>1</v>
      </c>
      <c r="O78" s="226">
        <v>72867.88</v>
      </c>
      <c r="X78" s="8">
        <v>1</v>
      </c>
      <c r="AA78" s="8">
        <f t="shared" si="11"/>
        <v>1</v>
      </c>
      <c r="AB78" s="226">
        <v>72867.88</v>
      </c>
      <c r="AD78" s="50"/>
      <c r="AE78" s="50"/>
    </row>
    <row r="79" spans="2:31" x14ac:dyDescent="0.2">
      <c r="B79" s="9" t="s">
        <v>588</v>
      </c>
      <c r="K79" s="8">
        <v>8</v>
      </c>
      <c r="N79" s="8">
        <f t="shared" si="12"/>
        <v>8</v>
      </c>
      <c r="O79" s="226">
        <v>581242.16</v>
      </c>
      <c r="X79" s="8">
        <v>8</v>
      </c>
      <c r="AA79" s="8">
        <f t="shared" si="11"/>
        <v>8</v>
      </c>
      <c r="AB79" s="226">
        <v>581242.16</v>
      </c>
      <c r="AD79" s="50"/>
      <c r="AE79" s="50"/>
    </row>
    <row r="80" spans="2:31" x14ac:dyDescent="0.2">
      <c r="B80" s="9" t="s">
        <v>589</v>
      </c>
      <c r="K80" s="8">
        <v>26</v>
      </c>
      <c r="N80" s="8">
        <f t="shared" si="12"/>
        <v>26</v>
      </c>
      <c r="O80" s="226">
        <v>1718558.96</v>
      </c>
      <c r="X80" s="8">
        <v>26</v>
      </c>
      <c r="AA80" s="8">
        <f t="shared" si="11"/>
        <v>26</v>
      </c>
      <c r="AB80" s="226">
        <v>1718558.96</v>
      </c>
      <c r="AD80" s="50"/>
      <c r="AE80" s="50"/>
    </row>
    <row r="81" spans="2:31" x14ac:dyDescent="0.2">
      <c r="B81" s="9" t="s">
        <v>590</v>
      </c>
      <c r="K81" s="8">
        <v>202</v>
      </c>
      <c r="N81" s="8">
        <f t="shared" si="12"/>
        <v>202</v>
      </c>
      <c r="O81" s="226">
        <v>13007759.800000001</v>
      </c>
      <c r="X81" s="8">
        <v>202</v>
      </c>
      <c r="AA81" s="8">
        <f t="shared" si="11"/>
        <v>202</v>
      </c>
      <c r="AB81" s="226">
        <v>13007759.800000001</v>
      </c>
      <c r="AD81" s="50"/>
      <c r="AE81" s="50"/>
    </row>
    <row r="82" spans="2:31" x14ac:dyDescent="0.2">
      <c r="B82" s="9" t="s">
        <v>591</v>
      </c>
      <c r="K82" s="8">
        <v>3</v>
      </c>
      <c r="N82" s="8">
        <f t="shared" si="12"/>
        <v>3</v>
      </c>
      <c r="O82" s="226">
        <v>197970.84</v>
      </c>
      <c r="X82" s="8">
        <v>3</v>
      </c>
      <c r="AA82" s="8">
        <f t="shared" si="11"/>
        <v>3</v>
      </c>
      <c r="AB82" s="226">
        <v>197970.84</v>
      </c>
      <c r="AD82" s="50"/>
      <c r="AE82" s="50"/>
    </row>
    <row r="83" spans="2:31" x14ac:dyDescent="0.2">
      <c r="B83" s="9" t="s">
        <v>592</v>
      </c>
      <c r="K83" s="8">
        <v>2</v>
      </c>
      <c r="N83" s="8">
        <f t="shared" si="12"/>
        <v>2</v>
      </c>
      <c r="O83" s="226">
        <v>131585.35999999999</v>
      </c>
      <c r="X83" s="8">
        <v>2</v>
      </c>
      <c r="AA83" s="8">
        <f t="shared" si="11"/>
        <v>2</v>
      </c>
      <c r="AB83" s="226">
        <v>131585.35999999999</v>
      </c>
      <c r="AD83" s="50"/>
      <c r="AE83" s="50"/>
    </row>
    <row r="84" spans="2:31" x14ac:dyDescent="0.2">
      <c r="B84" s="9" t="s">
        <v>593</v>
      </c>
      <c r="K84" s="8">
        <v>7</v>
      </c>
      <c r="N84" s="8">
        <f t="shared" si="12"/>
        <v>7</v>
      </c>
      <c r="O84" s="226">
        <v>410037.88</v>
      </c>
      <c r="X84" s="8">
        <v>7</v>
      </c>
      <c r="AA84" s="8">
        <f t="shared" si="11"/>
        <v>7</v>
      </c>
      <c r="AB84" s="226">
        <v>410037.88</v>
      </c>
      <c r="AD84" s="50"/>
      <c r="AE84" s="50"/>
    </row>
    <row r="85" spans="2:31" x14ac:dyDescent="0.2">
      <c r="B85" s="9" t="s">
        <v>594</v>
      </c>
      <c r="K85" s="8">
        <v>1</v>
      </c>
      <c r="N85" s="8">
        <f t="shared" si="12"/>
        <v>1</v>
      </c>
      <c r="O85" s="226">
        <v>43475.44</v>
      </c>
      <c r="X85" s="8">
        <v>1</v>
      </c>
      <c r="AA85" s="8">
        <f t="shared" si="11"/>
        <v>1</v>
      </c>
      <c r="AB85" s="226">
        <v>43475.44</v>
      </c>
      <c r="AD85" s="50"/>
      <c r="AE85" s="50"/>
    </row>
    <row r="86" spans="2:31" x14ac:dyDescent="0.2">
      <c r="B86" s="9" t="s">
        <v>595</v>
      </c>
      <c r="K86" s="8">
        <v>2</v>
      </c>
      <c r="N86" s="8">
        <f t="shared" si="12"/>
        <v>2</v>
      </c>
      <c r="O86" s="226">
        <v>128347.64</v>
      </c>
      <c r="X86" s="8">
        <v>2</v>
      </c>
      <c r="AA86" s="8">
        <f t="shared" si="11"/>
        <v>2</v>
      </c>
      <c r="AB86" s="226">
        <v>128347.64</v>
      </c>
      <c r="AD86" s="50"/>
      <c r="AE86" s="50"/>
    </row>
    <row r="87" spans="2:31" x14ac:dyDescent="0.2">
      <c r="B87" s="9" t="s">
        <v>596</v>
      </c>
      <c r="K87" s="8">
        <v>8</v>
      </c>
      <c r="N87" s="8">
        <f t="shared" si="12"/>
        <v>8</v>
      </c>
      <c r="O87" s="226">
        <v>443739.92</v>
      </c>
      <c r="X87" s="8">
        <v>8</v>
      </c>
      <c r="AA87" s="8">
        <f t="shared" si="11"/>
        <v>8</v>
      </c>
      <c r="AB87" s="226">
        <v>443739.92</v>
      </c>
      <c r="AD87" s="50"/>
      <c r="AE87" s="50"/>
    </row>
    <row r="88" spans="2:31" x14ac:dyDescent="0.2">
      <c r="B88" s="9" t="s">
        <v>597</v>
      </c>
      <c r="K88" s="8">
        <v>13</v>
      </c>
      <c r="N88" s="8">
        <f t="shared" si="12"/>
        <v>13</v>
      </c>
      <c r="O88" s="226">
        <v>938298.76</v>
      </c>
      <c r="X88" s="8">
        <v>13</v>
      </c>
      <c r="AA88" s="8">
        <f t="shared" si="11"/>
        <v>13</v>
      </c>
      <c r="AB88" s="226">
        <v>938298.76</v>
      </c>
      <c r="AD88" s="50"/>
      <c r="AE88" s="50"/>
    </row>
    <row r="89" spans="2:31" x14ac:dyDescent="0.2">
      <c r="B89" s="9" t="s">
        <v>598</v>
      </c>
      <c r="K89" s="8">
        <v>1</v>
      </c>
      <c r="N89" s="8">
        <f t="shared" si="12"/>
        <v>1</v>
      </c>
      <c r="O89" s="226">
        <v>69590.8</v>
      </c>
      <c r="X89" s="8">
        <v>1</v>
      </c>
      <c r="AA89" s="8">
        <f t="shared" si="11"/>
        <v>1</v>
      </c>
      <c r="AB89" s="226">
        <v>69590.8</v>
      </c>
      <c r="AD89" s="50"/>
      <c r="AE89" s="50"/>
    </row>
    <row r="90" spans="2:31" x14ac:dyDescent="0.2">
      <c r="B90" s="9" t="s">
        <v>599</v>
      </c>
      <c r="K90" s="8">
        <v>9</v>
      </c>
      <c r="N90" s="8">
        <f t="shared" si="12"/>
        <v>9</v>
      </c>
      <c r="O90" s="226">
        <v>637063.80000000005</v>
      </c>
      <c r="X90" s="8">
        <v>9</v>
      </c>
      <c r="AA90" s="8">
        <f t="shared" si="11"/>
        <v>9</v>
      </c>
      <c r="AB90" s="226">
        <v>637063.80000000005</v>
      </c>
      <c r="AD90" s="50"/>
      <c r="AE90" s="50"/>
    </row>
    <row r="91" spans="2:31" x14ac:dyDescent="0.2">
      <c r="B91" s="9" t="s">
        <v>600</v>
      </c>
      <c r="K91" s="8">
        <v>59</v>
      </c>
      <c r="N91" s="8">
        <f t="shared" si="12"/>
        <v>59</v>
      </c>
      <c r="O91" s="226">
        <v>3734279</v>
      </c>
      <c r="X91" s="8">
        <v>59</v>
      </c>
      <c r="AA91" s="8">
        <f t="shared" si="11"/>
        <v>59</v>
      </c>
      <c r="AB91" s="226">
        <v>3734279</v>
      </c>
      <c r="AD91" s="50"/>
      <c r="AE91" s="50"/>
    </row>
    <row r="92" spans="2:31" x14ac:dyDescent="0.2">
      <c r="B92" s="9" t="s">
        <v>601</v>
      </c>
      <c r="K92" s="8">
        <v>3</v>
      </c>
      <c r="N92" s="8">
        <f t="shared" si="12"/>
        <v>3</v>
      </c>
      <c r="O92" s="226">
        <v>133069.44</v>
      </c>
      <c r="X92" s="8">
        <v>3</v>
      </c>
      <c r="AA92" s="8">
        <f t="shared" si="11"/>
        <v>3</v>
      </c>
      <c r="AB92" s="226">
        <v>133069.44</v>
      </c>
      <c r="AD92" s="50"/>
      <c r="AE92" s="50"/>
    </row>
    <row r="93" spans="2:31" x14ac:dyDescent="0.2">
      <c r="B93" s="9"/>
      <c r="O93" s="13"/>
      <c r="AA93" s="8"/>
      <c r="AB93" s="13"/>
      <c r="AD93" s="50"/>
      <c r="AE93" s="50"/>
    </row>
    <row r="94" spans="2:31" x14ac:dyDescent="0.2">
      <c r="B94" s="10" t="s">
        <v>602</v>
      </c>
      <c r="C94" s="224"/>
      <c r="D94" s="224"/>
      <c r="E94" s="224"/>
      <c r="F94" s="224"/>
      <c r="G94" s="224"/>
      <c r="H94" s="224"/>
      <c r="I94" s="224"/>
      <c r="J94" s="224"/>
      <c r="K94" s="224"/>
      <c r="L94" s="224">
        <f>SUM(L96:L115)</f>
        <v>5291</v>
      </c>
      <c r="M94" s="224"/>
      <c r="N94" s="224">
        <f t="shared" si="12"/>
        <v>5291</v>
      </c>
      <c r="O94" s="225">
        <f>SUM(O96:O115)</f>
        <v>229769720.24000001</v>
      </c>
      <c r="P94" s="224"/>
      <c r="Q94" s="224"/>
      <c r="R94" s="224"/>
      <c r="S94" s="224"/>
      <c r="T94" s="224"/>
      <c r="U94" s="224"/>
      <c r="V94" s="224"/>
      <c r="W94" s="224"/>
      <c r="X94" s="224"/>
      <c r="Y94" s="224">
        <f>SUM(Y96:Y115)</f>
        <v>5291</v>
      </c>
      <c r="Z94" s="224"/>
      <c r="AA94" s="224">
        <f t="shared" ref="AA94" si="13">SUM(P94:Z94)</f>
        <v>5291</v>
      </c>
      <c r="AB94" s="225">
        <f>SUM(AB96:AB115)</f>
        <v>229769720.24000001</v>
      </c>
      <c r="AD94" s="50"/>
      <c r="AE94" s="50"/>
    </row>
    <row r="95" spans="2:31" x14ac:dyDescent="0.2">
      <c r="B95" s="9"/>
      <c r="O95" s="13"/>
      <c r="AA95" s="8"/>
      <c r="AB95" s="13"/>
      <c r="AD95" s="50"/>
      <c r="AE95" s="50"/>
    </row>
    <row r="96" spans="2:31" x14ac:dyDescent="0.2">
      <c r="B96" s="9" t="s">
        <v>603</v>
      </c>
      <c r="L96" s="8">
        <v>42</v>
      </c>
      <c r="N96" s="8">
        <f t="shared" si="12"/>
        <v>42</v>
      </c>
      <c r="O96" s="226">
        <v>3430833.6</v>
      </c>
      <c r="Y96" s="8">
        <v>42</v>
      </c>
      <c r="AA96" s="8">
        <f t="shared" ref="AA96:AA115" si="14">SUM(P96:Z96)</f>
        <v>42</v>
      </c>
      <c r="AB96" s="226">
        <v>3430833.6</v>
      </c>
      <c r="AD96" s="50"/>
      <c r="AE96" s="50"/>
    </row>
    <row r="97" spans="2:31" x14ac:dyDescent="0.2">
      <c r="B97" s="9" t="s">
        <v>604</v>
      </c>
      <c r="L97" s="8">
        <v>121</v>
      </c>
      <c r="N97" s="8">
        <f t="shared" si="12"/>
        <v>121</v>
      </c>
      <c r="O97" s="226">
        <v>8562159.7599999998</v>
      </c>
      <c r="Y97" s="8">
        <v>121</v>
      </c>
      <c r="AA97" s="8">
        <f t="shared" si="14"/>
        <v>121</v>
      </c>
      <c r="AB97" s="226">
        <v>8562159.7599999998</v>
      </c>
      <c r="AD97" s="50"/>
      <c r="AE97" s="50"/>
    </row>
    <row r="98" spans="2:31" x14ac:dyDescent="0.2">
      <c r="B98" s="9" t="s">
        <v>605</v>
      </c>
      <c r="L98" s="8">
        <v>187</v>
      </c>
      <c r="N98" s="8">
        <f t="shared" si="12"/>
        <v>187</v>
      </c>
      <c r="O98" s="226">
        <v>11779734.039999999</v>
      </c>
      <c r="Y98" s="8">
        <v>187</v>
      </c>
      <c r="AA98" s="8">
        <f t="shared" si="14"/>
        <v>187</v>
      </c>
      <c r="AB98" s="226">
        <v>11779734.039999999</v>
      </c>
      <c r="AD98" s="50"/>
      <c r="AE98" s="50"/>
    </row>
    <row r="99" spans="2:31" x14ac:dyDescent="0.2">
      <c r="B99" s="9" t="s">
        <v>606</v>
      </c>
      <c r="L99" s="8">
        <v>313</v>
      </c>
      <c r="N99" s="8">
        <f t="shared" si="12"/>
        <v>313</v>
      </c>
      <c r="O99" s="226">
        <v>18298834.48</v>
      </c>
      <c r="Y99" s="8">
        <v>313</v>
      </c>
      <c r="AA99" s="8">
        <f t="shared" si="14"/>
        <v>313</v>
      </c>
      <c r="AB99" s="226">
        <v>18298834.48</v>
      </c>
      <c r="AD99" s="50"/>
      <c r="AE99" s="50"/>
    </row>
    <row r="100" spans="2:31" x14ac:dyDescent="0.2">
      <c r="B100" s="9" t="s">
        <v>607</v>
      </c>
      <c r="L100" s="8">
        <v>148</v>
      </c>
      <c r="N100" s="8">
        <f t="shared" si="12"/>
        <v>148</v>
      </c>
      <c r="O100" s="226">
        <v>8040796.1200000001</v>
      </c>
      <c r="Y100" s="8">
        <v>148</v>
      </c>
      <c r="AA100" s="8">
        <f t="shared" si="14"/>
        <v>148</v>
      </c>
      <c r="AB100" s="226">
        <v>8040796.1200000001</v>
      </c>
      <c r="AD100" s="50"/>
      <c r="AE100" s="50"/>
    </row>
    <row r="101" spans="2:31" x14ac:dyDescent="0.2">
      <c r="B101" s="9" t="s">
        <v>608</v>
      </c>
      <c r="L101" s="8">
        <v>184</v>
      </c>
      <c r="N101" s="8">
        <f t="shared" si="12"/>
        <v>184</v>
      </c>
      <c r="O101" s="226">
        <v>9592144.9600000009</v>
      </c>
      <c r="Y101" s="8">
        <v>184</v>
      </c>
      <c r="AA101" s="8">
        <f t="shared" si="14"/>
        <v>184</v>
      </c>
      <c r="AB101" s="226">
        <v>9592144.9600000009</v>
      </c>
      <c r="AD101" s="50"/>
      <c r="AE101" s="50"/>
    </row>
    <row r="102" spans="2:31" x14ac:dyDescent="0.2">
      <c r="B102" s="9" t="s">
        <v>609</v>
      </c>
      <c r="L102" s="8">
        <v>4</v>
      </c>
      <c r="N102" s="8">
        <f t="shared" si="12"/>
        <v>4</v>
      </c>
      <c r="O102" s="226">
        <v>236088.16</v>
      </c>
      <c r="Y102" s="8">
        <v>4</v>
      </c>
      <c r="AA102" s="8">
        <f t="shared" si="14"/>
        <v>4</v>
      </c>
      <c r="AB102" s="226">
        <v>236088.16</v>
      </c>
      <c r="AD102" s="50"/>
      <c r="AE102" s="50"/>
    </row>
    <row r="103" spans="2:31" x14ac:dyDescent="0.2">
      <c r="B103" s="9" t="s">
        <v>610</v>
      </c>
      <c r="L103" s="8">
        <v>6</v>
      </c>
      <c r="N103" s="8">
        <f t="shared" si="12"/>
        <v>6</v>
      </c>
      <c r="O103" s="226">
        <v>304450.8</v>
      </c>
      <c r="Y103" s="8">
        <v>6</v>
      </c>
      <c r="AA103" s="8">
        <f t="shared" si="14"/>
        <v>6</v>
      </c>
      <c r="AB103" s="226">
        <v>304450.8</v>
      </c>
      <c r="AD103" s="50"/>
      <c r="AE103" s="50"/>
    </row>
    <row r="104" spans="2:31" x14ac:dyDescent="0.2">
      <c r="B104" s="9" t="s">
        <v>611</v>
      </c>
      <c r="L104" s="8">
        <v>12</v>
      </c>
      <c r="N104" s="8">
        <f t="shared" si="12"/>
        <v>12</v>
      </c>
      <c r="O104" s="226">
        <v>538050.72</v>
      </c>
      <c r="Y104" s="8">
        <v>12</v>
      </c>
      <c r="AA104" s="8">
        <f t="shared" si="14"/>
        <v>12</v>
      </c>
      <c r="AB104" s="226">
        <v>538050.72</v>
      </c>
      <c r="AD104" s="50"/>
      <c r="AE104" s="50"/>
    </row>
    <row r="105" spans="2:31" x14ac:dyDescent="0.2">
      <c r="B105" s="9" t="s">
        <v>612</v>
      </c>
      <c r="L105" s="8">
        <v>62</v>
      </c>
      <c r="N105" s="8">
        <f t="shared" si="12"/>
        <v>62</v>
      </c>
      <c r="O105" s="226">
        <v>2596289.84</v>
      </c>
      <c r="Y105" s="8">
        <v>62</v>
      </c>
      <c r="AA105" s="8">
        <f t="shared" si="14"/>
        <v>62</v>
      </c>
      <c r="AB105" s="226">
        <v>2596289.84</v>
      </c>
      <c r="AD105" s="50"/>
      <c r="AE105" s="50"/>
    </row>
    <row r="106" spans="2:31" x14ac:dyDescent="0.2">
      <c r="B106" s="9" t="s">
        <v>613</v>
      </c>
      <c r="L106" s="8">
        <v>96</v>
      </c>
      <c r="N106" s="8">
        <f t="shared" si="12"/>
        <v>96</v>
      </c>
      <c r="O106" s="226">
        <v>3753952.56</v>
      </c>
      <c r="Y106" s="8">
        <v>96</v>
      </c>
      <c r="AA106" s="8">
        <f t="shared" si="14"/>
        <v>96</v>
      </c>
      <c r="AB106" s="226">
        <v>3753952.56</v>
      </c>
      <c r="AD106" s="50"/>
      <c r="AE106" s="50"/>
    </row>
    <row r="107" spans="2:31" x14ac:dyDescent="0.2">
      <c r="B107" s="9" t="s">
        <v>614</v>
      </c>
      <c r="L107" s="8">
        <v>125</v>
      </c>
      <c r="N107" s="8">
        <f t="shared" si="12"/>
        <v>125</v>
      </c>
      <c r="O107" s="226">
        <v>4485918.68</v>
      </c>
      <c r="Y107" s="8">
        <v>125</v>
      </c>
      <c r="AA107" s="8">
        <f t="shared" si="14"/>
        <v>125</v>
      </c>
      <c r="AB107" s="226">
        <v>4485918.68</v>
      </c>
      <c r="AD107" s="50"/>
      <c r="AE107" s="50"/>
    </row>
    <row r="108" spans="2:31" x14ac:dyDescent="0.2">
      <c r="B108" s="9" t="s">
        <v>615</v>
      </c>
      <c r="L108" s="8">
        <v>39</v>
      </c>
      <c r="N108" s="8">
        <f t="shared" si="12"/>
        <v>39</v>
      </c>
      <c r="O108" s="226">
        <v>2177851.08</v>
      </c>
      <c r="Y108" s="8">
        <v>39</v>
      </c>
      <c r="AA108" s="8">
        <f t="shared" si="14"/>
        <v>39</v>
      </c>
      <c r="AB108" s="226">
        <v>2177851.08</v>
      </c>
      <c r="AD108" s="50"/>
      <c r="AE108" s="50"/>
    </row>
    <row r="109" spans="2:31" x14ac:dyDescent="0.2">
      <c r="B109" s="9" t="s">
        <v>616</v>
      </c>
      <c r="L109" s="8">
        <v>110</v>
      </c>
      <c r="N109" s="8">
        <f t="shared" si="12"/>
        <v>110</v>
      </c>
      <c r="O109" s="226">
        <v>5343061.76</v>
      </c>
      <c r="Y109" s="8">
        <v>110</v>
      </c>
      <c r="AA109" s="8">
        <f t="shared" si="14"/>
        <v>110</v>
      </c>
      <c r="AB109" s="226">
        <v>5343061.76</v>
      </c>
      <c r="AD109" s="50"/>
      <c r="AE109" s="50"/>
    </row>
    <row r="110" spans="2:31" x14ac:dyDescent="0.2">
      <c r="B110" s="9" t="s">
        <v>617</v>
      </c>
      <c r="L110" s="8">
        <v>295</v>
      </c>
      <c r="N110" s="8">
        <f t="shared" si="12"/>
        <v>295</v>
      </c>
      <c r="O110" s="226">
        <v>12693475</v>
      </c>
      <c r="Y110" s="8">
        <v>295</v>
      </c>
      <c r="AA110" s="8">
        <f t="shared" si="14"/>
        <v>295</v>
      </c>
      <c r="AB110" s="226">
        <v>12693475</v>
      </c>
      <c r="AD110" s="50"/>
      <c r="AE110" s="50"/>
    </row>
    <row r="111" spans="2:31" x14ac:dyDescent="0.2">
      <c r="B111" s="9" t="s">
        <v>618</v>
      </c>
      <c r="L111" s="8">
        <v>916</v>
      </c>
      <c r="N111" s="8">
        <f t="shared" si="12"/>
        <v>916</v>
      </c>
      <c r="O111" s="226">
        <v>37870079.560000002</v>
      </c>
      <c r="Y111" s="8">
        <v>916</v>
      </c>
      <c r="AA111" s="8">
        <f t="shared" si="14"/>
        <v>916</v>
      </c>
      <c r="AB111" s="226">
        <v>37870079.560000002</v>
      </c>
      <c r="AD111" s="50"/>
      <c r="AE111" s="50"/>
    </row>
    <row r="112" spans="2:31" x14ac:dyDescent="0.2">
      <c r="B112" s="9" t="s">
        <v>619</v>
      </c>
      <c r="L112" s="8">
        <v>1280</v>
      </c>
      <c r="N112" s="8">
        <f t="shared" si="12"/>
        <v>1280</v>
      </c>
      <c r="O112" s="226">
        <v>49858081.520000003</v>
      </c>
      <c r="Y112" s="8">
        <v>1280</v>
      </c>
      <c r="AA112" s="8">
        <f t="shared" si="14"/>
        <v>1280</v>
      </c>
      <c r="AB112" s="226">
        <v>49858081.520000003</v>
      </c>
      <c r="AD112" s="50"/>
      <c r="AE112" s="50"/>
    </row>
    <row r="113" spans="2:31" x14ac:dyDescent="0.2">
      <c r="B113" s="9" t="s">
        <v>620</v>
      </c>
      <c r="L113" s="8">
        <v>1338</v>
      </c>
      <c r="N113" s="8">
        <f t="shared" si="12"/>
        <v>1338</v>
      </c>
      <c r="O113" s="226">
        <v>49218973.920000002</v>
      </c>
      <c r="Y113" s="8">
        <v>1338</v>
      </c>
      <c r="AA113" s="8">
        <f t="shared" si="14"/>
        <v>1338</v>
      </c>
      <c r="AB113" s="226">
        <v>49218973.920000002</v>
      </c>
      <c r="AD113" s="50"/>
      <c r="AE113" s="50"/>
    </row>
    <row r="114" spans="2:31" x14ac:dyDescent="0.2">
      <c r="B114" s="9" t="s">
        <v>621</v>
      </c>
      <c r="L114" s="8">
        <v>5</v>
      </c>
      <c r="N114" s="8">
        <f t="shared" si="12"/>
        <v>5</v>
      </c>
      <c r="O114" s="226">
        <v>298961.59999999998</v>
      </c>
      <c r="Y114" s="8">
        <v>5</v>
      </c>
      <c r="AA114" s="8">
        <f t="shared" si="14"/>
        <v>5</v>
      </c>
      <c r="AB114" s="226">
        <v>298961.59999999998</v>
      </c>
      <c r="AD114" s="50"/>
      <c r="AE114" s="50"/>
    </row>
    <row r="115" spans="2:31" x14ac:dyDescent="0.2">
      <c r="B115" s="9" t="s">
        <v>622</v>
      </c>
      <c r="L115" s="8">
        <v>8</v>
      </c>
      <c r="N115" s="8">
        <f t="shared" si="12"/>
        <v>8</v>
      </c>
      <c r="O115" s="226">
        <v>689982.08</v>
      </c>
      <c r="Y115" s="8">
        <v>8</v>
      </c>
      <c r="AA115" s="8">
        <f t="shared" si="14"/>
        <v>8</v>
      </c>
      <c r="AB115" s="226">
        <v>689982.08</v>
      </c>
      <c r="AD115" s="50"/>
      <c r="AE115" s="50"/>
    </row>
    <row r="116" spans="2:31" x14ac:dyDescent="0.2">
      <c r="B116" s="9"/>
      <c r="O116" s="13"/>
      <c r="AA116" s="8"/>
      <c r="AB116" s="13"/>
      <c r="AD116" s="50"/>
      <c r="AE116" s="50"/>
    </row>
    <row r="117" spans="2:31" x14ac:dyDescent="0.2">
      <c r="B117" s="10" t="s">
        <v>623</v>
      </c>
      <c r="C117" s="224"/>
      <c r="D117" s="224"/>
      <c r="E117" s="224"/>
      <c r="F117" s="224"/>
      <c r="G117" s="224"/>
      <c r="H117" s="224"/>
      <c r="I117" s="224"/>
      <c r="J117" s="224"/>
      <c r="K117" s="224"/>
      <c r="L117" s="224">
        <f>SUM(L119:L120)</f>
        <v>2508</v>
      </c>
      <c r="M117" s="224"/>
      <c r="N117" s="224">
        <f t="shared" si="12"/>
        <v>2508</v>
      </c>
      <c r="O117" s="225">
        <f>SUM(O119:O120)</f>
        <v>90042048.960000008</v>
      </c>
      <c r="P117" s="224"/>
      <c r="Q117" s="224"/>
      <c r="R117" s="224"/>
      <c r="S117" s="224"/>
      <c r="T117" s="224"/>
      <c r="U117" s="224"/>
      <c r="V117" s="224"/>
      <c r="W117" s="224"/>
      <c r="X117" s="224"/>
      <c r="Y117" s="224">
        <f>SUM(Y119:Y120)</f>
        <v>2508</v>
      </c>
      <c r="Z117" s="224"/>
      <c r="AA117" s="224">
        <f t="shared" ref="AA117" si="15">SUM(P117:Z117)</f>
        <v>2508</v>
      </c>
      <c r="AB117" s="225">
        <f>SUM(AB119:AB120)</f>
        <v>90042048.960000008</v>
      </c>
      <c r="AD117" s="50"/>
      <c r="AE117" s="50"/>
    </row>
    <row r="118" spans="2:31" x14ac:dyDescent="0.2">
      <c r="B118" s="9"/>
      <c r="O118" s="13"/>
      <c r="AA118" s="8"/>
      <c r="AB118" s="13"/>
      <c r="AD118" s="50"/>
      <c r="AE118" s="50"/>
    </row>
    <row r="119" spans="2:31" x14ac:dyDescent="0.2">
      <c r="B119" s="9" t="s">
        <v>624</v>
      </c>
      <c r="L119" s="8">
        <v>30</v>
      </c>
      <c r="N119" s="8">
        <f t="shared" si="12"/>
        <v>30</v>
      </c>
      <c r="O119" s="226">
        <v>1239343.2</v>
      </c>
      <c r="Y119" s="8">
        <v>30</v>
      </c>
      <c r="AA119" s="8">
        <f t="shared" ref="AA119:AA120" si="16">SUM(P119:Z119)</f>
        <v>30</v>
      </c>
      <c r="AB119" s="226">
        <v>1239343.2</v>
      </c>
      <c r="AD119" s="50"/>
      <c r="AE119" s="50"/>
    </row>
    <row r="120" spans="2:31" x14ac:dyDescent="0.2">
      <c r="B120" s="9" t="s">
        <v>625</v>
      </c>
      <c r="L120" s="8">
        <v>2478</v>
      </c>
      <c r="N120" s="8">
        <f t="shared" si="12"/>
        <v>2478</v>
      </c>
      <c r="O120" s="226">
        <v>88802705.760000005</v>
      </c>
      <c r="Y120" s="8">
        <v>2478</v>
      </c>
      <c r="AA120" s="8">
        <f t="shared" si="16"/>
        <v>2478</v>
      </c>
      <c r="AB120" s="226">
        <v>88802705.760000005</v>
      </c>
      <c r="AD120" s="50"/>
      <c r="AE120" s="50"/>
    </row>
    <row r="121" spans="2:31" x14ac:dyDescent="0.2">
      <c r="B121" s="9"/>
      <c r="O121" s="13"/>
      <c r="AA121" s="8"/>
      <c r="AB121" s="13"/>
      <c r="AD121" s="50"/>
      <c r="AE121" s="50"/>
    </row>
    <row r="122" spans="2:31" x14ac:dyDescent="0.2">
      <c r="B122" s="10" t="s">
        <v>626</v>
      </c>
      <c r="C122" s="224"/>
      <c r="D122" s="224"/>
      <c r="E122" s="224"/>
      <c r="F122" s="224"/>
      <c r="G122" s="224"/>
      <c r="H122" s="224"/>
      <c r="I122" s="224"/>
      <c r="J122" s="224"/>
      <c r="K122" s="224"/>
      <c r="L122" s="224">
        <f>SUM(L124)</f>
        <v>382</v>
      </c>
      <c r="M122" s="224"/>
      <c r="N122" s="224">
        <f t="shared" si="12"/>
        <v>382</v>
      </c>
      <c r="O122" s="225">
        <f>SUM(O124)</f>
        <v>7890920.7999999998</v>
      </c>
      <c r="P122" s="224"/>
      <c r="Q122" s="224"/>
      <c r="R122" s="224"/>
      <c r="S122" s="224"/>
      <c r="T122" s="224"/>
      <c r="U122" s="224"/>
      <c r="V122" s="224"/>
      <c r="W122" s="224"/>
      <c r="X122" s="224"/>
      <c r="Y122" s="224">
        <f>SUM(Y124)</f>
        <v>382</v>
      </c>
      <c r="Z122" s="224"/>
      <c r="AA122" s="224">
        <f t="shared" ref="AA122" si="17">SUM(P122:Z122)</f>
        <v>382</v>
      </c>
      <c r="AB122" s="225">
        <f>SUM(AB124)</f>
        <v>7890920.7999999998</v>
      </c>
      <c r="AD122" s="50"/>
      <c r="AE122" s="50"/>
    </row>
    <row r="123" spans="2:31" x14ac:dyDescent="0.2">
      <c r="B123" s="9"/>
      <c r="O123" s="13"/>
      <c r="AA123" s="8"/>
      <c r="AB123" s="13"/>
      <c r="AD123" s="50"/>
      <c r="AE123" s="50"/>
    </row>
    <row r="124" spans="2:31" x14ac:dyDescent="0.2">
      <c r="B124" s="9" t="s">
        <v>627</v>
      </c>
      <c r="L124" s="8">
        <v>382</v>
      </c>
      <c r="N124" s="8">
        <f t="shared" si="12"/>
        <v>382</v>
      </c>
      <c r="O124" s="226">
        <v>7890920.7999999998</v>
      </c>
      <c r="Y124" s="8">
        <v>382</v>
      </c>
      <c r="AA124" s="8">
        <f t="shared" ref="AA124" si="18">SUM(P124:Z124)</f>
        <v>382</v>
      </c>
      <c r="AB124" s="226">
        <v>7890920.7999999998</v>
      </c>
      <c r="AD124" s="50"/>
      <c r="AE124" s="50"/>
    </row>
    <row r="125" spans="2:31" ht="13.5" thickBot="1" x14ac:dyDescent="0.25">
      <c r="B125" s="847"/>
      <c r="C125" s="986"/>
      <c r="D125" s="986"/>
      <c r="E125" s="986"/>
      <c r="F125" s="986"/>
      <c r="G125" s="986"/>
      <c r="H125" s="986"/>
      <c r="I125" s="986"/>
      <c r="J125" s="986"/>
      <c r="K125" s="986"/>
      <c r="L125" s="986"/>
      <c r="M125" s="986"/>
      <c r="N125" s="986"/>
      <c r="O125" s="863"/>
      <c r="P125" s="986"/>
      <c r="Q125" s="986"/>
      <c r="R125" s="986"/>
      <c r="S125" s="986"/>
      <c r="T125" s="986"/>
      <c r="U125" s="986"/>
      <c r="V125" s="986"/>
      <c r="W125" s="986"/>
      <c r="X125" s="986"/>
      <c r="Y125" s="986"/>
      <c r="Z125" s="986"/>
      <c r="AA125" s="986"/>
      <c r="AB125" s="863"/>
      <c r="AD125" s="50"/>
      <c r="AE125" s="50"/>
    </row>
    <row r="126" spans="2:31" ht="24" x14ac:dyDescent="0.2">
      <c r="B126" s="227" t="s">
        <v>628</v>
      </c>
      <c r="C126" s="224"/>
      <c r="D126" s="224"/>
      <c r="E126" s="224"/>
      <c r="F126" s="224"/>
      <c r="G126" s="224"/>
      <c r="H126" s="224"/>
      <c r="I126" s="224"/>
      <c r="J126" s="224"/>
      <c r="K126" s="224"/>
      <c r="L126" s="224">
        <f>SUM(L128:L130)</f>
        <v>196</v>
      </c>
      <c r="M126" s="224"/>
      <c r="N126" s="224">
        <f t="shared" si="12"/>
        <v>196</v>
      </c>
      <c r="O126" s="225">
        <f>SUM(O128:O130)</f>
        <v>7687582.4800000004</v>
      </c>
      <c r="P126" s="224"/>
      <c r="Q126" s="224"/>
      <c r="R126" s="224"/>
      <c r="S126" s="224"/>
      <c r="T126" s="224"/>
      <c r="U126" s="224"/>
      <c r="V126" s="224"/>
      <c r="W126" s="224"/>
      <c r="X126" s="224"/>
      <c r="Y126" s="224">
        <f>SUM(Y128:Y130)</f>
        <v>196</v>
      </c>
      <c r="Z126" s="224"/>
      <c r="AA126" s="224">
        <f t="shared" ref="AA126" si="19">SUM(P126:Z126)</f>
        <v>196</v>
      </c>
      <c r="AB126" s="225">
        <f>SUM(AB128:AB130)</f>
        <v>7687582.4800000004</v>
      </c>
      <c r="AD126" s="50"/>
      <c r="AE126" s="50"/>
    </row>
    <row r="127" spans="2:31" x14ac:dyDescent="0.2">
      <c r="B127" s="9"/>
      <c r="O127" s="13"/>
      <c r="AA127" s="8"/>
      <c r="AB127" s="13"/>
      <c r="AD127" s="50"/>
      <c r="AE127" s="50"/>
    </row>
    <row r="128" spans="2:31" x14ac:dyDescent="0.2">
      <c r="B128" s="9" t="s">
        <v>606</v>
      </c>
      <c r="L128" s="8">
        <v>33</v>
      </c>
      <c r="N128" s="8">
        <f t="shared" si="12"/>
        <v>33</v>
      </c>
      <c r="O128" s="226">
        <v>1751160.84</v>
      </c>
      <c r="Y128" s="8">
        <v>33</v>
      </c>
      <c r="AA128" s="8">
        <f t="shared" ref="AA128:AA130" si="20">SUM(P128:Z128)</f>
        <v>33</v>
      </c>
      <c r="AB128" s="226">
        <v>1751160.84</v>
      </c>
      <c r="AD128" s="50"/>
      <c r="AE128" s="50"/>
    </row>
    <row r="129" spans="2:31" x14ac:dyDescent="0.2">
      <c r="B129" s="9" t="s">
        <v>607</v>
      </c>
      <c r="L129" s="8">
        <v>43</v>
      </c>
      <c r="N129" s="8">
        <f t="shared" si="12"/>
        <v>43</v>
      </c>
      <c r="O129" s="226">
        <v>1715606.44</v>
      </c>
      <c r="Y129" s="8">
        <v>43</v>
      </c>
      <c r="AA129" s="8">
        <f t="shared" si="20"/>
        <v>43</v>
      </c>
      <c r="AB129" s="226">
        <v>1715606.44</v>
      </c>
      <c r="AD129" s="50"/>
      <c r="AE129" s="50"/>
    </row>
    <row r="130" spans="2:31" x14ac:dyDescent="0.2">
      <c r="B130" s="9" t="s">
        <v>608</v>
      </c>
      <c r="L130" s="8">
        <v>120</v>
      </c>
      <c r="N130" s="8">
        <f t="shared" si="12"/>
        <v>120</v>
      </c>
      <c r="O130" s="226">
        <v>4220815.2</v>
      </c>
      <c r="Y130" s="8">
        <v>120</v>
      </c>
      <c r="AA130" s="8">
        <f t="shared" si="20"/>
        <v>120</v>
      </c>
      <c r="AB130" s="226">
        <v>4220815.2</v>
      </c>
      <c r="AD130" s="50"/>
      <c r="AE130" s="50"/>
    </row>
    <row r="131" spans="2:31" x14ac:dyDescent="0.2">
      <c r="B131" s="9"/>
      <c r="O131" s="13"/>
      <c r="AA131" s="8"/>
      <c r="AB131" s="13"/>
      <c r="AD131" s="50"/>
      <c r="AE131" s="50"/>
    </row>
    <row r="132" spans="2:31" x14ac:dyDescent="0.2">
      <c r="B132" s="227" t="s">
        <v>31</v>
      </c>
      <c r="C132" s="224">
        <f>SUM(C134:C140)</f>
        <v>2424</v>
      </c>
      <c r="D132" s="224"/>
      <c r="E132" s="224">
        <f>SUM(E133:E145)</f>
        <v>3184</v>
      </c>
      <c r="F132" s="224"/>
      <c r="G132" s="224"/>
      <c r="H132" s="224"/>
      <c r="I132" s="224"/>
      <c r="J132" s="224"/>
      <c r="K132" s="224">
        <f t="shared" ref="K132:M132" si="21">SUM(K134:K140)</f>
        <v>75</v>
      </c>
      <c r="L132" s="224">
        <f>SUM(L133:L146)</f>
        <v>534</v>
      </c>
      <c r="M132" s="224">
        <f t="shared" si="21"/>
        <v>10</v>
      </c>
      <c r="N132" s="224">
        <f t="shared" si="12"/>
        <v>6227</v>
      </c>
      <c r="O132" s="225">
        <f>SUM(O134:O145)</f>
        <v>210933516.40000001</v>
      </c>
      <c r="P132" s="224">
        <f>SUM(P134:P140)</f>
        <v>2424</v>
      </c>
      <c r="Q132" s="224"/>
      <c r="R132" s="224">
        <f>SUM(R133:R145)</f>
        <v>3184</v>
      </c>
      <c r="S132" s="224"/>
      <c r="T132" s="224"/>
      <c r="U132" s="224"/>
      <c r="V132" s="224"/>
      <c r="W132" s="224"/>
      <c r="X132" s="224">
        <f t="shared" ref="X132" si="22">SUM(X134:X140)</f>
        <v>75</v>
      </c>
      <c r="Y132" s="224">
        <f>SUM(Y133:Y146)</f>
        <v>534</v>
      </c>
      <c r="Z132" s="224">
        <f t="shared" ref="Z132" si="23">SUM(Z134:Z140)</f>
        <v>10</v>
      </c>
      <c r="AA132" s="224">
        <f t="shared" ref="AA132" si="24">SUM(P132:Z132)</f>
        <v>6227</v>
      </c>
      <c r="AB132" s="225">
        <f>SUM(AB134:AB145)</f>
        <v>210933516.40000001</v>
      </c>
      <c r="AD132" s="50"/>
      <c r="AE132" s="50"/>
    </row>
    <row r="133" spans="2:31" x14ac:dyDescent="0.2">
      <c r="B133" s="9"/>
      <c r="O133" s="13"/>
      <c r="AA133" s="8"/>
      <c r="AB133" s="13"/>
      <c r="AD133" s="50"/>
      <c r="AE133" s="50"/>
    </row>
    <row r="134" spans="2:31" x14ac:dyDescent="0.2">
      <c r="B134" s="9" t="s">
        <v>629</v>
      </c>
      <c r="C134" s="8">
        <v>19</v>
      </c>
      <c r="N134" s="8">
        <f t="shared" si="12"/>
        <v>19</v>
      </c>
      <c r="O134" s="226">
        <v>175049.4</v>
      </c>
      <c r="P134" s="8">
        <v>19</v>
      </c>
      <c r="AA134" s="8">
        <f t="shared" ref="AA134:AA145" si="25">SUM(P134:Z134)</f>
        <v>19</v>
      </c>
      <c r="AB134" s="226">
        <v>175049.4</v>
      </c>
      <c r="AD134" s="50"/>
      <c r="AE134" s="50"/>
    </row>
    <row r="135" spans="2:31" x14ac:dyDescent="0.2">
      <c r="B135" s="9" t="s">
        <v>630</v>
      </c>
      <c r="K135" s="8">
        <v>70</v>
      </c>
      <c r="N135" s="8">
        <f t="shared" si="12"/>
        <v>70</v>
      </c>
      <c r="O135" s="226">
        <v>4775188.72</v>
      </c>
      <c r="X135" s="8">
        <v>70</v>
      </c>
      <c r="AA135" s="8">
        <f t="shared" si="25"/>
        <v>70</v>
      </c>
      <c r="AB135" s="226">
        <v>4775188.72</v>
      </c>
      <c r="AD135" s="50"/>
      <c r="AE135" s="50"/>
    </row>
    <row r="136" spans="2:31" x14ac:dyDescent="0.2">
      <c r="B136" s="9" t="s">
        <v>631</v>
      </c>
      <c r="C136" s="8">
        <v>763</v>
      </c>
      <c r="N136" s="8">
        <f t="shared" si="12"/>
        <v>763</v>
      </c>
      <c r="O136" s="226">
        <v>18768570.960000001</v>
      </c>
      <c r="P136" s="8">
        <v>763</v>
      </c>
      <c r="AA136" s="8">
        <f t="shared" si="25"/>
        <v>763</v>
      </c>
      <c r="AB136" s="226">
        <v>18768570.960000001</v>
      </c>
      <c r="AD136" s="50"/>
      <c r="AE136" s="50"/>
    </row>
    <row r="137" spans="2:31" x14ac:dyDescent="0.2">
      <c r="B137" s="9" t="s">
        <v>632</v>
      </c>
      <c r="K137" s="8">
        <v>5</v>
      </c>
      <c r="N137" s="8">
        <f t="shared" si="12"/>
        <v>5</v>
      </c>
      <c r="O137" s="226">
        <v>409124</v>
      </c>
      <c r="X137" s="8">
        <v>5</v>
      </c>
      <c r="AA137" s="8">
        <f t="shared" si="25"/>
        <v>5</v>
      </c>
      <c r="AB137" s="226">
        <v>409124</v>
      </c>
      <c r="AD137" s="50"/>
      <c r="AE137" s="50"/>
    </row>
    <row r="138" spans="2:31" x14ac:dyDescent="0.2">
      <c r="B138" s="9" t="s">
        <v>633</v>
      </c>
      <c r="M138" s="8">
        <v>10</v>
      </c>
      <c r="N138" s="8">
        <f t="shared" ref="N138:N145" si="26">SUM(C138:M138)</f>
        <v>10</v>
      </c>
      <c r="O138" s="226">
        <v>514800</v>
      </c>
      <c r="Z138" s="8">
        <v>10</v>
      </c>
      <c r="AA138" s="8">
        <f t="shared" si="25"/>
        <v>10</v>
      </c>
      <c r="AB138" s="226">
        <v>514800</v>
      </c>
      <c r="AD138" s="50"/>
      <c r="AE138" s="50"/>
    </row>
    <row r="139" spans="2:31" x14ac:dyDescent="0.2">
      <c r="B139" s="9" t="s">
        <v>634</v>
      </c>
      <c r="C139" s="8">
        <v>1634</v>
      </c>
      <c r="N139" s="8">
        <f t="shared" si="26"/>
        <v>1634</v>
      </c>
      <c r="O139" s="226">
        <v>60046536.280000001</v>
      </c>
      <c r="P139" s="8">
        <v>1634</v>
      </c>
      <c r="AA139" s="8">
        <f t="shared" si="25"/>
        <v>1634</v>
      </c>
      <c r="AB139" s="226">
        <v>60046536.280000001</v>
      </c>
      <c r="AD139" s="50"/>
      <c r="AE139" s="50"/>
    </row>
    <row r="140" spans="2:31" x14ac:dyDescent="0.2">
      <c r="B140" s="9" t="s">
        <v>635</v>
      </c>
      <c r="C140" s="8">
        <v>8</v>
      </c>
      <c r="N140" s="8">
        <f t="shared" si="26"/>
        <v>8</v>
      </c>
      <c r="O140" s="226">
        <v>114000</v>
      </c>
      <c r="P140" s="8">
        <v>8</v>
      </c>
      <c r="AA140" s="8">
        <f t="shared" si="25"/>
        <v>8</v>
      </c>
      <c r="AB140" s="226">
        <v>114000</v>
      </c>
      <c r="AD140" s="50"/>
      <c r="AE140" s="50"/>
    </row>
    <row r="141" spans="2:31" x14ac:dyDescent="0.2">
      <c r="B141" s="9" t="s">
        <v>104</v>
      </c>
      <c r="E141" s="8">
        <v>1300</v>
      </c>
      <c r="N141" s="8">
        <f t="shared" si="26"/>
        <v>1300</v>
      </c>
      <c r="O141" s="226">
        <v>30900587.039999999</v>
      </c>
      <c r="R141" s="8">
        <v>1300</v>
      </c>
      <c r="AA141" s="8">
        <f t="shared" si="25"/>
        <v>1300</v>
      </c>
      <c r="AB141" s="226">
        <v>30900587.039999999</v>
      </c>
      <c r="AD141" s="50"/>
      <c r="AE141" s="50"/>
    </row>
    <row r="142" spans="2:31" x14ac:dyDescent="0.2">
      <c r="B142" s="9" t="s">
        <v>636</v>
      </c>
      <c r="E142" s="8">
        <v>602</v>
      </c>
      <c r="N142" s="8">
        <f t="shared" si="26"/>
        <v>602</v>
      </c>
      <c r="O142" s="226">
        <v>16324146</v>
      </c>
      <c r="R142" s="8">
        <v>602</v>
      </c>
      <c r="AA142" s="8">
        <f t="shared" si="25"/>
        <v>602</v>
      </c>
      <c r="AB142" s="226">
        <v>16324146</v>
      </c>
      <c r="AD142" s="50"/>
      <c r="AE142" s="50"/>
    </row>
    <row r="143" spans="2:31" x14ac:dyDescent="0.2">
      <c r="B143" s="9" t="s">
        <v>637</v>
      </c>
      <c r="E143" s="8">
        <v>9</v>
      </c>
      <c r="N143" s="8">
        <f t="shared" si="26"/>
        <v>9</v>
      </c>
      <c r="O143" s="226">
        <v>342122.4</v>
      </c>
      <c r="R143" s="8">
        <v>9</v>
      </c>
      <c r="AA143" s="8">
        <f t="shared" si="25"/>
        <v>9</v>
      </c>
      <c r="AB143" s="226">
        <v>342122.4</v>
      </c>
      <c r="AD143" s="50"/>
      <c r="AE143" s="50"/>
    </row>
    <row r="144" spans="2:31" x14ac:dyDescent="0.2">
      <c r="B144" s="9" t="s">
        <v>638</v>
      </c>
      <c r="E144" s="8">
        <v>1273</v>
      </c>
      <c r="N144" s="8">
        <f t="shared" si="26"/>
        <v>1273</v>
      </c>
      <c r="O144" s="226">
        <v>74142591.599999994</v>
      </c>
      <c r="R144" s="8">
        <v>1273</v>
      </c>
      <c r="AA144" s="8">
        <f t="shared" si="25"/>
        <v>1273</v>
      </c>
      <c r="AB144" s="226">
        <v>74142591.599999994</v>
      </c>
      <c r="AD144" s="50"/>
      <c r="AE144" s="50"/>
    </row>
    <row r="145" spans="2:31" x14ac:dyDescent="0.2">
      <c r="B145" s="9" t="s">
        <v>639</v>
      </c>
      <c r="L145" s="8">
        <v>534</v>
      </c>
      <c r="N145" s="8">
        <f t="shared" si="26"/>
        <v>534</v>
      </c>
      <c r="O145" s="226">
        <v>4420800</v>
      </c>
      <c r="Y145" s="8">
        <v>534</v>
      </c>
      <c r="AA145" s="8">
        <f t="shared" si="25"/>
        <v>534</v>
      </c>
      <c r="AB145" s="226">
        <v>4420800</v>
      </c>
      <c r="AD145" s="50"/>
      <c r="AE145" s="50"/>
    </row>
    <row r="146" spans="2:31" ht="13.5" thickBot="1" x14ac:dyDescent="0.25">
      <c r="B146" s="9"/>
      <c r="O146" s="13"/>
      <c r="AA146" s="8"/>
      <c r="AB146" s="13"/>
      <c r="AD146" s="50"/>
      <c r="AE146" s="50"/>
    </row>
    <row r="147" spans="2:31" ht="17.25" customHeight="1" thickBot="1" x14ac:dyDescent="0.25">
      <c r="B147" s="15" t="s">
        <v>24</v>
      </c>
      <c r="C147" s="17">
        <f>+C132+C126+C122+C117+C94+C61+C45+C36+C27+C18+C8</f>
        <v>4953</v>
      </c>
      <c r="D147" s="17"/>
      <c r="E147" s="17">
        <f t="shared" ref="E147:O147" si="27">+E132+E126+E122+E117+E94+E61+E45+E36+E27+E18+E8</f>
        <v>3184</v>
      </c>
      <c r="F147" s="17"/>
      <c r="G147" s="17"/>
      <c r="H147" s="17"/>
      <c r="I147" s="17"/>
      <c r="J147" s="17"/>
      <c r="K147" s="17">
        <f t="shared" si="27"/>
        <v>944</v>
      </c>
      <c r="L147" s="17">
        <f t="shared" si="27"/>
        <v>8911</v>
      </c>
      <c r="M147" s="17">
        <f t="shared" si="27"/>
        <v>10</v>
      </c>
      <c r="N147" s="17">
        <f t="shared" si="27"/>
        <v>18002</v>
      </c>
      <c r="O147" s="228">
        <f t="shared" si="27"/>
        <v>691650220.72000015</v>
      </c>
      <c r="P147" s="17">
        <f>+P132+P126+P122+P117+P94+P61+P45+P36+P27+P18+P8</f>
        <v>4953</v>
      </c>
      <c r="Q147" s="17"/>
      <c r="R147" s="17">
        <f t="shared" ref="R147" si="28">+R132+R126+R122+R117+R94+R61+R45+R36+R27+R18+R8</f>
        <v>3184</v>
      </c>
      <c r="S147" s="17"/>
      <c r="T147" s="17"/>
      <c r="U147" s="17"/>
      <c r="V147" s="17"/>
      <c r="W147" s="17"/>
      <c r="X147" s="17">
        <f t="shared" ref="X147:AB147" si="29">+X132+X126+X122+X117+X94+X61+X45+X36+X27+X18+X8</f>
        <v>944</v>
      </c>
      <c r="Y147" s="17">
        <f t="shared" si="29"/>
        <v>8911</v>
      </c>
      <c r="Z147" s="17">
        <f t="shared" si="29"/>
        <v>10</v>
      </c>
      <c r="AA147" s="17">
        <f t="shared" si="29"/>
        <v>18002</v>
      </c>
      <c r="AB147" s="228">
        <f t="shared" si="29"/>
        <v>691650220.72000015</v>
      </c>
      <c r="AD147" s="50"/>
      <c r="AE147" s="50"/>
    </row>
    <row r="148" spans="2:31" x14ac:dyDescent="0.2">
      <c r="B148" s="229" t="s">
        <v>332</v>
      </c>
      <c r="C148" s="230"/>
      <c r="D148" s="230"/>
      <c r="E148" s="230"/>
      <c r="F148" s="230"/>
      <c r="G148" s="230"/>
      <c r="H148" s="230"/>
      <c r="I148" s="230"/>
      <c r="J148" s="230"/>
      <c r="K148" s="230"/>
      <c r="L148" s="230"/>
      <c r="M148" s="230"/>
      <c r="N148" s="230"/>
      <c r="O148" s="230"/>
      <c r="P148" s="230"/>
      <c r="Q148" s="230"/>
      <c r="R148" s="230"/>
      <c r="S148" s="50"/>
      <c r="T148" s="39"/>
      <c r="U148"/>
      <c r="V148"/>
      <c r="W148" s="50"/>
      <c r="X148" s="50"/>
      <c r="Y148" s="50"/>
      <c r="Z148" s="50"/>
      <c r="AA148" s="50"/>
      <c r="AB148" s="50"/>
      <c r="AC148" s="50"/>
      <c r="AD148" s="50"/>
      <c r="AE148" s="50"/>
    </row>
    <row r="149" spans="2:31" x14ac:dyDescent="0.2">
      <c r="B149" s="8" t="s">
        <v>327</v>
      </c>
      <c r="S149" s="50"/>
      <c r="T149" s="39"/>
      <c r="U149"/>
      <c r="V149"/>
      <c r="W149"/>
      <c r="X149"/>
      <c r="Y149" s="50"/>
      <c r="Z149" s="50"/>
      <c r="AA149" s="50"/>
      <c r="AB149" s="50"/>
      <c r="AC149" s="50"/>
      <c r="AD149" s="50"/>
      <c r="AE149" s="50"/>
    </row>
    <row r="150" spans="2:31" x14ac:dyDescent="0.2">
      <c r="B150" s="8" t="s">
        <v>331</v>
      </c>
      <c r="S150" s="50"/>
      <c r="T150" s="39"/>
      <c r="U150"/>
      <c r="V150"/>
      <c r="W150"/>
      <c r="X150"/>
      <c r="Y150" s="50"/>
      <c r="Z150" s="50"/>
      <c r="AA150" s="50"/>
      <c r="AB150" s="50"/>
      <c r="AC150" s="50"/>
      <c r="AD150" s="50"/>
      <c r="AE150" s="50"/>
    </row>
    <row r="151" spans="2:31" x14ac:dyDescent="0.2">
      <c r="B151" s="8" t="s">
        <v>336</v>
      </c>
    </row>
  </sheetData>
  <mergeCells count="2">
    <mergeCell ref="C5:O5"/>
    <mergeCell ref="P5:AB5"/>
  </mergeCells>
  <printOptions horizontalCentered="1"/>
  <pageMargins left="0.23622047244094491" right="0.23622047244094491" top="0.74803149606299213" bottom="0.74803149606299213" header="0.31496062992125984" footer="0.31496062992125984"/>
  <pageSetup paperSize="9" scale="58" fitToHeight="0" orientation="landscape" r:id="rId1"/>
  <headerFooter alignWithMargins="0">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2">
    <tabColor theme="9" tint="-0.249977111117893"/>
    <pageSetUpPr fitToPage="1"/>
  </sheetPr>
  <dimension ref="A1:V25"/>
  <sheetViews>
    <sheetView zoomScaleNormal="100" zoomScaleSheetLayoutView="100" zoomScalePageLayoutView="90" workbookViewId="0">
      <selection activeCell="A31" sqref="A31"/>
    </sheetView>
  </sheetViews>
  <sheetFormatPr baseColWidth="10" defaultColWidth="11.42578125" defaultRowHeight="12" x14ac:dyDescent="0.2"/>
  <cols>
    <col min="1" max="1" width="62" style="50" customWidth="1"/>
    <col min="2" max="9" width="14.7109375" style="50" customWidth="1"/>
    <col min="10" max="16384" width="11.42578125" style="50"/>
  </cols>
  <sheetData>
    <row r="1" spans="1:22" s="232" customFormat="1" ht="15.75" x14ac:dyDescent="0.25">
      <c r="A1" s="4" t="s">
        <v>480</v>
      </c>
      <c r="B1" s="231"/>
      <c r="C1" s="231"/>
      <c r="D1" s="231"/>
      <c r="E1" s="231"/>
      <c r="F1" s="231"/>
      <c r="H1" s="222"/>
      <c r="I1" s="222"/>
    </row>
    <row r="2" spans="1:22" s="220" customFormat="1" ht="15.75" x14ac:dyDescent="0.2">
      <c r="A2" s="230" t="s">
        <v>548</v>
      </c>
      <c r="B2" s="222"/>
      <c r="C2" s="222"/>
      <c r="D2" s="222"/>
      <c r="E2" s="222"/>
      <c r="F2" s="222"/>
      <c r="G2" s="222"/>
      <c r="H2" s="222"/>
      <c r="I2" s="222"/>
      <c r="J2" s="222"/>
      <c r="K2" s="222"/>
      <c r="L2" s="222"/>
      <c r="M2" s="222"/>
      <c r="N2" s="222"/>
      <c r="O2" s="222"/>
      <c r="P2" s="222"/>
      <c r="Q2" s="222"/>
      <c r="R2" s="222"/>
      <c r="S2" s="222"/>
      <c r="T2" s="222"/>
      <c r="U2" s="222"/>
      <c r="V2" s="222"/>
    </row>
    <row r="3" spans="1:22" ht="12.75" thickBot="1" x14ac:dyDescent="0.25">
      <c r="B3" s="2"/>
      <c r="E3" s="2"/>
    </row>
    <row r="4" spans="1:22" ht="12.75" thickBot="1" x14ac:dyDescent="0.25">
      <c r="A4" s="179" t="s">
        <v>11</v>
      </c>
      <c r="B4" s="1086" t="s">
        <v>408</v>
      </c>
      <c r="C4" s="1086"/>
      <c r="D4" s="1087" t="s">
        <v>432</v>
      </c>
      <c r="E4" s="1089"/>
      <c r="F4" s="1087" t="s">
        <v>433</v>
      </c>
      <c r="G4" s="1088"/>
      <c r="H4" s="1087" t="s">
        <v>640</v>
      </c>
      <c r="I4" s="1088"/>
    </row>
    <row r="5" spans="1:22" s="27" customFormat="1" ht="24" customHeight="1" x14ac:dyDescent="0.2">
      <c r="A5" s="87" t="s">
        <v>10</v>
      </c>
      <c r="B5" s="88" t="s">
        <v>155</v>
      </c>
      <c r="C5" s="89" t="s">
        <v>32</v>
      </c>
      <c r="D5" s="87" t="s">
        <v>155</v>
      </c>
      <c r="E5" s="178" t="s">
        <v>32</v>
      </c>
      <c r="F5" s="87" t="s">
        <v>155</v>
      </c>
      <c r="G5" s="178" t="s">
        <v>32</v>
      </c>
      <c r="H5" s="87" t="s">
        <v>155</v>
      </c>
      <c r="I5" s="178" t="s">
        <v>32</v>
      </c>
    </row>
    <row r="6" spans="1:22" ht="18.75" customHeight="1" x14ac:dyDescent="0.2">
      <c r="A6" s="233" t="s">
        <v>152</v>
      </c>
      <c r="B6" s="234">
        <v>13884</v>
      </c>
      <c r="C6" s="235">
        <v>403828465</v>
      </c>
      <c r="D6" s="236">
        <v>14284</v>
      </c>
      <c r="E6" s="237">
        <f>473438084-16825430</f>
        <v>456612654</v>
      </c>
      <c r="F6" s="236">
        <v>14284</v>
      </c>
      <c r="G6" s="237">
        <v>453381304</v>
      </c>
      <c r="H6" s="236">
        <f>+F6-D6</f>
        <v>0</v>
      </c>
      <c r="I6" s="237">
        <f>+G6-E6</f>
        <v>-3231350</v>
      </c>
    </row>
    <row r="7" spans="1:22" ht="18.75" customHeight="1" x14ac:dyDescent="0.2">
      <c r="A7" s="233" t="s">
        <v>184</v>
      </c>
      <c r="B7" s="234"/>
      <c r="C7" s="238"/>
      <c r="D7" s="236"/>
      <c r="E7" s="239"/>
      <c r="F7" s="236"/>
      <c r="G7" s="239"/>
      <c r="H7" s="236">
        <f t="shared" ref="H7:I21" si="0">+F7-D7</f>
        <v>0</v>
      </c>
      <c r="I7" s="239">
        <f t="shared" si="0"/>
        <v>0</v>
      </c>
    </row>
    <row r="8" spans="1:22" ht="18.75" customHeight="1" x14ac:dyDescent="0.2">
      <c r="A8" s="233" t="s">
        <v>182</v>
      </c>
      <c r="B8" s="234"/>
      <c r="C8" s="238"/>
      <c r="D8" s="236"/>
      <c r="E8" s="239"/>
      <c r="F8" s="236"/>
      <c r="G8" s="239"/>
      <c r="H8" s="236">
        <f t="shared" si="0"/>
        <v>0</v>
      </c>
      <c r="I8" s="239">
        <f t="shared" si="0"/>
        <v>0</v>
      </c>
    </row>
    <row r="9" spans="1:22" ht="18.75" customHeight="1" x14ac:dyDescent="0.2">
      <c r="A9" s="240" t="s">
        <v>191</v>
      </c>
      <c r="B9" s="234"/>
      <c r="C9" s="238"/>
      <c r="D9" s="236"/>
      <c r="E9" s="239"/>
      <c r="F9" s="236"/>
      <c r="G9" s="239"/>
      <c r="H9" s="236">
        <f t="shared" si="0"/>
        <v>0</v>
      </c>
      <c r="I9" s="239">
        <f t="shared" si="0"/>
        <v>0</v>
      </c>
    </row>
    <row r="10" spans="1:22" ht="18.75" customHeight="1" x14ac:dyDescent="0.2">
      <c r="A10" s="233" t="s">
        <v>185</v>
      </c>
      <c r="B10" s="234">
        <v>10</v>
      </c>
      <c r="C10" s="235">
        <v>514800</v>
      </c>
      <c r="D10" s="236">
        <v>10</v>
      </c>
      <c r="E10" s="237">
        <v>463320</v>
      </c>
      <c r="F10" s="236">
        <v>10</v>
      </c>
      <c r="G10" s="237">
        <v>514800</v>
      </c>
      <c r="H10" s="236">
        <f t="shared" si="0"/>
        <v>0</v>
      </c>
      <c r="I10" s="237">
        <f t="shared" si="0"/>
        <v>51480</v>
      </c>
    </row>
    <row r="11" spans="1:22" ht="18.75" customHeight="1" x14ac:dyDescent="0.2">
      <c r="A11" s="240" t="s">
        <v>183</v>
      </c>
      <c r="B11" s="234">
        <v>13884</v>
      </c>
      <c r="C11" s="235">
        <v>12006134</v>
      </c>
      <c r="D11" s="236">
        <v>14284</v>
      </c>
      <c r="E11" s="237">
        <v>12053857</v>
      </c>
      <c r="F11" s="236">
        <v>14284</v>
      </c>
      <c r="G11" s="237">
        <v>12098855</v>
      </c>
      <c r="H11" s="236">
        <f t="shared" si="0"/>
        <v>0</v>
      </c>
      <c r="I11" s="237">
        <f t="shared" si="0"/>
        <v>44998</v>
      </c>
    </row>
    <row r="12" spans="1:22" ht="18.75" customHeight="1" x14ac:dyDescent="0.2">
      <c r="A12" s="233" t="s">
        <v>190</v>
      </c>
      <c r="B12" s="234"/>
      <c r="C12" s="235"/>
      <c r="D12" s="236"/>
      <c r="E12" s="239"/>
      <c r="F12" s="236"/>
      <c r="G12" s="239"/>
      <c r="H12" s="236">
        <f t="shared" si="0"/>
        <v>0</v>
      </c>
      <c r="I12" s="239">
        <f t="shared" si="0"/>
        <v>0</v>
      </c>
    </row>
    <row r="13" spans="1:22" ht="18.75" customHeight="1" x14ac:dyDescent="0.2">
      <c r="A13" s="233" t="s">
        <v>34</v>
      </c>
      <c r="B13" s="234"/>
      <c r="C13" s="235">
        <v>25201930</v>
      </c>
      <c r="D13" s="236"/>
      <c r="E13" s="237">
        <f>595161+799635+700+14697773+1480882+3238828</f>
        <v>20812979</v>
      </c>
      <c r="F13" s="236"/>
      <c r="G13" s="237">
        <v>15222028</v>
      </c>
      <c r="H13" s="236">
        <f t="shared" si="0"/>
        <v>0</v>
      </c>
      <c r="I13" s="237">
        <f t="shared" si="0"/>
        <v>-5590951</v>
      </c>
    </row>
    <row r="14" spans="1:22" ht="18.75" customHeight="1" x14ac:dyDescent="0.2">
      <c r="A14" s="233" t="s">
        <v>187</v>
      </c>
      <c r="B14" s="234"/>
      <c r="C14" s="235"/>
      <c r="D14" s="236"/>
      <c r="E14" s="239"/>
      <c r="F14" s="236"/>
      <c r="G14" s="239"/>
      <c r="H14" s="236">
        <f t="shared" si="0"/>
        <v>0</v>
      </c>
      <c r="I14" s="239">
        <f t="shared" si="0"/>
        <v>0</v>
      </c>
    </row>
    <row r="15" spans="1:22" ht="18.75" customHeight="1" x14ac:dyDescent="0.2">
      <c r="A15" s="233" t="s">
        <v>33</v>
      </c>
      <c r="B15" s="234">
        <v>13884</v>
      </c>
      <c r="C15" s="235">
        <v>22783323</v>
      </c>
      <c r="D15" s="236">
        <v>14284</v>
      </c>
      <c r="E15" s="241">
        <f>1868001+27269734+462389</f>
        <v>29600124</v>
      </c>
      <c r="F15" s="236">
        <v>14284</v>
      </c>
      <c r="G15" s="241">
        <v>28124195</v>
      </c>
      <c r="H15" s="236">
        <f t="shared" si="0"/>
        <v>0</v>
      </c>
      <c r="I15" s="241">
        <f t="shared" si="0"/>
        <v>-1475929</v>
      </c>
    </row>
    <row r="16" spans="1:22" ht="18.75" customHeight="1" x14ac:dyDescent="0.2">
      <c r="A16" s="233" t="s">
        <v>188</v>
      </c>
      <c r="B16" s="234"/>
      <c r="C16" s="235"/>
      <c r="D16" s="236"/>
      <c r="E16" s="239"/>
      <c r="F16" s="236"/>
      <c r="G16" s="239"/>
      <c r="H16" s="236">
        <f t="shared" si="0"/>
        <v>0</v>
      </c>
      <c r="I16" s="239">
        <f t="shared" si="0"/>
        <v>0</v>
      </c>
    </row>
    <row r="17" spans="1:9" ht="18.75" customHeight="1" x14ac:dyDescent="0.2">
      <c r="A17" s="233" t="s">
        <v>186</v>
      </c>
      <c r="B17" s="234"/>
      <c r="C17" s="235">
        <v>119324</v>
      </c>
      <c r="D17" s="236"/>
      <c r="E17" s="241">
        <v>119324</v>
      </c>
      <c r="F17" s="236"/>
      <c r="G17" s="241">
        <v>0</v>
      </c>
      <c r="H17" s="236">
        <f t="shared" si="0"/>
        <v>0</v>
      </c>
      <c r="I17" s="241">
        <f t="shared" si="0"/>
        <v>-119324</v>
      </c>
    </row>
    <row r="18" spans="1:9" ht="18.75" customHeight="1" x14ac:dyDescent="0.2">
      <c r="A18" s="233" t="s">
        <v>189</v>
      </c>
      <c r="B18" s="234"/>
      <c r="C18" s="235"/>
      <c r="D18" s="236"/>
      <c r="E18" s="239"/>
      <c r="F18" s="236"/>
      <c r="G18" s="239"/>
      <c r="H18" s="236">
        <f t="shared" si="0"/>
        <v>0</v>
      </c>
      <c r="I18" s="239">
        <f t="shared" si="0"/>
        <v>0</v>
      </c>
    </row>
    <row r="19" spans="1:9" ht="18.75" customHeight="1" x14ac:dyDescent="0.2">
      <c r="A19" s="233" t="s">
        <v>40</v>
      </c>
      <c r="B19" s="234">
        <v>13884</v>
      </c>
      <c r="C19" s="235">
        <v>16492221</v>
      </c>
      <c r="D19" s="236">
        <v>14284</v>
      </c>
      <c r="E19" s="241">
        <v>16825430</v>
      </c>
      <c r="F19" s="236">
        <v>14284</v>
      </c>
      <c r="G19" s="241">
        <v>16576877</v>
      </c>
      <c r="H19" s="236">
        <f t="shared" si="0"/>
        <v>0</v>
      </c>
      <c r="I19" s="241">
        <f t="shared" si="0"/>
        <v>-248553</v>
      </c>
    </row>
    <row r="20" spans="1:9" ht="18.75" customHeight="1" x14ac:dyDescent="0.2">
      <c r="A20" s="233" t="s">
        <v>181</v>
      </c>
      <c r="B20" s="234">
        <v>1085</v>
      </c>
      <c r="C20" s="235">
        <v>630148</v>
      </c>
      <c r="D20" s="236">
        <v>1085</v>
      </c>
      <c r="E20" s="241">
        <v>684518</v>
      </c>
      <c r="F20" s="236">
        <v>1085</v>
      </c>
      <c r="G20" s="241">
        <v>684518</v>
      </c>
      <c r="H20" s="236">
        <f t="shared" si="0"/>
        <v>0</v>
      </c>
      <c r="I20" s="241">
        <f t="shared" si="0"/>
        <v>0</v>
      </c>
    </row>
    <row r="21" spans="1:9" ht="18.75" customHeight="1" thickBot="1" x14ac:dyDescent="0.25">
      <c r="A21" s="233" t="s">
        <v>63</v>
      </c>
      <c r="B21" s="234"/>
      <c r="C21" s="235">
        <v>24141333</v>
      </c>
      <c r="D21" s="236"/>
      <c r="E21" s="241">
        <v>27334279</v>
      </c>
      <c r="F21" s="236"/>
      <c r="G21" s="241">
        <v>29807928</v>
      </c>
      <c r="H21" s="236">
        <f t="shared" si="0"/>
        <v>0</v>
      </c>
      <c r="I21" s="241">
        <f t="shared" si="0"/>
        <v>2473649</v>
      </c>
    </row>
    <row r="22" spans="1:9" ht="18.75" customHeight="1" thickBot="1" x14ac:dyDescent="0.25">
      <c r="A22" s="15" t="s">
        <v>62</v>
      </c>
      <c r="B22" s="18"/>
      <c r="C22" s="242">
        <f>SUM(C6:C21)</f>
        <v>505717678</v>
      </c>
      <c r="D22" s="16"/>
      <c r="E22" s="243">
        <f>SUM(E6:E21)</f>
        <v>564506485</v>
      </c>
      <c r="F22" s="16"/>
      <c r="G22" s="243">
        <f>SUM(G6:G21)</f>
        <v>556410505</v>
      </c>
      <c r="H22" s="16"/>
      <c r="I22" s="243">
        <f>SUM(I6:I21)</f>
        <v>-8095980</v>
      </c>
    </row>
    <row r="23" spans="1:9" x14ac:dyDescent="0.2">
      <c r="A23" s="229" t="s">
        <v>369</v>
      </c>
      <c r="B23" s="230"/>
      <c r="C23" s="230"/>
      <c r="D23" s="230"/>
      <c r="E23" s="230"/>
      <c r="F23" s="230"/>
      <c r="G23" s="230"/>
      <c r="H23" s="230"/>
      <c r="I23" s="230"/>
    </row>
    <row r="24" spans="1:9" x14ac:dyDescent="0.2">
      <c r="A24" s="229" t="s">
        <v>101</v>
      </c>
      <c r="B24" s="230"/>
      <c r="C24" s="230"/>
      <c r="D24" s="230"/>
      <c r="E24" s="230"/>
      <c r="F24" s="230"/>
      <c r="G24" s="230"/>
      <c r="H24" s="230"/>
      <c r="I24" s="230"/>
    </row>
    <row r="25" spans="1:9" x14ac:dyDescent="0.2">
      <c r="A25" s="229"/>
      <c r="B25" s="230"/>
      <c r="C25" s="230"/>
      <c r="D25" s="230"/>
      <c r="E25" s="230"/>
      <c r="F25" s="230"/>
      <c r="G25" s="230"/>
      <c r="H25" s="230"/>
      <c r="I25" s="230"/>
    </row>
  </sheetData>
  <sortState xmlns:xlrd2="http://schemas.microsoft.com/office/spreadsheetml/2017/richdata2" ref="A9:A24">
    <sortCondition ref="A9:A24"/>
  </sortState>
  <mergeCells count="4">
    <mergeCell ref="B4:C4"/>
    <mergeCell ref="F4:G4"/>
    <mergeCell ref="H4:I4"/>
    <mergeCell ref="D4:E4"/>
  </mergeCells>
  <phoneticPr fontId="0" type="noConversion"/>
  <printOptions horizontalCentered="1"/>
  <pageMargins left="0.23622047244094491" right="0.23622047244094491" top="0.74803149606299213" bottom="0.74803149606299213" header="0.31496062992125984" footer="0.31496062992125984"/>
  <pageSetup paperSize="9" scale="81" fitToHeight="0" orientation="landscape" r:id="rId1"/>
  <headerFooter alignWithMargins="0">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3">
    <tabColor theme="9" tint="-0.249977111117893"/>
    <pageSetUpPr fitToPage="1"/>
  </sheetPr>
  <dimension ref="A1:AI162"/>
  <sheetViews>
    <sheetView topLeftCell="A25" zoomScaleNormal="100" zoomScaleSheetLayoutView="80" zoomScalePageLayoutView="85" workbookViewId="0">
      <selection activeCell="H105" sqref="H105"/>
    </sheetView>
  </sheetViews>
  <sheetFormatPr baseColWidth="10" defaultColWidth="11.42578125" defaultRowHeight="12" x14ac:dyDescent="0.2"/>
  <cols>
    <col min="1" max="1" width="43.7109375" style="50" customWidth="1"/>
    <col min="2" max="13" width="8.7109375" style="50" customWidth="1"/>
    <col min="14" max="14" width="9.7109375" style="50" customWidth="1"/>
    <col min="15" max="15" width="8.7109375" style="50" customWidth="1"/>
    <col min="16" max="16" width="11.85546875" style="50" customWidth="1"/>
    <col min="17" max="17" width="8.7109375" style="50" customWidth="1"/>
    <col min="18" max="18" width="11.140625" style="50" customWidth="1"/>
    <col min="19" max="30" width="8.7109375" style="50" customWidth="1"/>
    <col min="31" max="31" width="10.42578125" style="50" customWidth="1"/>
    <col min="32" max="32" width="11.42578125" style="50" customWidth="1"/>
    <col min="33" max="33" width="9.85546875" style="50" customWidth="1"/>
    <col min="34" max="34" width="8.7109375" style="50" customWidth="1"/>
    <col min="35" max="35" width="11.5703125" style="50" customWidth="1"/>
    <col min="36" max="16384" width="11.42578125" style="50"/>
  </cols>
  <sheetData>
    <row r="1" spans="1:35" s="39" customFormat="1" x14ac:dyDescent="0.2">
      <c r="A1" s="37" t="s">
        <v>434</v>
      </c>
    </row>
    <row r="2" spans="1:35" s="39" customFormat="1" x14ac:dyDescent="0.2">
      <c r="A2" s="38" t="s">
        <v>548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row>
    <row r="3" spans="1:35" s="37" customFormat="1" ht="12.75" thickBot="1" x14ac:dyDescent="0.25">
      <c r="A3" s="37" t="s">
        <v>370</v>
      </c>
    </row>
    <row r="4" spans="1:35" ht="30.75" customHeight="1" thickBot="1" x14ac:dyDescent="0.25">
      <c r="A4" s="1090" t="s">
        <v>67</v>
      </c>
      <c r="B4" s="1093" t="s">
        <v>411</v>
      </c>
      <c r="C4" s="1093"/>
      <c r="D4" s="1093"/>
      <c r="E4" s="1093"/>
      <c r="F4" s="1093"/>
      <c r="G4" s="1093"/>
      <c r="H4" s="1093"/>
      <c r="I4" s="1093"/>
      <c r="J4" s="1093"/>
      <c r="K4" s="1093"/>
      <c r="L4" s="1093"/>
      <c r="M4" s="1093"/>
      <c r="N4" s="1093"/>
      <c r="O4" s="1093"/>
      <c r="P4" s="1093"/>
      <c r="Q4" s="1094" t="s">
        <v>435</v>
      </c>
      <c r="R4" s="1093"/>
      <c r="S4" s="1093"/>
      <c r="T4" s="1093"/>
      <c r="U4" s="1093"/>
      <c r="V4" s="1093"/>
      <c r="W4" s="1093"/>
      <c r="X4" s="1093"/>
      <c r="Y4" s="1093"/>
      <c r="Z4" s="1093"/>
      <c r="AA4" s="1093"/>
      <c r="AB4" s="1093"/>
      <c r="AC4" s="1093"/>
      <c r="AD4" s="1093"/>
      <c r="AE4" s="1095"/>
      <c r="AF4" s="1096" t="s">
        <v>436</v>
      </c>
      <c r="AG4" s="1097"/>
      <c r="AH4" s="1096" t="s">
        <v>437</v>
      </c>
      <c r="AI4" s="1097"/>
    </row>
    <row r="5" spans="1:35" ht="172.5" customHeight="1" x14ac:dyDescent="0.2">
      <c r="A5" s="1091"/>
      <c r="B5" s="90" t="s">
        <v>12</v>
      </c>
      <c r="C5" s="91" t="s">
        <v>156</v>
      </c>
      <c r="D5" s="92" t="s">
        <v>299</v>
      </c>
      <c r="E5" s="92" t="s">
        <v>158</v>
      </c>
      <c r="F5" s="92" t="s">
        <v>193</v>
      </c>
      <c r="G5" s="92" t="s">
        <v>194</v>
      </c>
      <c r="H5" s="92" t="s">
        <v>195</v>
      </c>
      <c r="I5" s="92" t="s">
        <v>196</v>
      </c>
      <c r="J5" s="92" t="s">
        <v>159</v>
      </c>
      <c r="K5" s="92" t="s">
        <v>160</v>
      </c>
      <c r="L5" s="92" t="s">
        <v>161</v>
      </c>
      <c r="M5" s="92" t="s">
        <v>192</v>
      </c>
      <c r="N5" s="93" t="s">
        <v>128</v>
      </c>
      <c r="O5" s="94" t="s">
        <v>166</v>
      </c>
      <c r="P5" s="95" t="s">
        <v>165</v>
      </c>
      <c r="Q5" s="90" t="s">
        <v>12</v>
      </c>
      <c r="R5" s="91" t="s">
        <v>156</v>
      </c>
      <c r="S5" s="92" t="s">
        <v>157</v>
      </c>
      <c r="T5" s="92" t="s">
        <v>158</v>
      </c>
      <c r="U5" s="92" t="s">
        <v>193</v>
      </c>
      <c r="V5" s="92" t="s">
        <v>194</v>
      </c>
      <c r="W5" s="92" t="s">
        <v>195</v>
      </c>
      <c r="X5" s="92" t="s">
        <v>196</v>
      </c>
      <c r="Y5" s="92" t="s">
        <v>159</v>
      </c>
      <c r="Z5" s="92" t="s">
        <v>160</v>
      </c>
      <c r="AA5" s="92" t="s">
        <v>161</v>
      </c>
      <c r="AB5" s="92" t="s">
        <v>192</v>
      </c>
      <c r="AC5" s="93" t="s">
        <v>128</v>
      </c>
      <c r="AD5" s="94" t="s">
        <v>166</v>
      </c>
      <c r="AE5" s="95" t="s">
        <v>481</v>
      </c>
      <c r="AF5" s="96" t="s">
        <v>170</v>
      </c>
      <c r="AG5" s="96" t="s">
        <v>169</v>
      </c>
      <c r="AH5" s="96" t="s">
        <v>12</v>
      </c>
      <c r="AI5" s="95" t="s">
        <v>482</v>
      </c>
    </row>
    <row r="6" spans="1:35" ht="15.75" customHeight="1" thickBot="1" x14ac:dyDescent="0.25">
      <c r="A6" s="1092"/>
      <c r="B6" s="97" t="s">
        <v>68</v>
      </c>
      <c r="C6" s="98" t="s">
        <v>69</v>
      </c>
      <c r="D6" s="99" t="s">
        <v>70</v>
      </c>
      <c r="E6" s="99" t="s">
        <v>71</v>
      </c>
      <c r="F6" s="100" t="s">
        <v>72</v>
      </c>
      <c r="G6" s="100" t="s">
        <v>73</v>
      </c>
      <c r="H6" s="100" t="s">
        <v>87</v>
      </c>
      <c r="I6" s="100" t="s">
        <v>127</v>
      </c>
      <c r="J6" s="100" t="s">
        <v>164</v>
      </c>
      <c r="K6" s="100" t="s">
        <v>168</v>
      </c>
      <c r="L6" s="100" t="s">
        <v>201</v>
      </c>
      <c r="M6" s="100" t="s">
        <v>202</v>
      </c>
      <c r="N6" s="101" t="s">
        <v>204</v>
      </c>
      <c r="O6" s="102" t="s">
        <v>205</v>
      </c>
      <c r="P6" s="103" t="s">
        <v>206</v>
      </c>
      <c r="Q6" s="97" t="s">
        <v>68</v>
      </c>
      <c r="R6" s="98" t="s">
        <v>69</v>
      </c>
      <c r="S6" s="99" t="s">
        <v>70</v>
      </c>
      <c r="T6" s="99" t="s">
        <v>71</v>
      </c>
      <c r="U6" s="100" t="s">
        <v>72</v>
      </c>
      <c r="V6" s="100" t="s">
        <v>73</v>
      </c>
      <c r="W6" s="100" t="s">
        <v>87</v>
      </c>
      <c r="X6" s="100" t="s">
        <v>127</v>
      </c>
      <c r="Y6" s="100" t="s">
        <v>164</v>
      </c>
      <c r="Z6" s="100" t="s">
        <v>168</v>
      </c>
      <c r="AA6" s="100" t="s">
        <v>201</v>
      </c>
      <c r="AB6" s="100" t="s">
        <v>202</v>
      </c>
      <c r="AC6" s="101" t="s">
        <v>204</v>
      </c>
      <c r="AD6" s="102" t="s">
        <v>205</v>
      </c>
      <c r="AE6" s="103" t="s">
        <v>206</v>
      </c>
      <c r="AF6" s="104"/>
      <c r="AG6" s="97"/>
      <c r="AH6" s="104"/>
      <c r="AI6" s="97"/>
    </row>
    <row r="7" spans="1:35" x14ac:dyDescent="0.2">
      <c r="A7" s="21"/>
      <c r="B7" s="5"/>
      <c r="C7" s="3"/>
      <c r="D7" s="3"/>
      <c r="E7" s="3"/>
      <c r="F7" s="3"/>
      <c r="G7" s="3"/>
      <c r="H7" s="3"/>
      <c r="I7" s="3"/>
      <c r="J7" s="3"/>
      <c r="K7" s="3"/>
      <c r="L7" s="3"/>
      <c r="M7" s="3"/>
      <c r="O7" s="23"/>
      <c r="P7" s="6"/>
      <c r="Q7" s="5"/>
      <c r="R7" s="3"/>
      <c r="S7" s="3"/>
      <c r="T7" s="3"/>
      <c r="U7" s="3"/>
      <c r="V7" s="3"/>
      <c r="W7" s="3"/>
      <c r="X7" s="3"/>
      <c r="Y7" s="3"/>
      <c r="Z7" s="3"/>
      <c r="AA7" s="3"/>
      <c r="AB7" s="3"/>
      <c r="AD7" s="23"/>
      <c r="AE7" s="6"/>
      <c r="AF7" s="6"/>
      <c r="AG7" s="5"/>
      <c r="AH7" s="6"/>
      <c r="AI7" s="5"/>
    </row>
    <row r="8" spans="1:35" x14ac:dyDescent="0.2">
      <c r="A8" s="10" t="s">
        <v>8</v>
      </c>
      <c r="B8" s="244">
        <f>SUM(B10:B16)</f>
        <v>130</v>
      </c>
      <c r="C8" s="245">
        <f>SUM(C10:C16)</f>
        <v>39754.786072722563</v>
      </c>
      <c r="D8" s="245">
        <f>SUM(D10:D16)</f>
        <v>10380</v>
      </c>
      <c r="E8" s="245">
        <f t="shared" ref="E8:P8" si="0">SUM(E10:E16)</f>
        <v>0</v>
      </c>
      <c r="F8" s="245">
        <f t="shared" si="0"/>
        <v>0</v>
      </c>
      <c r="G8" s="245">
        <f t="shared" si="0"/>
        <v>0</v>
      </c>
      <c r="H8" s="245">
        <f t="shared" si="0"/>
        <v>0</v>
      </c>
      <c r="I8" s="245">
        <f t="shared" si="0"/>
        <v>0</v>
      </c>
      <c r="J8" s="245">
        <f t="shared" si="0"/>
        <v>0</v>
      </c>
      <c r="K8" s="245">
        <f t="shared" si="0"/>
        <v>50134.786072722563</v>
      </c>
      <c r="L8" s="245">
        <f t="shared" si="0"/>
        <v>7000</v>
      </c>
      <c r="M8" s="245">
        <f t="shared" si="0"/>
        <v>0</v>
      </c>
      <c r="N8" s="245">
        <f t="shared" si="0"/>
        <v>7000</v>
      </c>
      <c r="O8" s="245">
        <f t="shared" si="0"/>
        <v>608617.43287267082</v>
      </c>
      <c r="P8" s="245">
        <f t="shared" si="0"/>
        <v>8101996.511785713</v>
      </c>
      <c r="Q8" s="244">
        <f>SUM(Q10:Q16)</f>
        <v>136</v>
      </c>
      <c r="R8" s="245">
        <f>SUM(R10:R16)</f>
        <v>5433.97</v>
      </c>
      <c r="S8" s="245">
        <f t="shared" ref="S8:AE8" si="1">SUM(S10:S16)</f>
        <v>11220</v>
      </c>
      <c r="T8" s="245">
        <f t="shared" si="1"/>
        <v>0</v>
      </c>
      <c r="U8" s="245">
        <f t="shared" si="1"/>
        <v>0</v>
      </c>
      <c r="V8" s="245">
        <f t="shared" si="1"/>
        <v>0</v>
      </c>
      <c r="W8" s="245">
        <f t="shared" si="1"/>
        <v>0</v>
      </c>
      <c r="X8" s="245">
        <f t="shared" si="1"/>
        <v>0</v>
      </c>
      <c r="Y8" s="245">
        <f t="shared" si="1"/>
        <v>0</v>
      </c>
      <c r="Z8" s="245">
        <f t="shared" si="1"/>
        <v>16653.97</v>
      </c>
      <c r="AA8" s="245">
        <f t="shared" si="1"/>
        <v>7000</v>
      </c>
      <c r="AB8" s="245">
        <f t="shared" si="1"/>
        <v>0</v>
      </c>
      <c r="AC8" s="245">
        <f t="shared" si="1"/>
        <v>7000</v>
      </c>
      <c r="AD8" s="245">
        <f t="shared" si="1"/>
        <v>206847.63999999998</v>
      </c>
      <c r="AE8" s="245">
        <f t="shared" si="1"/>
        <v>5637617.3200000003</v>
      </c>
      <c r="AF8" s="246">
        <f>+O8-AD8</f>
        <v>401769.79287267081</v>
      </c>
      <c r="AG8" s="246">
        <f>+P8-AE8</f>
        <v>2464379.1917857127</v>
      </c>
      <c r="AH8" s="244">
        <f>SUM(AH10:AH16)</f>
        <v>136</v>
      </c>
      <c r="AI8" s="245">
        <v>1386017.3199999998</v>
      </c>
    </row>
    <row r="9" spans="1:35" x14ac:dyDescent="0.2">
      <c r="A9" s="9"/>
      <c r="B9" s="5"/>
      <c r="C9" s="3"/>
      <c r="D9" s="3"/>
      <c r="E9" s="3"/>
      <c r="F9" s="3"/>
      <c r="G9" s="3"/>
      <c r="H9" s="3"/>
      <c r="I9" s="3"/>
      <c r="J9" s="3"/>
      <c r="K9" s="3"/>
      <c r="L9" s="3"/>
      <c r="M9" s="3"/>
      <c r="O9" s="23"/>
      <c r="P9" s="6"/>
      <c r="Q9" s="5"/>
      <c r="R9" s="247"/>
      <c r="S9" s="3"/>
      <c r="T9" s="3"/>
      <c r="U9" s="3"/>
      <c r="V9" s="3"/>
      <c r="W9" s="3"/>
      <c r="X9" s="3"/>
      <c r="Y9" s="3"/>
      <c r="Z9" s="3"/>
      <c r="AA9" s="3"/>
      <c r="AB9" s="3"/>
      <c r="AD9" s="23"/>
      <c r="AE9" s="6"/>
      <c r="AF9" s="248">
        <f t="shared" ref="AF9:AG72" si="2">+O9-AD9</f>
        <v>0</v>
      </c>
      <c r="AG9" s="248">
        <f t="shared" si="2"/>
        <v>0</v>
      </c>
      <c r="AH9" s="5"/>
      <c r="AI9" s="6"/>
    </row>
    <row r="10" spans="1:35" x14ac:dyDescent="0.2">
      <c r="A10" s="9" t="s">
        <v>552</v>
      </c>
      <c r="B10" s="249">
        <v>1</v>
      </c>
      <c r="C10" s="247">
        <v>15584.269999999999</v>
      </c>
      <c r="D10" s="247">
        <v>0</v>
      </c>
      <c r="E10" s="3"/>
      <c r="F10" s="3"/>
      <c r="G10" s="3"/>
      <c r="H10" s="3"/>
      <c r="I10" s="3"/>
      <c r="J10" s="3"/>
      <c r="K10" s="250">
        <f>SUM(C10:J10)</f>
        <v>15584.269999999999</v>
      </c>
      <c r="L10" s="250">
        <v>1000</v>
      </c>
      <c r="M10" s="3"/>
      <c r="N10" s="251">
        <f>SUM(L10:M10)</f>
        <v>1000</v>
      </c>
      <c r="O10" s="252">
        <f>(K10*12)+N10</f>
        <v>188011.24</v>
      </c>
      <c r="P10" s="253">
        <f>+O10*B10</f>
        <v>188011.24</v>
      </c>
      <c r="Q10" s="5">
        <v>1</v>
      </c>
      <c r="R10" s="247">
        <v>835.28</v>
      </c>
      <c r="S10" s="3"/>
      <c r="T10" s="3"/>
      <c r="U10" s="3"/>
      <c r="V10" s="3"/>
      <c r="W10" s="3"/>
      <c r="X10" s="3"/>
      <c r="Y10" s="3"/>
      <c r="Z10" s="247">
        <f>SUM(R10:Y10)</f>
        <v>835.28</v>
      </c>
      <c r="AA10" s="247">
        <f>1000/Q10</f>
        <v>1000</v>
      </c>
      <c r="AB10" s="3"/>
      <c r="AC10" s="254">
        <f>SUM(AA10:AB10)</f>
        <v>1000</v>
      </c>
      <c r="AD10" s="255">
        <f>+(Z10*12)+AC10</f>
        <v>11023.36</v>
      </c>
      <c r="AE10" s="253">
        <f>+AD10*Q10</f>
        <v>11023.36</v>
      </c>
      <c r="AF10" s="248">
        <f t="shared" si="2"/>
        <v>176987.88</v>
      </c>
      <c r="AG10" s="248">
        <f t="shared" si="2"/>
        <v>176987.88</v>
      </c>
      <c r="AH10" s="5">
        <v>1</v>
      </c>
      <c r="AI10" s="253">
        <v>11023.36</v>
      </c>
    </row>
    <row r="11" spans="1:35" x14ac:dyDescent="0.2">
      <c r="A11" s="9" t="s">
        <v>553</v>
      </c>
      <c r="B11" s="249">
        <v>2</v>
      </c>
      <c r="C11" s="247">
        <v>9986.9449999999997</v>
      </c>
      <c r="D11" s="247">
        <v>0</v>
      </c>
      <c r="E11" s="3"/>
      <c r="F11" s="3"/>
      <c r="G11" s="3"/>
      <c r="H11" s="3"/>
      <c r="I11" s="3"/>
      <c r="J11" s="3"/>
      <c r="K11" s="250">
        <f t="shared" ref="K11:K16" si="3">SUM(C11:J11)</f>
        <v>9986.9449999999997</v>
      </c>
      <c r="L11" s="250">
        <v>1000</v>
      </c>
      <c r="M11" s="3"/>
      <c r="N11" s="251">
        <f t="shared" ref="N11:N16" si="4">SUM(L11:M11)</f>
        <v>1000</v>
      </c>
      <c r="O11" s="252">
        <f>(K11*12)+N11</f>
        <v>120843.34</v>
      </c>
      <c r="P11" s="253">
        <f t="shared" ref="P11:P16" si="5">+O11*B11</f>
        <v>241686.68</v>
      </c>
      <c r="Q11" s="5">
        <v>2</v>
      </c>
      <c r="R11" s="247">
        <f>1631.64/Q11</f>
        <v>815.82</v>
      </c>
      <c r="S11" s="3"/>
      <c r="T11" s="3"/>
      <c r="U11" s="3"/>
      <c r="V11" s="3"/>
      <c r="W11" s="3"/>
      <c r="X11" s="3"/>
      <c r="Y11" s="3"/>
      <c r="Z11" s="247">
        <f t="shared" ref="Z11:Z74" si="6">SUM(R11:Y11)</f>
        <v>815.82</v>
      </c>
      <c r="AA11" s="247">
        <f>2000/Q11</f>
        <v>1000</v>
      </c>
      <c r="AB11" s="3"/>
      <c r="AC11" s="254">
        <f t="shared" ref="AC11:AC16" si="7">SUM(AA11:AB11)</f>
        <v>1000</v>
      </c>
      <c r="AD11" s="255">
        <f>+(Z11*12)+AC11</f>
        <v>10789.84</v>
      </c>
      <c r="AE11" s="253">
        <f t="shared" ref="AE11:AE16" si="8">+AD11*Q11</f>
        <v>21579.68</v>
      </c>
      <c r="AF11" s="248">
        <f t="shared" si="2"/>
        <v>110053.5</v>
      </c>
      <c r="AG11" s="248">
        <f t="shared" si="2"/>
        <v>220107</v>
      </c>
      <c r="AH11" s="5">
        <v>2</v>
      </c>
      <c r="AI11" s="253">
        <v>21579.68</v>
      </c>
    </row>
    <row r="12" spans="1:35" x14ac:dyDescent="0.2">
      <c r="A12" s="9" t="s">
        <v>554</v>
      </c>
      <c r="B12" s="249">
        <v>23</v>
      </c>
      <c r="C12" s="247">
        <v>4104.982173913043</v>
      </c>
      <c r="D12" s="247">
        <v>3740</v>
      </c>
      <c r="E12" s="3"/>
      <c r="F12" s="3"/>
      <c r="G12" s="3"/>
      <c r="H12" s="3"/>
      <c r="I12" s="3"/>
      <c r="J12" s="3"/>
      <c r="K12" s="250">
        <f t="shared" si="3"/>
        <v>7844.982173913043</v>
      </c>
      <c r="L12" s="250">
        <v>1000</v>
      </c>
      <c r="M12" s="3"/>
      <c r="N12" s="251">
        <f t="shared" si="4"/>
        <v>1000</v>
      </c>
      <c r="O12" s="252">
        <f t="shared" ref="O12:O16" si="9">(K12*12)+N12</f>
        <v>95139.786086956519</v>
      </c>
      <c r="P12" s="253">
        <f t="shared" si="5"/>
        <v>2188215.08</v>
      </c>
      <c r="Q12" s="5">
        <v>24</v>
      </c>
      <c r="R12" s="247">
        <f>19113.36/Q12</f>
        <v>796.39</v>
      </c>
      <c r="S12" s="247">
        <v>3540</v>
      </c>
      <c r="T12" s="3"/>
      <c r="U12" s="3"/>
      <c r="V12" s="3"/>
      <c r="W12" s="3"/>
      <c r="X12" s="3"/>
      <c r="Y12" s="3"/>
      <c r="Z12" s="247">
        <f t="shared" si="6"/>
        <v>4336.3900000000003</v>
      </c>
      <c r="AA12" s="247">
        <f>24000/Q12</f>
        <v>1000</v>
      </c>
      <c r="AB12" s="3"/>
      <c r="AC12" s="254">
        <f t="shared" si="7"/>
        <v>1000</v>
      </c>
      <c r="AD12" s="255">
        <f t="shared" ref="AD12:AD16" si="10">+(Z12*12)+AC12</f>
        <v>53036.680000000008</v>
      </c>
      <c r="AE12" s="253">
        <f t="shared" si="8"/>
        <v>1272880.3200000003</v>
      </c>
      <c r="AF12" s="248">
        <f t="shared" si="2"/>
        <v>42103.106086956512</v>
      </c>
      <c r="AG12" s="248">
        <f t="shared" si="2"/>
        <v>915334.75999999978</v>
      </c>
      <c r="AH12" s="5">
        <v>24</v>
      </c>
      <c r="AI12" s="253">
        <v>253360.32</v>
      </c>
    </row>
    <row r="13" spans="1:35" x14ac:dyDescent="0.2">
      <c r="A13" s="9" t="s">
        <v>555</v>
      </c>
      <c r="B13" s="249">
        <v>22</v>
      </c>
      <c r="C13" s="247">
        <v>2586.0078571428571</v>
      </c>
      <c r="D13" s="247">
        <v>1820</v>
      </c>
      <c r="E13" s="3"/>
      <c r="F13" s="3"/>
      <c r="G13" s="3"/>
      <c r="H13" s="3"/>
      <c r="I13" s="3"/>
      <c r="J13" s="3"/>
      <c r="K13" s="250">
        <f t="shared" si="3"/>
        <v>4406.0078571428567</v>
      </c>
      <c r="L13" s="250">
        <v>1000</v>
      </c>
      <c r="M13" s="3"/>
      <c r="N13" s="251">
        <f t="shared" si="4"/>
        <v>1000</v>
      </c>
      <c r="O13" s="252">
        <f t="shared" si="9"/>
        <v>53872.09428571428</v>
      </c>
      <c r="P13" s="253">
        <f t="shared" si="5"/>
        <v>1185186.0742857142</v>
      </c>
      <c r="Q13" s="5">
        <v>22</v>
      </c>
      <c r="R13" s="247">
        <f>17093.12/Q13</f>
        <v>776.95999999999992</v>
      </c>
      <c r="S13" s="247">
        <v>2520</v>
      </c>
      <c r="T13" s="3"/>
      <c r="U13" s="3"/>
      <c r="V13" s="3"/>
      <c r="W13" s="3"/>
      <c r="X13" s="3"/>
      <c r="Y13" s="3"/>
      <c r="Z13" s="247">
        <f t="shared" si="6"/>
        <v>3296.96</v>
      </c>
      <c r="AA13" s="247">
        <f>22000/Q13</f>
        <v>1000</v>
      </c>
      <c r="AB13" s="3"/>
      <c r="AC13" s="254">
        <f t="shared" si="7"/>
        <v>1000</v>
      </c>
      <c r="AD13" s="255">
        <f t="shared" si="10"/>
        <v>40563.520000000004</v>
      </c>
      <c r="AE13" s="253">
        <f t="shared" si="8"/>
        <v>892397.44000000006</v>
      </c>
      <c r="AF13" s="248">
        <f t="shared" si="2"/>
        <v>13308.574285714276</v>
      </c>
      <c r="AG13" s="248">
        <f t="shared" si="2"/>
        <v>292788.63428571413</v>
      </c>
      <c r="AH13" s="5">
        <v>22</v>
      </c>
      <c r="AI13" s="253">
        <v>227117.43999999997</v>
      </c>
    </row>
    <row r="14" spans="1:35" x14ac:dyDescent="0.2">
      <c r="A14" s="9" t="s">
        <v>556</v>
      </c>
      <c r="B14" s="249">
        <v>67</v>
      </c>
      <c r="C14" s="247">
        <v>2623.2210416666667</v>
      </c>
      <c r="D14" s="247">
        <v>1740</v>
      </c>
      <c r="E14" s="3"/>
      <c r="F14" s="3"/>
      <c r="G14" s="3"/>
      <c r="H14" s="3"/>
      <c r="I14" s="3"/>
      <c r="J14" s="3"/>
      <c r="K14" s="250">
        <f t="shared" si="3"/>
        <v>4363.2210416666667</v>
      </c>
      <c r="L14" s="250">
        <v>1000</v>
      </c>
      <c r="M14" s="3"/>
      <c r="N14" s="251">
        <f t="shared" si="4"/>
        <v>1000</v>
      </c>
      <c r="O14" s="252">
        <f t="shared" si="9"/>
        <v>53358.652499999997</v>
      </c>
      <c r="P14" s="253">
        <f t="shared" si="5"/>
        <v>3575029.7174999998</v>
      </c>
      <c r="Q14" s="5">
        <v>71</v>
      </c>
      <c r="R14" s="247">
        <f>53781.79/Q14</f>
        <v>757.49</v>
      </c>
      <c r="S14" s="247">
        <v>2740</v>
      </c>
      <c r="T14" s="3"/>
      <c r="U14" s="3"/>
      <c r="V14" s="3"/>
      <c r="W14" s="3"/>
      <c r="X14" s="3"/>
      <c r="Y14" s="3"/>
      <c r="Z14" s="247">
        <f t="shared" si="6"/>
        <v>3497.49</v>
      </c>
      <c r="AA14" s="247">
        <f>71000/Q14</f>
        <v>1000</v>
      </c>
      <c r="AB14" s="3"/>
      <c r="AC14" s="254">
        <f t="shared" si="7"/>
        <v>1000</v>
      </c>
      <c r="AD14" s="255">
        <f t="shared" si="10"/>
        <v>42969.88</v>
      </c>
      <c r="AE14" s="253">
        <f t="shared" si="8"/>
        <v>3050861.48</v>
      </c>
      <c r="AF14" s="248">
        <f t="shared" si="2"/>
        <v>10388.772499999999</v>
      </c>
      <c r="AG14" s="248">
        <f t="shared" si="2"/>
        <v>524168.23749999981</v>
      </c>
      <c r="AH14" s="5">
        <v>71</v>
      </c>
      <c r="AI14" s="253">
        <v>716381.4800000001</v>
      </c>
    </row>
    <row r="15" spans="1:35" x14ac:dyDescent="0.2">
      <c r="A15" s="9" t="s">
        <v>557</v>
      </c>
      <c r="B15" s="249">
        <v>11</v>
      </c>
      <c r="C15" s="247">
        <v>2316.4100000000003</v>
      </c>
      <c r="D15" s="247">
        <v>1580</v>
      </c>
      <c r="E15" s="3"/>
      <c r="F15" s="3"/>
      <c r="G15" s="3"/>
      <c r="H15" s="3"/>
      <c r="I15" s="3"/>
      <c r="J15" s="3"/>
      <c r="K15" s="250">
        <f t="shared" si="3"/>
        <v>3896.4100000000003</v>
      </c>
      <c r="L15" s="250">
        <v>1000</v>
      </c>
      <c r="M15" s="3"/>
      <c r="N15" s="251">
        <f t="shared" si="4"/>
        <v>1000</v>
      </c>
      <c r="O15" s="252">
        <f t="shared" si="9"/>
        <v>47756.920000000006</v>
      </c>
      <c r="P15" s="253">
        <f t="shared" si="5"/>
        <v>525326.12000000011</v>
      </c>
      <c r="Q15" s="5">
        <v>12</v>
      </c>
      <c r="R15" s="247">
        <f>8857.2/Q15</f>
        <v>738.1</v>
      </c>
      <c r="S15" s="247">
        <v>1210</v>
      </c>
      <c r="T15" s="3"/>
      <c r="U15" s="3"/>
      <c r="V15" s="3"/>
      <c r="W15" s="3"/>
      <c r="X15" s="3"/>
      <c r="Y15" s="3"/>
      <c r="Z15" s="247">
        <f t="shared" si="6"/>
        <v>1948.1</v>
      </c>
      <c r="AA15" s="247">
        <f>12000/Q15</f>
        <v>1000</v>
      </c>
      <c r="AB15" s="3"/>
      <c r="AC15" s="254">
        <f t="shared" si="7"/>
        <v>1000</v>
      </c>
      <c r="AD15" s="255">
        <f t="shared" si="10"/>
        <v>24377.199999999997</v>
      </c>
      <c r="AE15" s="253">
        <f>+AD15*Q15</f>
        <v>292526.39999999997</v>
      </c>
      <c r="AF15" s="248">
        <f t="shared" si="2"/>
        <v>23379.720000000008</v>
      </c>
      <c r="AG15" s="248">
        <f t="shared" si="2"/>
        <v>232799.72000000015</v>
      </c>
      <c r="AH15" s="5">
        <v>12</v>
      </c>
      <c r="AI15" s="253">
        <v>118286.40000000001</v>
      </c>
    </row>
    <row r="16" spans="1:35" x14ac:dyDescent="0.2">
      <c r="A16" s="9" t="s">
        <v>13</v>
      </c>
      <c r="B16" s="249">
        <v>4</v>
      </c>
      <c r="C16" s="247">
        <v>2552.9499999999998</v>
      </c>
      <c r="D16" s="247">
        <v>1500</v>
      </c>
      <c r="E16" s="3"/>
      <c r="F16" s="3"/>
      <c r="G16" s="3"/>
      <c r="H16" s="3"/>
      <c r="I16" s="3"/>
      <c r="J16" s="3"/>
      <c r="K16" s="250">
        <f t="shared" si="3"/>
        <v>4052.95</v>
      </c>
      <c r="L16" s="250">
        <v>1000</v>
      </c>
      <c r="M16" s="3"/>
      <c r="N16" s="251">
        <f t="shared" si="4"/>
        <v>1000</v>
      </c>
      <c r="O16" s="252">
        <f t="shared" si="9"/>
        <v>49635.399999999994</v>
      </c>
      <c r="P16" s="253">
        <f t="shared" si="5"/>
        <v>198541.59999999998</v>
      </c>
      <c r="Q16" s="5">
        <v>4</v>
      </c>
      <c r="R16" s="247">
        <f>2855.72/Q16</f>
        <v>713.93</v>
      </c>
      <c r="S16" s="247">
        <v>1210</v>
      </c>
      <c r="T16" s="3"/>
      <c r="U16" s="3"/>
      <c r="V16" s="3"/>
      <c r="W16" s="3"/>
      <c r="X16" s="3"/>
      <c r="Y16" s="3"/>
      <c r="Z16" s="247">
        <f t="shared" si="6"/>
        <v>1923.9299999999998</v>
      </c>
      <c r="AA16" s="247">
        <f>4000/Q16</f>
        <v>1000</v>
      </c>
      <c r="AB16" s="3"/>
      <c r="AC16" s="254">
        <f t="shared" si="7"/>
        <v>1000</v>
      </c>
      <c r="AD16" s="255">
        <f t="shared" si="10"/>
        <v>24087.159999999996</v>
      </c>
      <c r="AE16" s="253">
        <f t="shared" si="8"/>
        <v>96348.639999999985</v>
      </c>
      <c r="AF16" s="248">
        <f t="shared" si="2"/>
        <v>25548.239999999998</v>
      </c>
      <c r="AG16" s="248">
        <f t="shared" si="2"/>
        <v>102192.95999999999</v>
      </c>
      <c r="AH16" s="5">
        <v>4</v>
      </c>
      <c r="AI16" s="253">
        <v>38268.639999999999</v>
      </c>
    </row>
    <row r="17" spans="1:35" x14ac:dyDescent="0.2">
      <c r="A17" s="9"/>
      <c r="B17" s="5"/>
      <c r="C17" s="3"/>
      <c r="D17" s="3"/>
      <c r="E17" s="3"/>
      <c r="F17" s="3"/>
      <c r="G17" s="3"/>
      <c r="H17" s="3"/>
      <c r="I17" s="3"/>
      <c r="J17" s="3"/>
      <c r="K17" s="3"/>
      <c r="L17" s="3"/>
      <c r="M17" s="3"/>
      <c r="O17" s="23"/>
      <c r="P17" s="6"/>
      <c r="Q17" s="5"/>
      <c r="R17" s="247"/>
      <c r="S17" s="3"/>
      <c r="T17" s="3"/>
      <c r="U17" s="3"/>
      <c r="V17" s="3"/>
      <c r="W17" s="3"/>
      <c r="X17" s="3"/>
      <c r="Y17" s="3"/>
      <c r="Z17" s="247"/>
      <c r="AA17" s="247"/>
      <c r="AB17" s="3"/>
      <c r="AD17" s="255"/>
      <c r="AE17" s="253"/>
      <c r="AF17" s="248">
        <f t="shared" si="2"/>
        <v>0</v>
      </c>
      <c r="AG17" s="248">
        <f t="shared" si="2"/>
        <v>0</v>
      </c>
      <c r="AH17" s="5"/>
      <c r="AI17" s="253"/>
    </row>
    <row r="18" spans="1:35" x14ac:dyDescent="0.2">
      <c r="A18" s="10" t="s">
        <v>5</v>
      </c>
      <c r="B18" s="244">
        <f>SUM(B20:B25)</f>
        <v>98</v>
      </c>
      <c r="C18" s="245">
        <f t="shared" ref="C18:AE18" si="11">SUM(C20:C25)</f>
        <v>3819.7999999999997</v>
      </c>
      <c r="D18" s="245">
        <f t="shared" si="11"/>
        <v>7524</v>
      </c>
      <c r="E18" s="245">
        <f t="shared" si="11"/>
        <v>0</v>
      </c>
      <c r="F18" s="245">
        <f t="shared" si="11"/>
        <v>0</v>
      </c>
      <c r="G18" s="245">
        <f t="shared" si="11"/>
        <v>0</v>
      </c>
      <c r="H18" s="245">
        <f t="shared" si="11"/>
        <v>0</v>
      </c>
      <c r="I18" s="245">
        <f t="shared" si="11"/>
        <v>0</v>
      </c>
      <c r="J18" s="245">
        <f t="shared" si="11"/>
        <v>0</v>
      </c>
      <c r="K18" s="245">
        <f t="shared" si="11"/>
        <v>11343.800000000001</v>
      </c>
      <c r="L18" s="245">
        <f t="shared" si="11"/>
        <v>6000</v>
      </c>
      <c r="M18" s="245">
        <f t="shared" si="11"/>
        <v>0</v>
      </c>
      <c r="N18" s="245">
        <f t="shared" si="11"/>
        <v>6000</v>
      </c>
      <c r="O18" s="245">
        <f t="shared" si="11"/>
        <v>142125.6</v>
      </c>
      <c r="P18" s="245">
        <f t="shared" si="11"/>
        <v>2340525.3200000003</v>
      </c>
      <c r="Q18" s="244">
        <f>SUM(Q20:Q25)</f>
        <v>99</v>
      </c>
      <c r="R18" s="245">
        <f t="shared" si="11"/>
        <v>3819.7999999999997</v>
      </c>
      <c r="S18" s="245">
        <f t="shared" si="11"/>
        <v>6762</v>
      </c>
      <c r="T18" s="245">
        <f t="shared" si="11"/>
        <v>0</v>
      </c>
      <c r="U18" s="245">
        <f t="shared" si="11"/>
        <v>0</v>
      </c>
      <c r="V18" s="245">
        <f t="shared" si="11"/>
        <v>0</v>
      </c>
      <c r="W18" s="245">
        <f t="shared" si="11"/>
        <v>0</v>
      </c>
      <c r="X18" s="245">
        <f t="shared" si="11"/>
        <v>0</v>
      </c>
      <c r="Y18" s="245">
        <f t="shared" si="11"/>
        <v>0</v>
      </c>
      <c r="Z18" s="245">
        <f t="shared" si="11"/>
        <v>10581.800000000001</v>
      </c>
      <c r="AA18" s="245">
        <f t="shared" si="11"/>
        <v>6000</v>
      </c>
      <c r="AB18" s="245">
        <f t="shared" si="11"/>
        <v>0</v>
      </c>
      <c r="AC18" s="245">
        <f t="shared" si="11"/>
        <v>6000</v>
      </c>
      <c r="AD18" s="245">
        <f t="shared" si="11"/>
        <v>132981.6</v>
      </c>
      <c r="AE18" s="245">
        <f t="shared" si="11"/>
        <v>1767788.3999999997</v>
      </c>
      <c r="AF18" s="246">
        <f t="shared" si="2"/>
        <v>9144</v>
      </c>
      <c r="AG18" s="246">
        <f t="shared" si="2"/>
        <v>572736.92000000062</v>
      </c>
      <c r="AH18" s="244">
        <f>SUM(AH20:AH25)</f>
        <v>99</v>
      </c>
      <c r="AI18" s="245">
        <v>875204.39999999991</v>
      </c>
    </row>
    <row r="19" spans="1:35" x14ac:dyDescent="0.2">
      <c r="A19" s="5"/>
      <c r="B19" s="5"/>
      <c r="C19" s="3"/>
      <c r="D19" s="3"/>
      <c r="E19" s="3"/>
      <c r="F19" s="3"/>
      <c r="G19" s="3"/>
      <c r="H19" s="3"/>
      <c r="I19" s="3"/>
      <c r="J19" s="3"/>
      <c r="K19" s="3"/>
      <c r="L19" s="3"/>
      <c r="M19" s="3"/>
      <c r="O19" s="23"/>
      <c r="P19" s="6"/>
      <c r="Q19" s="5"/>
      <c r="R19" s="247"/>
      <c r="S19" s="3"/>
      <c r="T19" s="3"/>
      <c r="U19" s="3"/>
      <c r="V19" s="3"/>
      <c r="W19" s="3"/>
      <c r="X19" s="3"/>
      <c r="Y19" s="3"/>
      <c r="Z19" s="247"/>
      <c r="AA19" s="247"/>
      <c r="AB19" s="3"/>
      <c r="AD19" s="255"/>
      <c r="AE19" s="253"/>
      <c r="AF19" s="248">
        <f t="shared" si="2"/>
        <v>0</v>
      </c>
      <c r="AG19" s="248">
        <f t="shared" si="2"/>
        <v>0</v>
      </c>
      <c r="AH19" s="5"/>
      <c r="AI19" s="253"/>
    </row>
    <row r="20" spans="1:35" x14ac:dyDescent="0.2">
      <c r="A20" s="9" t="s">
        <v>14</v>
      </c>
      <c r="B20" s="9">
        <f>1+6+1+11</f>
        <v>19</v>
      </c>
      <c r="C20" s="247">
        <v>698.59</v>
      </c>
      <c r="D20" s="247">
        <v>1254</v>
      </c>
      <c r="E20" s="3"/>
      <c r="F20" s="3"/>
      <c r="G20" s="3"/>
      <c r="H20" s="3"/>
      <c r="I20" s="3"/>
      <c r="J20" s="3"/>
      <c r="K20" s="250">
        <f t="shared" ref="K20:K25" si="12">SUM(C20:J20)</f>
        <v>1952.5900000000001</v>
      </c>
      <c r="L20" s="250">
        <v>1000</v>
      </c>
      <c r="M20" s="3"/>
      <c r="N20" s="251">
        <f t="shared" ref="N20:N25" si="13">SUM(L20:M20)</f>
        <v>1000</v>
      </c>
      <c r="O20" s="252">
        <f t="shared" ref="O20:O25" si="14">(K20*12)+N20</f>
        <v>24431.08</v>
      </c>
      <c r="P20" s="253">
        <f t="shared" ref="P20:P25" si="15">+O20*B20</f>
        <v>464190.52</v>
      </c>
      <c r="Q20" s="5">
        <v>20</v>
      </c>
      <c r="R20" s="247">
        <f>13971.8/Q20</f>
        <v>698.58999999999992</v>
      </c>
      <c r="S20" s="3"/>
      <c r="T20" s="3"/>
      <c r="U20" s="3"/>
      <c r="V20" s="3"/>
      <c r="W20" s="3"/>
      <c r="X20" s="3"/>
      <c r="Y20" s="3"/>
      <c r="Z20" s="247">
        <f t="shared" si="6"/>
        <v>698.58999999999992</v>
      </c>
      <c r="AA20" s="247">
        <v>1000</v>
      </c>
      <c r="AB20" s="3"/>
      <c r="AC20" s="254">
        <f t="shared" ref="AC20:AC25" si="16">SUM(AA20:AB20)</f>
        <v>1000</v>
      </c>
      <c r="AD20" s="255">
        <f>+(Z20*12)+AC20</f>
        <v>9383.0799999999981</v>
      </c>
      <c r="AE20" s="253">
        <f>+AD20*Q20</f>
        <v>187661.59999999998</v>
      </c>
      <c r="AF20" s="248">
        <f t="shared" si="2"/>
        <v>15048.000000000004</v>
      </c>
      <c r="AG20" s="248">
        <f t="shared" si="2"/>
        <v>276528.92000000004</v>
      </c>
      <c r="AH20" s="5">
        <v>20</v>
      </c>
      <c r="AI20" s="253">
        <v>187661.59999999998</v>
      </c>
    </row>
    <row r="21" spans="1:35" x14ac:dyDescent="0.2">
      <c r="A21" s="9" t="s">
        <v>558</v>
      </c>
      <c r="B21" s="9">
        <f>28+1+8+5</f>
        <v>42</v>
      </c>
      <c r="C21" s="247">
        <f>5389.2/8</f>
        <v>673.65</v>
      </c>
      <c r="D21" s="247">
        <v>1254</v>
      </c>
      <c r="E21" s="3"/>
      <c r="F21" s="3"/>
      <c r="G21" s="3"/>
      <c r="H21" s="3"/>
      <c r="I21" s="3"/>
      <c r="J21" s="3"/>
      <c r="K21" s="250">
        <f t="shared" si="12"/>
        <v>1927.65</v>
      </c>
      <c r="L21" s="250">
        <v>1000</v>
      </c>
      <c r="M21" s="3"/>
      <c r="N21" s="251">
        <f t="shared" si="13"/>
        <v>1000</v>
      </c>
      <c r="O21" s="252">
        <f t="shared" si="14"/>
        <v>24131.800000000003</v>
      </c>
      <c r="P21" s="253">
        <f t="shared" si="15"/>
        <v>1013535.6000000001</v>
      </c>
      <c r="Q21" s="5">
        <v>42</v>
      </c>
      <c r="R21" s="247">
        <f>28293.3/Q21</f>
        <v>673.65</v>
      </c>
      <c r="S21" s="3"/>
      <c r="T21" s="3"/>
      <c r="U21" s="3"/>
      <c r="V21" s="3"/>
      <c r="W21" s="3"/>
      <c r="X21" s="3"/>
      <c r="Y21" s="3"/>
      <c r="Z21" s="247">
        <f t="shared" si="6"/>
        <v>673.65</v>
      </c>
      <c r="AA21" s="247">
        <v>1000</v>
      </c>
      <c r="AB21" s="3"/>
      <c r="AC21" s="254">
        <f t="shared" si="16"/>
        <v>1000</v>
      </c>
      <c r="AD21" s="255">
        <f t="shared" ref="AD21:AD25" si="17">+(Z21*12)+AC21</f>
        <v>9083.7999999999993</v>
      </c>
      <c r="AE21" s="253">
        <f t="shared" ref="AE21:AE25" si="18">+AD21*Q21</f>
        <v>381519.6</v>
      </c>
      <c r="AF21" s="248">
        <f t="shared" si="2"/>
        <v>15048.000000000004</v>
      </c>
      <c r="AG21" s="248">
        <f t="shared" si="2"/>
        <v>632016.00000000012</v>
      </c>
      <c r="AH21" s="5">
        <v>42</v>
      </c>
      <c r="AI21" s="253">
        <v>381519.6</v>
      </c>
    </row>
    <row r="22" spans="1:35" x14ac:dyDescent="0.2">
      <c r="A22" s="9" t="s">
        <v>559</v>
      </c>
      <c r="B22" s="9">
        <v>6</v>
      </c>
      <c r="C22" s="247">
        <f>3892.62/6</f>
        <v>648.77</v>
      </c>
      <c r="D22" s="247">
        <v>1254</v>
      </c>
      <c r="E22" s="3"/>
      <c r="F22" s="3"/>
      <c r="G22" s="3"/>
      <c r="H22" s="3"/>
      <c r="I22" s="3"/>
      <c r="J22" s="3"/>
      <c r="K22" s="250">
        <f>SUM(C22:J22)</f>
        <v>1902.77</v>
      </c>
      <c r="L22" s="250">
        <v>1000</v>
      </c>
      <c r="M22" s="3"/>
      <c r="N22" s="251">
        <f t="shared" si="13"/>
        <v>1000</v>
      </c>
      <c r="O22" s="252">
        <f t="shared" si="14"/>
        <v>23833.239999999998</v>
      </c>
      <c r="P22" s="253">
        <f t="shared" si="15"/>
        <v>142999.44</v>
      </c>
      <c r="Q22" s="5">
        <v>6</v>
      </c>
      <c r="R22" s="247">
        <f>3892.62/Q22</f>
        <v>648.77</v>
      </c>
      <c r="S22" s="247">
        <v>2254</v>
      </c>
      <c r="T22" s="3"/>
      <c r="U22" s="3"/>
      <c r="V22" s="3"/>
      <c r="W22" s="3"/>
      <c r="X22" s="3"/>
      <c r="Y22" s="3"/>
      <c r="Z22" s="247">
        <f t="shared" si="6"/>
        <v>2902.77</v>
      </c>
      <c r="AA22" s="247">
        <v>1000</v>
      </c>
      <c r="AB22" s="3"/>
      <c r="AC22" s="254">
        <f t="shared" si="16"/>
        <v>1000</v>
      </c>
      <c r="AD22" s="255">
        <f t="shared" si="17"/>
        <v>35833.24</v>
      </c>
      <c r="AE22" s="253">
        <f t="shared" si="18"/>
        <v>214999.44</v>
      </c>
      <c r="AF22" s="248">
        <f t="shared" si="2"/>
        <v>-12000</v>
      </c>
      <c r="AG22" s="248">
        <f t="shared" si="2"/>
        <v>-72000</v>
      </c>
      <c r="AH22" s="5">
        <v>6</v>
      </c>
      <c r="AI22" s="253">
        <v>52711.44</v>
      </c>
    </row>
    <row r="23" spans="1:35" x14ac:dyDescent="0.2">
      <c r="A23" s="9" t="s">
        <v>560</v>
      </c>
      <c r="B23" s="9">
        <f>2</f>
        <v>2</v>
      </c>
      <c r="C23" s="247">
        <f>1247.76/2</f>
        <v>623.88</v>
      </c>
      <c r="D23" s="247">
        <v>1254</v>
      </c>
      <c r="E23" s="3"/>
      <c r="F23" s="3"/>
      <c r="G23" s="3"/>
      <c r="H23" s="3"/>
      <c r="I23" s="3"/>
      <c r="J23" s="3"/>
      <c r="K23" s="250">
        <f t="shared" si="12"/>
        <v>1877.88</v>
      </c>
      <c r="L23" s="250">
        <v>1000</v>
      </c>
      <c r="M23" s="3"/>
      <c r="N23" s="251">
        <f t="shared" si="13"/>
        <v>1000</v>
      </c>
      <c r="O23" s="252">
        <f t="shared" si="14"/>
        <v>23534.560000000001</v>
      </c>
      <c r="P23" s="253">
        <f t="shared" si="15"/>
        <v>47069.120000000003</v>
      </c>
      <c r="Q23" s="5">
        <v>2</v>
      </c>
      <c r="R23" s="247">
        <f>1247.76/Q23</f>
        <v>623.88</v>
      </c>
      <c r="S23" s="247">
        <v>2254</v>
      </c>
      <c r="T23" s="3"/>
      <c r="U23" s="3"/>
      <c r="V23" s="3"/>
      <c r="W23" s="3"/>
      <c r="X23" s="3"/>
      <c r="Y23" s="3"/>
      <c r="Z23" s="247">
        <f t="shared" si="6"/>
        <v>2877.88</v>
      </c>
      <c r="AA23" s="247">
        <v>1000</v>
      </c>
      <c r="AB23" s="3"/>
      <c r="AC23" s="254">
        <f t="shared" si="16"/>
        <v>1000</v>
      </c>
      <c r="AD23" s="255">
        <f t="shared" si="17"/>
        <v>35534.559999999998</v>
      </c>
      <c r="AE23" s="253">
        <f t="shared" si="18"/>
        <v>71069.119999999995</v>
      </c>
      <c r="AF23" s="248">
        <f t="shared" si="2"/>
        <v>-11999.999999999996</v>
      </c>
      <c r="AG23" s="248">
        <f t="shared" si="2"/>
        <v>-23999.999999999993</v>
      </c>
      <c r="AH23" s="5">
        <v>2</v>
      </c>
      <c r="AI23" s="253">
        <v>16973.12</v>
      </c>
    </row>
    <row r="24" spans="1:35" x14ac:dyDescent="0.2">
      <c r="A24" s="9" t="s">
        <v>15</v>
      </c>
      <c r="B24" s="9">
        <f>6+19</f>
        <v>25</v>
      </c>
      <c r="C24" s="247">
        <f>11380.62/19</f>
        <v>598.98</v>
      </c>
      <c r="D24" s="247">
        <v>1254</v>
      </c>
      <c r="E24" s="3"/>
      <c r="F24" s="3"/>
      <c r="G24" s="3"/>
      <c r="H24" s="3"/>
      <c r="I24" s="3"/>
      <c r="J24" s="3"/>
      <c r="K24" s="250">
        <f t="shared" si="12"/>
        <v>1852.98</v>
      </c>
      <c r="L24" s="250">
        <v>1000</v>
      </c>
      <c r="M24" s="3"/>
      <c r="N24" s="251">
        <f t="shared" si="13"/>
        <v>1000</v>
      </c>
      <c r="O24" s="252">
        <f t="shared" si="14"/>
        <v>23235.760000000002</v>
      </c>
      <c r="P24" s="253">
        <f t="shared" si="15"/>
        <v>580894</v>
      </c>
      <c r="Q24" s="5">
        <v>25</v>
      </c>
      <c r="R24" s="247">
        <f>14974.5/Q24</f>
        <v>598.98</v>
      </c>
      <c r="S24" s="247">
        <v>2254</v>
      </c>
      <c r="T24" s="3"/>
      <c r="U24" s="3"/>
      <c r="V24" s="3"/>
      <c r="W24" s="3"/>
      <c r="X24" s="3"/>
      <c r="Y24" s="3"/>
      <c r="Z24" s="247">
        <f t="shared" si="6"/>
        <v>2852.98</v>
      </c>
      <c r="AA24" s="247">
        <v>1000</v>
      </c>
      <c r="AB24" s="3"/>
      <c r="AC24" s="254">
        <f t="shared" si="16"/>
        <v>1000</v>
      </c>
      <c r="AD24" s="255">
        <f t="shared" si="17"/>
        <v>35235.760000000002</v>
      </c>
      <c r="AE24" s="253">
        <f t="shared" si="18"/>
        <v>880894</v>
      </c>
      <c r="AF24" s="248">
        <f t="shared" si="2"/>
        <v>-12000</v>
      </c>
      <c r="AG24" s="248">
        <f t="shared" si="2"/>
        <v>-300000</v>
      </c>
      <c r="AH24" s="5">
        <v>25</v>
      </c>
      <c r="AI24" s="253">
        <v>204694</v>
      </c>
    </row>
    <row r="25" spans="1:35" x14ac:dyDescent="0.2">
      <c r="A25" s="9" t="s">
        <v>561</v>
      </c>
      <c r="B25" s="9">
        <v>4</v>
      </c>
      <c r="C25" s="247">
        <f>2303.72/4</f>
        <v>575.92999999999995</v>
      </c>
      <c r="D25" s="247">
        <v>1254</v>
      </c>
      <c r="E25" s="3"/>
      <c r="F25" s="3"/>
      <c r="G25" s="3"/>
      <c r="H25" s="3"/>
      <c r="I25" s="3"/>
      <c r="J25" s="3"/>
      <c r="K25" s="250">
        <f t="shared" si="12"/>
        <v>1829.9299999999998</v>
      </c>
      <c r="L25" s="250">
        <v>1000</v>
      </c>
      <c r="M25" s="3"/>
      <c r="N25" s="251">
        <f t="shared" si="13"/>
        <v>1000</v>
      </c>
      <c r="O25" s="252">
        <f t="shared" si="14"/>
        <v>22959.159999999996</v>
      </c>
      <c r="P25" s="253">
        <f t="shared" si="15"/>
        <v>91836.639999999985</v>
      </c>
      <c r="Q25" s="5">
        <v>4</v>
      </c>
      <c r="R25" s="247">
        <f>2303.72/Q25</f>
        <v>575.92999999999995</v>
      </c>
      <c r="S25" s="3"/>
      <c r="T25" s="3"/>
      <c r="U25" s="3"/>
      <c r="V25" s="3"/>
      <c r="W25" s="3"/>
      <c r="X25" s="3"/>
      <c r="Y25" s="3"/>
      <c r="Z25" s="247">
        <f t="shared" si="6"/>
        <v>575.92999999999995</v>
      </c>
      <c r="AA25" s="247">
        <v>1000</v>
      </c>
      <c r="AB25" s="3"/>
      <c r="AC25" s="254">
        <f t="shared" si="16"/>
        <v>1000</v>
      </c>
      <c r="AD25" s="255">
        <f t="shared" si="17"/>
        <v>7911.16</v>
      </c>
      <c r="AE25" s="253">
        <f t="shared" si="18"/>
        <v>31644.639999999999</v>
      </c>
      <c r="AF25" s="248">
        <f t="shared" si="2"/>
        <v>15047.999999999996</v>
      </c>
      <c r="AG25" s="248">
        <f t="shared" si="2"/>
        <v>60191.999999999985</v>
      </c>
      <c r="AH25" s="5">
        <v>4</v>
      </c>
      <c r="AI25" s="253">
        <v>31644.639999999999</v>
      </c>
    </row>
    <row r="26" spans="1:35" x14ac:dyDescent="0.2">
      <c r="A26" s="9"/>
      <c r="B26" s="5"/>
      <c r="C26" s="3"/>
      <c r="D26" s="3"/>
      <c r="E26" s="3"/>
      <c r="F26" s="3"/>
      <c r="G26" s="3"/>
      <c r="H26" s="3"/>
      <c r="I26" s="3"/>
      <c r="J26" s="3"/>
      <c r="K26" s="3"/>
      <c r="L26" s="3"/>
      <c r="M26" s="3"/>
      <c r="O26" s="23"/>
      <c r="P26" s="6"/>
      <c r="Q26" s="5"/>
      <c r="R26" s="247"/>
      <c r="S26" s="3"/>
      <c r="T26" s="3"/>
      <c r="U26" s="3"/>
      <c r="V26" s="3"/>
      <c r="W26" s="3"/>
      <c r="X26" s="3"/>
      <c r="Y26" s="3"/>
      <c r="Z26" s="247"/>
      <c r="AA26" s="247"/>
      <c r="AB26" s="3"/>
      <c r="AD26" s="255"/>
      <c r="AE26" s="253"/>
      <c r="AF26" s="248">
        <f t="shared" si="2"/>
        <v>0</v>
      </c>
      <c r="AG26" s="248">
        <f t="shared" si="2"/>
        <v>0</v>
      </c>
      <c r="AH26" s="5"/>
      <c r="AI26" s="253"/>
    </row>
    <row r="27" spans="1:35" x14ac:dyDescent="0.2">
      <c r="A27" s="10" t="s">
        <v>6</v>
      </c>
      <c r="B27" s="244">
        <f>SUM(B29:B33)</f>
        <v>412</v>
      </c>
      <c r="C27" s="245">
        <f t="shared" ref="C27:AE27" si="19">SUM(C29:C33)</f>
        <v>2809.8499999999995</v>
      </c>
      <c r="D27" s="245">
        <f t="shared" si="19"/>
        <v>5040</v>
      </c>
      <c r="E27" s="245">
        <f t="shared" si="19"/>
        <v>0</v>
      </c>
      <c r="F27" s="245">
        <f t="shared" si="19"/>
        <v>0</v>
      </c>
      <c r="G27" s="245">
        <f t="shared" si="19"/>
        <v>0</v>
      </c>
      <c r="H27" s="245">
        <f t="shared" si="19"/>
        <v>0</v>
      </c>
      <c r="I27" s="245">
        <f t="shared" si="19"/>
        <v>0</v>
      </c>
      <c r="J27" s="245">
        <f t="shared" si="19"/>
        <v>0</v>
      </c>
      <c r="K27" s="245">
        <f t="shared" si="19"/>
        <v>7849.85</v>
      </c>
      <c r="L27" s="245">
        <f t="shared" si="19"/>
        <v>5000</v>
      </c>
      <c r="M27" s="245">
        <f t="shared" si="19"/>
        <v>0</v>
      </c>
      <c r="N27" s="245">
        <f t="shared" si="19"/>
        <v>5000</v>
      </c>
      <c r="O27" s="245">
        <f t="shared" si="19"/>
        <v>99198.199999999983</v>
      </c>
      <c r="P27" s="245">
        <f t="shared" si="19"/>
        <v>8190850.3599999994</v>
      </c>
      <c r="Q27" s="244">
        <f>SUM(Q29:Q34)</f>
        <v>444</v>
      </c>
      <c r="R27" s="245">
        <f>SUM(R29:R34)</f>
        <v>3362.5299999999997</v>
      </c>
      <c r="S27" s="245">
        <f>SUM(S29:S34)</f>
        <v>12020</v>
      </c>
      <c r="T27" s="245">
        <f t="shared" si="19"/>
        <v>0</v>
      </c>
      <c r="U27" s="245">
        <f t="shared" si="19"/>
        <v>0</v>
      </c>
      <c r="V27" s="245">
        <f t="shared" si="19"/>
        <v>0</v>
      </c>
      <c r="W27" s="245">
        <f t="shared" si="19"/>
        <v>0</v>
      </c>
      <c r="X27" s="245">
        <f t="shared" si="19"/>
        <v>0</v>
      </c>
      <c r="Y27" s="245">
        <f t="shared" si="19"/>
        <v>0</v>
      </c>
      <c r="Z27" s="245">
        <f t="shared" si="19"/>
        <v>13659.85</v>
      </c>
      <c r="AA27" s="245">
        <f t="shared" si="19"/>
        <v>5000</v>
      </c>
      <c r="AB27" s="245">
        <f t="shared" si="19"/>
        <v>0</v>
      </c>
      <c r="AC27" s="245">
        <f t="shared" si="19"/>
        <v>5000</v>
      </c>
      <c r="AD27" s="245">
        <f t="shared" si="19"/>
        <v>168918.2</v>
      </c>
      <c r="AE27" s="245">
        <f t="shared" si="19"/>
        <v>14985029.719999999</v>
      </c>
      <c r="AF27" s="246">
        <f t="shared" si="2"/>
        <v>-69720.000000000029</v>
      </c>
      <c r="AG27" s="246">
        <f t="shared" si="2"/>
        <v>-6794179.3599999994</v>
      </c>
      <c r="AH27" s="244">
        <f>SUM(AH29:AH33)</f>
        <v>443</v>
      </c>
      <c r="AI27" s="245">
        <v>3449309.7199999997</v>
      </c>
    </row>
    <row r="28" spans="1:35" x14ac:dyDescent="0.2">
      <c r="A28" s="5"/>
      <c r="B28" s="5"/>
      <c r="C28" s="3"/>
      <c r="D28" s="3"/>
      <c r="E28" s="3"/>
      <c r="F28" s="3"/>
      <c r="G28" s="3"/>
      <c r="H28" s="3"/>
      <c r="I28" s="3"/>
      <c r="J28" s="3"/>
      <c r="K28" s="3"/>
      <c r="L28" s="3"/>
      <c r="M28" s="3"/>
      <c r="O28" s="23"/>
      <c r="P28" s="6"/>
      <c r="Q28" s="5"/>
      <c r="R28" s="247"/>
      <c r="S28" s="3"/>
      <c r="T28" s="3"/>
      <c r="U28" s="3"/>
      <c r="V28" s="3"/>
      <c r="W28" s="3"/>
      <c r="X28" s="3"/>
      <c r="Y28" s="3"/>
      <c r="Z28" s="247"/>
      <c r="AA28" s="247"/>
      <c r="AB28" s="3"/>
      <c r="AD28" s="255"/>
      <c r="AE28" s="253"/>
      <c r="AF28" s="248">
        <f t="shared" si="2"/>
        <v>0</v>
      </c>
      <c r="AG28" s="248">
        <f t="shared" si="2"/>
        <v>0</v>
      </c>
      <c r="AH28" s="5"/>
      <c r="AI28" s="253"/>
    </row>
    <row r="29" spans="1:35" x14ac:dyDescent="0.2">
      <c r="A29" s="9" t="s">
        <v>16</v>
      </c>
      <c r="B29" s="9">
        <f>5+29+19+61</f>
        <v>114</v>
      </c>
      <c r="C29" s="247">
        <f>10923.67/19</f>
        <v>574.92999999999995</v>
      </c>
      <c r="D29" s="247">
        <v>1008</v>
      </c>
      <c r="E29" s="3"/>
      <c r="F29" s="3"/>
      <c r="G29" s="3"/>
      <c r="H29" s="3"/>
      <c r="I29" s="3"/>
      <c r="J29" s="3"/>
      <c r="K29" s="250">
        <f t="shared" ref="K29:K33" si="20">SUM(C29:J29)</f>
        <v>1582.9299999999998</v>
      </c>
      <c r="L29" s="250">
        <v>1000</v>
      </c>
      <c r="M29" s="3"/>
      <c r="N29" s="251">
        <f t="shared" ref="N29:N33" si="21">SUM(L29:M29)</f>
        <v>1000</v>
      </c>
      <c r="O29" s="252">
        <f t="shared" ref="O29:O33" si="22">(K29*12)+N29</f>
        <v>19995.159999999996</v>
      </c>
      <c r="P29" s="253">
        <f t="shared" ref="P29:P33" si="23">+O29*B29</f>
        <v>2279448.2399999998</v>
      </c>
      <c r="Q29" s="5">
        <v>117</v>
      </c>
      <c r="R29" s="247">
        <f>67266.81/Q29</f>
        <v>574.92999999999995</v>
      </c>
      <c r="S29" s="247">
        <v>2170</v>
      </c>
      <c r="T29" s="3"/>
      <c r="U29" s="3"/>
      <c r="V29" s="3"/>
      <c r="W29" s="3"/>
      <c r="X29" s="3"/>
      <c r="Y29" s="3"/>
      <c r="Z29" s="247">
        <f t="shared" si="6"/>
        <v>2744.93</v>
      </c>
      <c r="AA29" s="247">
        <v>1000</v>
      </c>
      <c r="AB29" s="3"/>
      <c r="AC29" s="254">
        <f t="shared" ref="AC29:AC34" si="24">SUM(AA29:AB29)</f>
        <v>1000</v>
      </c>
      <c r="AD29" s="255">
        <f t="shared" ref="AD29:AD34" si="25">+(Z29*12)+AC29</f>
        <v>33939.159999999996</v>
      </c>
      <c r="AE29" s="253">
        <f>+AD29*Q29</f>
        <v>3970881.7199999997</v>
      </c>
      <c r="AF29" s="248">
        <f t="shared" si="2"/>
        <v>-13944</v>
      </c>
      <c r="AG29" s="248">
        <f t="shared" si="2"/>
        <v>-1691433.48</v>
      </c>
      <c r="AH29" s="5">
        <v>117</v>
      </c>
      <c r="AI29" s="253">
        <v>924201.72</v>
      </c>
    </row>
    <row r="30" spans="1:35" x14ac:dyDescent="0.2">
      <c r="A30" s="9" t="s">
        <v>562</v>
      </c>
      <c r="B30" s="9">
        <f>78+26+50+13</f>
        <v>167</v>
      </c>
      <c r="C30" s="247">
        <f>28358.5/50</f>
        <v>567.16999999999996</v>
      </c>
      <c r="D30" s="247">
        <v>1008</v>
      </c>
      <c r="E30" s="3"/>
      <c r="F30" s="3"/>
      <c r="G30" s="3"/>
      <c r="H30" s="3"/>
      <c r="I30" s="3"/>
      <c r="J30" s="3"/>
      <c r="K30" s="250">
        <f t="shared" si="20"/>
        <v>1575.17</v>
      </c>
      <c r="L30" s="250">
        <v>1000</v>
      </c>
      <c r="M30" s="3"/>
      <c r="N30" s="251">
        <f t="shared" si="21"/>
        <v>1000</v>
      </c>
      <c r="O30" s="252">
        <f t="shared" si="22"/>
        <v>19902.04</v>
      </c>
      <c r="P30" s="253">
        <f t="shared" si="23"/>
        <v>3323640.68</v>
      </c>
      <c r="Q30" s="5">
        <v>193</v>
      </c>
      <c r="R30" s="247">
        <f>109463.81/Q30</f>
        <v>567.16999999999996</v>
      </c>
      <c r="S30" s="247">
        <v>2170</v>
      </c>
      <c r="T30" s="3"/>
      <c r="U30" s="3"/>
      <c r="V30" s="3"/>
      <c r="W30" s="3"/>
      <c r="X30" s="3"/>
      <c r="Y30" s="3"/>
      <c r="Z30" s="247">
        <f t="shared" si="6"/>
        <v>2737.17</v>
      </c>
      <c r="AA30" s="247">
        <v>1000</v>
      </c>
      <c r="AB30" s="3"/>
      <c r="AC30" s="254">
        <f t="shared" si="24"/>
        <v>1000</v>
      </c>
      <c r="AD30" s="255">
        <f t="shared" si="25"/>
        <v>33846.04</v>
      </c>
      <c r="AE30" s="253">
        <f t="shared" ref="AE30:AE34" si="26">+AD30*Q30</f>
        <v>6532285.7199999997</v>
      </c>
      <c r="AF30" s="248">
        <f t="shared" si="2"/>
        <v>-13944</v>
      </c>
      <c r="AG30" s="248">
        <f t="shared" si="2"/>
        <v>-3208645.0399999996</v>
      </c>
      <c r="AH30" s="5">
        <v>193</v>
      </c>
      <c r="AI30" s="253">
        <v>1506565.7199999997</v>
      </c>
    </row>
    <row r="31" spans="1:35" x14ac:dyDescent="0.2">
      <c r="A31" s="9" t="s">
        <v>563</v>
      </c>
      <c r="B31" s="9">
        <f>6+4+13+1</f>
        <v>24</v>
      </c>
      <c r="C31" s="247">
        <f>2237.56/4</f>
        <v>559.39</v>
      </c>
      <c r="D31" s="247">
        <v>1008</v>
      </c>
      <c r="E31" s="3"/>
      <c r="F31" s="3"/>
      <c r="G31" s="3"/>
      <c r="H31" s="3"/>
      <c r="I31" s="3"/>
      <c r="J31" s="3"/>
      <c r="K31" s="250">
        <f t="shared" si="20"/>
        <v>1567.3899999999999</v>
      </c>
      <c r="L31" s="250">
        <v>1000</v>
      </c>
      <c r="M31" s="3"/>
      <c r="N31" s="251">
        <f t="shared" si="21"/>
        <v>1000</v>
      </c>
      <c r="O31" s="252">
        <f t="shared" si="22"/>
        <v>19808.68</v>
      </c>
      <c r="P31" s="253">
        <f t="shared" si="23"/>
        <v>475408.32</v>
      </c>
      <c r="Q31" s="5">
        <v>25</v>
      </c>
      <c r="R31" s="247">
        <f>13984.75/Q31</f>
        <v>559.39</v>
      </c>
      <c r="S31" s="247">
        <v>2170</v>
      </c>
      <c r="T31" s="3"/>
      <c r="U31" s="3"/>
      <c r="V31" s="3"/>
      <c r="W31" s="3"/>
      <c r="X31" s="3"/>
      <c r="Y31" s="3"/>
      <c r="Z31" s="247">
        <f t="shared" si="6"/>
        <v>2729.39</v>
      </c>
      <c r="AA31" s="247">
        <v>1000</v>
      </c>
      <c r="AB31" s="3"/>
      <c r="AC31" s="254">
        <f t="shared" si="24"/>
        <v>1000</v>
      </c>
      <c r="AD31" s="255">
        <f t="shared" si="25"/>
        <v>33752.68</v>
      </c>
      <c r="AE31" s="253">
        <f t="shared" si="26"/>
        <v>843817</v>
      </c>
      <c r="AF31" s="248">
        <f t="shared" si="2"/>
        <v>-13944</v>
      </c>
      <c r="AG31" s="248">
        <f t="shared" si="2"/>
        <v>-368408.68</v>
      </c>
      <c r="AH31" s="5">
        <v>25</v>
      </c>
      <c r="AI31" s="253">
        <v>192817</v>
      </c>
    </row>
    <row r="32" spans="1:35" x14ac:dyDescent="0.2">
      <c r="A32" s="9" t="s">
        <v>564</v>
      </c>
      <c r="B32" s="9">
        <f>11+2</f>
        <v>13</v>
      </c>
      <c r="C32" s="247">
        <f>6101.48/11</f>
        <v>554.67999999999995</v>
      </c>
      <c r="D32" s="247">
        <v>1008</v>
      </c>
      <c r="E32" s="3"/>
      <c r="F32" s="3"/>
      <c r="G32" s="3"/>
      <c r="H32" s="3"/>
      <c r="I32" s="3"/>
      <c r="J32" s="3"/>
      <c r="K32" s="250">
        <f t="shared" si="20"/>
        <v>1562.6799999999998</v>
      </c>
      <c r="L32" s="250">
        <v>1000</v>
      </c>
      <c r="M32" s="3"/>
      <c r="N32" s="251">
        <f t="shared" si="21"/>
        <v>1000</v>
      </c>
      <c r="O32" s="252">
        <f t="shared" si="22"/>
        <v>19752.159999999996</v>
      </c>
      <c r="P32" s="253">
        <f t="shared" si="23"/>
        <v>256778.07999999996</v>
      </c>
      <c r="Q32" s="5">
        <v>13</v>
      </c>
      <c r="R32" s="247">
        <f>7210.84/Q32</f>
        <v>554.68000000000006</v>
      </c>
      <c r="S32" s="247">
        <v>2170</v>
      </c>
      <c r="T32" s="3"/>
      <c r="U32" s="3"/>
      <c r="V32" s="3"/>
      <c r="W32" s="3"/>
      <c r="X32" s="3"/>
      <c r="Y32" s="3"/>
      <c r="Z32" s="247">
        <f t="shared" si="6"/>
        <v>2724.6800000000003</v>
      </c>
      <c r="AA32" s="247">
        <v>1000</v>
      </c>
      <c r="AB32" s="3"/>
      <c r="AC32" s="254">
        <f t="shared" si="24"/>
        <v>1000</v>
      </c>
      <c r="AD32" s="255">
        <f t="shared" si="25"/>
        <v>33696.160000000003</v>
      </c>
      <c r="AE32" s="253">
        <f t="shared" si="26"/>
        <v>438050.08000000007</v>
      </c>
      <c r="AF32" s="248">
        <f t="shared" si="2"/>
        <v>-13944.000000000007</v>
      </c>
      <c r="AG32" s="248">
        <f t="shared" si="2"/>
        <v>-181272.00000000012</v>
      </c>
      <c r="AH32" s="5">
        <v>13</v>
      </c>
      <c r="AI32" s="253">
        <v>99530.080000000016</v>
      </c>
    </row>
    <row r="33" spans="1:35" x14ac:dyDescent="0.2">
      <c r="A33" s="9" t="s">
        <v>17</v>
      </c>
      <c r="B33" s="9">
        <f>59+35</f>
        <v>94</v>
      </c>
      <c r="C33" s="247">
        <f>19378.8/35</f>
        <v>553.67999999999995</v>
      </c>
      <c r="D33" s="247">
        <v>1008</v>
      </c>
      <c r="E33" s="3"/>
      <c r="F33" s="3"/>
      <c r="G33" s="3"/>
      <c r="H33" s="3"/>
      <c r="I33" s="3"/>
      <c r="J33" s="3"/>
      <c r="K33" s="250">
        <f t="shared" si="20"/>
        <v>1561.6799999999998</v>
      </c>
      <c r="L33" s="250">
        <v>1000</v>
      </c>
      <c r="M33" s="3"/>
      <c r="N33" s="251">
        <f t="shared" si="21"/>
        <v>1000</v>
      </c>
      <c r="O33" s="252">
        <f t="shared" si="22"/>
        <v>19740.159999999996</v>
      </c>
      <c r="P33" s="253">
        <f t="shared" si="23"/>
        <v>1855575.0399999996</v>
      </c>
      <c r="Q33" s="5">
        <v>95</v>
      </c>
      <c r="R33" s="247">
        <f>52599.6/Q33</f>
        <v>553.67999999999995</v>
      </c>
      <c r="S33" s="247">
        <v>2170</v>
      </c>
      <c r="T33" s="3"/>
      <c r="U33" s="3"/>
      <c r="V33" s="3"/>
      <c r="W33" s="3"/>
      <c r="X33" s="3"/>
      <c r="Y33" s="3"/>
      <c r="Z33" s="247">
        <f t="shared" si="6"/>
        <v>2723.68</v>
      </c>
      <c r="AA33" s="247">
        <v>1000</v>
      </c>
      <c r="AB33" s="3"/>
      <c r="AC33" s="254">
        <f t="shared" si="24"/>
        <v>1000</v>
      </c>
      <c r="AD33" s="255">
        <f t="shared" si="25"/>
        <v>33684.159999999996</v>
      </c>
      <c r="AE33" s="253">
        <f t="shared" si="26"/>
        <v>3199995.1999999997</v>
      </c>
      <c r="AF33" s="248">
        <f t="shared" si="2"/>
        <v>-13944</v>
      </c>
      <c r="AG33" s="248">
        <f t="shared" si="2"/>
        <v>-1344420.1600000001</v>
      </c>
      <c r="AH33" s="5">
        <v>95</v>
      </c>
      <c r="AI33" s="253">
        <v>726195.19999999995</v>
      </c>
    </row>
    <row r="34" spans="1:35" x14ac:dyDescent="0.2">
      <c r="A34" s="9" t="s">
        <v>565</v>
      </c>
      <c r="B34" s="5"/>
      <c r="C34" s="3"/>
      <c r="D34" s="3"/>
      <c r="E34" s="3"/>
      <c r="F34" s="3"/>
      <c r="G34" s="3"/>
      <c r="H34" s="3"/>
      <c r="I34" s="3"/>
      <c r="J34" s="3"/>
      <c r="K34" s="3"/>
      <c r="L34" s="3"/>
      <c r="M34" s="3"/>
      <c r="O34" s="23"/>
      <c r="P34" s="6"/>
      <c r="Q34" s="5">
        <v>1</v>
      </c>
      <c r="R34" s="247">
        <v>552.67999999999995</v>
      </c>
      <c r="S34" s="247">
        <v>1170</v>
      </c>
      <c r="T34" s="3"/>
      <c r="U34" s="3"/>
      <c r="V34" s="3"/>
      <c r="W34" s="3"/>
      <c r="X34" s="3"/>
      <c r="Y34" s="3"/>
      <c r="Z34" s="247">
        <f t="shared" si="6"/>
        <v>1722.6799999999998</v>
      </c>
      <c r="AA34" s="247">
        <v>1000</v>
      </c>
      <c r="AB34" s="3"/>
      <c r="AC34" s="254">
        <f t="shared" si="24"/>
        <v>1000</v>
      </c>
      <c r="AD34" s="255">
        <f t="shared" si="25"/>
        <v>21672.159999999996</v>
      </c>
      <c r="AE34" s="253">
        <f t="shared" si="26"/>
        <v>21672.159999999996</v>
      </c>
      <c r="AF34" s="248">
        <f t="shared" si="2"/>
        <v>-21672.159999999996</v>
      </c>
      <c r="AG34" s="248">
        <f t="shared" si="2"/>
        <v>-21672.159999999996</v>
      </c>
      <c r="AH34" s="5">
        <v>1</v>
      </c>
      <c r="AI34" s="253">
        <v>7632.16</v>
      </c>
    </row>
    <row r="35" spans="1:35" x14ac:dyDescent="0.2">
      <c r="A35" s="9"/>
      <c r="B35" s="5"/>
      <c r="C35" s="3"/>
      <c r="D35" s="3"/>
      <c r="E35" s="3"/>
      <c r="F35" s="3"/>
      <c r="G35" s="3"/>
      <c r="H35" s="3"/>
      <c r="I35" s="3"/>
      <c r="J35" s="3"/>
      <c r="K35" s="3"/>
      <c r="L35" s="3"/>
      <c r="M35" s="3"/>
      <c r="O35" s="23"/>
      <c r="P35" s="6"/>
      <c r="Q35" s="5"/>
      <c r="R35" s="247"/>
      <c r="S35" s="3"/>
      <c r="T35" s="3"/>
      <c r="U35" s="3"/>
      <c r="V35" s="3"/>
      <c r="W35" s="3"/>
      <c r="X35" s="3"/>
      <c r="Y35" s="3"/>
      <c r="Z35" s="247"/>
      <c r="AA35" s="247"/>
      <c r="AB35" s="3"/>
      <c r="AD35" s="255"/>
      <c r="AE35" s="253"/>
      <c r="AF35" s="248">
        <f t="shared" si="2"/>
        <v>0</v>
      </c>
      <c r="AG35" s="248">
        <f t="shared" si="2"/>
        <v>0</v>
      </c>
      <c r="AH35" s="5"/>
      <c r="AI35" s="253"/>
    </row>
    <row r="36" spans="1:35" x14ac:dyDescent="0.2">
      <c r="A36" s="10" t="s">
        <v>7</v>
      </c>
      <c r="B36" s="244">
        <f>SUM(B38:B43)</f>
        <v>657</v>
      </c>
      <c r="C36" s="245">
        <f t="shared" ref="C36:AE36" si="27">SUM(C38:C43)</f>
        <v>4219</v>
      </c>
      <c r="D36" s="245">
        <f t="shared" si="27"/>
        <v>4750</v>
      </c>
      <c r="E36" s="245">
        <f t="shared" si="27"/>
        <v>0</v>
      </c>
      <c r="F36" s="245">
        <f t="shared" si="27"/>
        <v>0</v>
      </c>
      <c r="G36" s="245">
        <f t="shared" si="27"/>
        <v>0</v>
      </c>
      <c r="H36" s="245">
        <f t="shared" si="27"/>
        <v>0</v>
      </c>
      <c r="I36" s="245">
        <f t="shared" si="27"/>
        <v>0</v>
      </c>
      <c r="J36" s="245">
        <f t="shared" si="27"/>
        <v>0</v>
      </c>
      <c r="K36" s="245">
        <f t="shared" si="27"/>
        <v>8969</v>
      </c>
      <c r="L36" s="245">
        <f t="shared" si="27"/>
        <v>6000</v>
      </c>
      <c r="M36" s="245">
        <f t="shared" si="27"/>
        <v>0</v>
      </c>
      <c r="N36" s="245">
        <f t="shared" si="27"/>
        <v>6000</v>
      </c>
      <c r="O36" s="245">
        <f t="shared" si="27"/>
        <v>113628.00000000001</v>
      </c>
      <c r="P36" s="245">
        <f t="shared" si="27"/>
        <v>12329819.280000001</v>
      </c>
      <c r="Q36" s="244">
        <f>SUM(Q38:Q43)</f>
        <v>658</v>
      </c>
      <c r="R36" s="245">
        <f t="shared" si="27"/>
        <v>3193.4</v>
      </c>
      <c r="S36" s="245">
        <f t="shared" si="27"/>
        <v>3320</v>
      </c>
      <c r="T36" s="245">
        <f t="shared" si="27"/>
        <v>0</v>
      </c>
      <c r="U36" s="245">
        <f t="shared" si="27"/>
        <v>0</v>
      </c>
      <c r="V36" s="245">
        <f t="shared" si="27"/>
        <v>0</v>
      </c>
      <c r="W36" s="245">
        <f t="shared" si="27"/>
        <v>0</v>
      </c>
      <c r="X36" s="245">
        <f t="shared" si="27"/>
        <v>0</v>
      </c>
      <c r="Y36" s="245">
        <f t="shared" si="27"/>
        <v>0</v>
      </c>
      <c r="Z36" s="245">
        <f t="shared" si="27"/>
        <v>6513.4000000000005</v>
      </c>
      <c r="AA36" s="245">
        <f t="shared" si="27"/>
        <v>6000</v>
      </c>
      <c r="AB36" s="245">
        <f t="shared" si="27"/>
        <v>0</v>
      </c>
      <c r="AC36" s="245">
        <f t="shared" si="27"/>
        <v>6000</v>
      </c>
      <c r="AD36" s="245">
        <f t="shared" si="27"/>
        <v>84160.800000000017</v>
      </c>
      <c r="AE36" s="245">
        <f t="shared" si="27"/>
        <v>6165064.4800000004</v>
      </c>
      <c r="AF36" s="246">
        <f t="shared" si="2"/>
        <v>29467.199999999997</v>
      </c>
      <c r="AG36" s="246">
        <f t="shared" si="2"/>
        <v>6164754.8000000007</v>
      </c>
      <c r="AH36" s="244">
        <f>SUM(AH38:AH43)</f>
        <v>658</v>
      </c>
      <c r="AI36" s="245">
        <v>4822024.4800000004</v>
      </c>
    </row>
    <row r="37" spans="1:35" x14ac:dyDescent="0.2">
      <c r="A37" s="9"/>
      <c r="B37" s="5"/>
      <c r="C37" s="3"/>
      <c r="D37" s="3"/>
      <c r="E37" s="3"/>
      <c r="F37" s="3"/>
      <c r="G37" s="3"/>
      <c r="H37" s="3"/>
      <c r="I37" s="3"/>
      <c r="J37" s="3"/>
      <c r="K37" s="3"/>
      <c r="L37" s="3"/>
      <c r="M37" s="3"/>
      <c r="O37" s="23"/>
      <c r="P37" s="6"/>
      <c r="Q37" s="5"/>
      <c r="R37" s="247"/>
      <c r="S37" s="3"/>
      <c r="T37" s="3"/>
      <c r="U37" s="3"/>
      <c r="V37" s="3"/>
      <c r="W37" s="3"/>
      <c r="X37" s="3"/>
      <c r="Y37" s="3"/>
      <c r="Z37" s="247"/>
      <c r="AA37" s="247"/>
      <c r="AB37" s="3"/>
      <c r="AD37" s="255"/>
      <c r="AE37" s="253"/>
      <c r="AF37" s="248">
        <f t="shared" si="2"/>
        <v>0</v>
      </c>
      <c r="AG37" s="248">
        <f t="shared" si="2"/>
        <v>0</v>
      </c>
      <c r="AH37" s="5"/>
      <c r="AI37" s="253"/>
    </row>
    <row r="38" spans="1:35" x14ac:dyDescent="0.2">
      <c r="A38" s="9" t="s">
        <v>18</v>
      </c>
      <c r="B38" s="9">
        <f>65+2+11</f>
        <v>78</v>
      </c>
      <c r="C38" s="247">
        <f>1103.36/2</f>
        <v>551.67999999999995</v>
      </c>
      <c r="D38" s="247">
        <v>950</v>
      </c>
      <c r="E38" s="3"/>
      <c r="F38" s="3"/>
      <c r="G38" s="3"/>
      <c r="H38" s="3"/>
      <c r="I38" s="3"/>
      <c r="J38" s="3"/>
      <c r="K38" s="250">
        <f t="shared" ref="K38:K43" si="28">SUM(C38:J38)</f>
        <v>1501.6799999999998</v>
      </c>
      <c r="L38" s="250">
        <v>1000</v>
      </c>
      <c r="M38" s="3"/>
      <c r="N38" s="251">
        <f t="shared" ref="N38:N43" si="29">SUM(L38:M38)</f>
        <v>1000</v>
      </c>
      <c r="O38" s="252">
        <f t="shared" ref="O38:O43" si="30">(K38*12)+N38</f>
        <v>19020.159999999996</v>
      </c>
      <c r="P38" s="253">
        <f t="shared" ref="P38:P43" si="31">+O38*B38</f>
        <v>1483572.4799999997</v>
      </c>
      <c r="Q38" s="5">
        <v>78</v>
      </c>
      <c r="R38" s="247">
        <f>43031.04/Q38</f>
        <v>551.68000000000006</v>
      </c>
      <c r="S38" s="3"/>
      <c r="T38" s="3"/>
      <c r="U38" s="3"/>
      <c r="V38" s="3"/>
      <c r="W38" s="3"/>
      <c r="X38" s="3"/>
      <c r="Y38" s="3"/>
      <c r="Z38" s="247">
        <f t="shared" si="6"/>
        <v>551.68000000000006</v>
      </c>
      <c r="AA38" s="247">
        <v>1000</v>
      </c>
      <c r="AB38" s="3"/>
      <c r="AC38" s="254">
        <f t="shared" ref="AC38:AC43" si="32">SUM(AA38:AB38)</f>
        <v>1000</v>
      </c>
      <c r="AD38" s="255">
        <f t="shared" ref="AD38:AD43" si="33">+(Z38*12)+AC38</f>
        <v>7620.1600000000008</v>
      </c>
      <c r="AE38" s="253">
        <f t="shared" ref="AE38:AE42" si="34">+AD38*Q38</f>
        <v>594372.4800000001</v>
      </c>
      <c r="AF38" s="248">
        <f t="shared" si="2"/>
        <v>11399.999999999996</v>
      </c>
      <c r="AG38" s="248">
        <f t="shared" si="2"/>
        <v>889199.99999999965</v>
      </c>
      <c r="AH38" s="5">
        <v>78</v>
      </c>
      <c r="AI38" s="253">
        <v>594372.4800000001</v>
      </c>
    </row>
    <row r="39" spans="1:35" x14ac:dyDescent="0.2">
      <c r="A39" s="9" t="s">
        <v>566</v>
      </c>
      <c r="B39" s="9">
        <f>7+78</f>
        <v>85</v>
      </c>
      <c r="C39" s="247">
        <f>3807.3/7</f>
        <v>543.9</v>
      </c>
      <c r="D39" s="247">
        <v>950</v>
      </c>
      <c r="E39" s="3"/>
      <c r="F39" s="3"/>
      <c r="G39" s="3"/>
      <c r="H39" s="3"/>
      <c r="I39" s="3"/>
      <c r="J39" s="3"/>
      <c r="K39" s="250">
        <f t="shared" si="28"/>
        <v>1493.9</v>
      </c>
      <c r="L39" s="250">
        <v>1000</v>
      </c>
      <c r="M39" s="3"/>
      <c r="N39" s="251">
        <f t="shared" si="29"/>
        <v>1000</v>
      </c>
      <c r="O39" s="252">
        <f t="shared" si="30"/>
        <v>18926.800000000003</v>
      </c>
      <c r="P39" s="253">
        <f t="shared" si="31"/>
        <v>1608778.0000000002</v>
      </c>
      <c r="Q39" s="5">
        <v>86</v>
      </c>
      <c r="R39" s="247">
        <f>46775.4/Q39</f>
        <v>543.9</v>
      </c>
      <c r="S39" s="247">
        <v>1150</v>
      </c>
      <c r="T39" s="3"/>
      <c r="U39" s="3"/>
      <c r="V39" s="3"/>
      <c r="W39" s="3"/>
      <c r="X39" s="3"/>
      <c r="Y39" s="3"/>
      <c r="Z39" s="247">
        <f t="shared" si="6"/>
        <v>1693.9</v>
      </c>
      <c r="AA39" s="247">
        <v>1000</v>
      </c>
      <c r="AB39" s="3"/>
      <c r="AC39" s="254">
        <f t="shared" si="32"/>
        <v>1000</v>
      </c>
      <c r="AD39" s="255">
        <f t="shared" si="33"/>
        <v>21326.800000000003</v>
      </c>
      <c r="AE39" s="253">
        <f t="shared" si="34"/>
        <v>1834104.8000000003</v>
      </c>
      <c r="AF39" s="248">
        <f t="shared" si="2"/>
        <v>-2400</v>
      </c>
      <c r="AG39" s="248">
        <f t="shared" si="2"/>
        <v>-225326.80000000005</v>
      </c>
      <c r="AH39" s="5">
        <v>86</v>
      </c>
      <c r="AI39" s="253">
        <v>647304.79999999993</v>
      </c>
    </row>
    <row r="40" spans="1:35" x14ac:dyDescent="0.2">
      <c r="A40" s="9" t="s">
        <v>567</v>
      </c>
      <c r="B40" s="9">
        <f>1</f>
        <v>1</v>
      </c>
      <c r="C40" s="247">
        <v>536.12</v>
      </c>
      <c r="D40" s="247">
        <v>0</v>
      </c>
      <c r="E40" s="3"/>
      <c r="F40" s="3"/>
      <c r="G40" s="3"/>
      <c r="H40" s="3"/>
      <c r="I40" s="3"/>
      <c r="J40" s="3"/>
      <c r="K40" s="250">
        <f t="shared" si="28"/>
        <v>536.12</v>
      </c>
      <c r="L40" s="250">
        <v>1000</v>
      </c>
      <c r="M40" s="3"/>
      <c r="N40" s="251">
        <f t="shared" si="29"/>
        <v>1000</v>
      </c>
      <c r="O40" s="252">
        <f t="shared" si="30"/>
        <v>7433.4400000000005</v>
      </c>
      <c r="P40" s="253">
        <f t="shared" si="31"/>
        <v>7433.4400000000005</v>
      </c>
      <c r="Q40" s="5">
        <v>1</v>
      </c>
      <c r="R40" s="247">
        <v>536.12</v>
      </c>
      <c r="S40" s="247"/>
      <c r="T40" s="3"/>
      <c r="U40" s="3"/>
      <c r="V40" s="3"/>
      <c r="W40" s="3"/>
      <c r="X40" s="3"/>
      <c r="Y40" s="3"/>
      <c r="Z40" s="247">
        <f t="shared" si="6"/>
        <v>536.12</v>
      </c>
      <c r="AA40" s="247">
        <v>1000</v>
      </c>
      <c r="AB40" s="3"/>
      <c r="AC40" s="254">
        <f t="shared" si="32"/>
        <v>1000</v>
      </c>
      <c r="AD40" s="255">
        <f t="shared" si="33"/>
        <v>7433.4400000000005</v>
      </c>
      <c r="AE40" s="253">
        <f t="shared" si="34"/>
        <v>7433.4400000000005</v>
      </c>
      <c r="AF40" s="248">
        <f t="shared" si="2"/>
        <v>0</v>
      </c>
      <c r="AG40" s="248">
        <f t="shared" si="2"/>
        <v>0</v>
      </c>
      <c r="AH40" s="5">
        <v>1</v>
      </c>
      <c r="AI40" s="253">
        <v>7433.4400000000005</v>
      </c>
    </row>
    <row r="41" spans="1:35" x14ac:dyDescent="0.2">
      <c r="A41" s="9" t="s">
        <v>568</v>
      </c>
      <c r="B41" s="9">
        <f>6</f>
        <v>6</v>
      </c>
      <c r="C41" s="247">
        <f>3170.04/6</f>
        <v>528.34</v>
      </c>
      <c r="D41" s="247">
        <v>950</v>
      </c>
      <c r="E41" s="3"/>
      <c r="F41" s="3"/>
      <c r="G41" s="3"/>
      <c r="H41" s="3"/>
      <c r="I41" s="3"/>
      <c r="J41" s="3"/>
      <c r="K41" s="250">
        <f t="shared" si="28"/>
        <v>1478.3400000000001</v>
      </c>
      <c r="L41" s="250">
        <v>1000</v>
      </c>
      <c r="M41" s="3"/>
      <c r="N41" s="251">
        <f t="shared" si="29"/>
        <v>1000</v>
      </c>
      <c r="O41" s="252">
        <f t="shared" si="30"/>
        <v>18740.080000000002</v>
      </c>
      <c r="P41" s="253">
        <f t="shared" si="31"/>
        <v>112440.48000000001</v>
      </c>
      <c r="Q41" s="5">
        <v>6</v>
      </c>
      <c r="R41" s="247">
        <f>3170.04/Q41</f>
        <v>528.34</v>
      </c>
      <c r="S41" s="247">
        <v>2170</v>
      </c>
      <c r="T41" s="3"/>
      <c r="U41" s="3"/>
      <c r="V41" s="3"/>
      <c r="W41" s="3"/>
      <c r="X41" s="3"/>
      <c r="Y41" s="3"/>
      <c r="Z41" s="247">
        <f t="shared" si="6"/>
        <v>2698.34</v>
      </c>
      <c r="AA41" s="247">
        <v>1000</v>
      </c>
      <c r="AB41" s="3"/>
      <c r="AC41" s="254">
        <f t="shared" si="32"/>
        <v>1000</v>
      </c>
      <c r="AD41" s="255">
        <f t="shared" si="33"/>
        <v>33380.080000000002</v>
      </c>
      <c r="AE41" s="253">
        <f t="shared" si="34"/>
        <v>200280.48</v>
      </c>
      <c r="AF41" s="248">
        <f t="shared" si="2"/>
        <v>-14640</v>
      </c>
      <c r="AG41" s="248">
        <f t="shared" si="2"/>
        <v>-87840</v>
      </c>
      <c r="AH41" s="5">
        <v>6</v>
      </c>
      <c r="AI41" s="253">
        <v>44040.479999999996</v>
      </c>
    </row>
    <row r="42" spans="1:35" x14ac:dyDescent="0.2">
      <c r="A42" s="9" t="s">
        <v>19</v>
      </c>
      <c r="B42" s="9">
        <f>472+12</f>
        <v>484</v>
      </c>
      <c r="C42" s="247">
        <f>6246.72/12</f>
        <v>520.56000000000006</v>
      </c>
      <c r="D42" s="247">
        <v>950</v>
      </c>
      <c r="E42" s="3"/>
      <c r="F42" s="3"/>
      <c r="G42" s="3"/>
      <c r="H42" s="3"/>
      <c r="I42" s="3"/>
      <c r="J42" s="3"/>
      <c r="K42" s="250">
        <f t="shared" si="28"/>
        <v>1470.56</v>
      </c>
      <c r="L42" s="250">
        <v>1000</v>
      </c>
      <c r="M42" s="3"/>
      <c r="N42" s="251">
        <f t="shared" si="29"/>
        <v>1000</v>
      </c>
      <c r="O42" s="252">
        <f t="shared" si="30"/>
        <v>18646.72</v>
      </c>
      <c r="P42" s="253">
        <f t="shared" si="31"/>
        <v>9025012.4800000004</v>
      </c>
      <c r="Q42" s="5">
        <v>484</v>
      </c>
      <c r="R42" s="247">
        <f>251951.04/Q42</f>
        <v>520.56000000000006</v>
      </c>
      <c r="S42" s="3"/>
      <c r="T42" s="3"/>
      <c r="U42" s="3"/>
      <c r="V42" s="3"/>
      <c r="W42" s="3"/>
      <c r="X42" s="3"/>
      <c r="Y42" s="3"/>
      <c r="Z42" s="247">
        <f t="shared" si="6"/>
        <v>520.56000000000006</v>
      </c>
      <c r="AA42" s="247">
        <v>1000</v>
      </c>
      <c r="AB42" s="3"/>
      <c r="AC42" s="254">
        <f t="shared" si="32"/>
        <v>1000</v>
      </c>
      <c r="AD42" s="255">
        <f t="shared" si="33"/>
        <v>7246.7200000000012</v>
      </c>
      <c r="AE42" s="253">
        <f t="shared" si="34"/>
        <v>3507412.4800000004</v>
      </c>
      <c r="AF42" s="248">
        <f t="shared" si="2"/>
        <v>11400</v>
      </c>
      <c r="AG42" s="248">
        <f t="shared" si="2"/>
        <v>5517600</v>
      </c>
      <c r="AH42" s="5">
        <v>484</v>
      </c>
      <c r="AI42" s="253">
        <v>3507412.4800000004</v>
      </c>
    </row>
    <row r="43" spans="1:35" x14ac:dyDescent="0.2">
      <c r="A43" s="9" t="s">
        <v>569</v>
      </c>
      <c r="B43" s="9">
        <f>3</f>
        <v>3</v>
      </c>
      <c r="C43" s="247">
        <v>1538.4</v>
      </c>
      <c r="D43" s="247">
        <v>950</v>
      </c>
      <c r="E43" s="3"/>
      <c r="F43" s="3"/>
      <c r="G43" s="3"/>
      <c r="H43" s="3"/>
      <c r="I43" s="3"/>
      <c r="J43" s="3"/>
      <c r="K43" s="250">
        <f t="shared" si="28"/>
        <v>2488.4</v>
      </c>
      <c r="L43" s="250">
        <v>1000</v>
      </c>
      <c r="M43" s="3"/>
      <c r="N43" s="251">
        <f t="shared" si="29"/>
        <v>1000</v>
      </c>
      <c r="O43" s="252">
        <f t="shared" si="30"/>
        <v>30860.800000000003</v>
      </c>
      <c r="P43" s="253">
        <f t="shared" si="31"/>
        <v>92582.400000000009</v>
      </c>
      <c r="Q43" s="5">
        <v>3</v>
      </c>
      <c r="R43" s="247">
        <f>1538.4/Q43</f>
        <v>512.80000000000007</v>
      </c>
      <c r="S43" s="3"/>
      <c r="T43" s="3"/>
      <c r="U43" s="3"/>
      <c r="V43" s="3"/>
      <c r="W43" s="3"/>
      <c r="X43" s="3"/>
      <c r="Y43" s="3"/>
      <c r="Z43" s="247">
        <f t="shared" si="6"/>
        <v>512.80000000000007</v>
      </c>
      <c r="AA43" s="247">
        <v>1000</v>
      </c>
      <c r="AB43" s="3"/>
      <c r="AC43" s="254">
        <f t="shared" si="32"/>
        <v>1000</v>
      </c>
      <c r="AD43" s="255">
        <f t="shared" si="33"/>
        <v>7153.6</v>
      </c>
      <c r="AE43" s="253">
        <f>+AD43*Q43</f>
        <v>21460.800000000003</v>
      </c>
      <c r="AF43" s="248">
        <f t="shared" si="2"/>
        <v>23707.200000000004</v>
      </c>
      <c r="AG43" s="248">
        <f t="shared" si="2"/>
        <v>71121.600000000006</v>
      </c>
      <c r="AH43" s="5">
        <v>3</v>
      </c>
      <c r="AI43" s="253">
        <v>21460.800000000003</v>
      </c>
    </row>
    <row r="44" spans="1:35" x14ac:dyDescent="0.2">
      <c r="A44" s="9"/>
      <c r="B44" s="5"/>
      <c r="C44" s="3"/>
      <c r="D44" s="3"/>
      <c r="E44" s="3"/>
      <c r="F44" s="3"/>
      <c r="G44" s="3"/>
      <c r="H44" s="3"/>
      <c r="I44" s="3"/>
      <c r="J44" s="3"/>
      <c r="K44" s="3"/>
      <c r="L44" s="3"/>
      <c r="M44" s="3"/>
      <c r="O44" s="23"/>
      <c r="P44" s="6"/>
      <c r="Q44" s="5"/>
      <c r="R44" s="247"/>
      <c r="S44" s="3"/>
      <c r="T44" s="3"/>
      <c r="U44" s="3"/>
      <c r="V44" s="3"/>
      <c r="W44" s="3"/>
      <c r="X44" s="3"/>
      <c r="Y44" s="3"/>
      <c r="Z44" s="247"/>
      <c r="AA44" s="247"/>
      <c r="AB44" s="3"/>
      <c r="AD44" s="255"/>
      <c r="AE44" s="253"/>
      <c r="AF44" s="248">
        <f t="shared" si="2"/>
        <v>0</v>
      </c>
      <c r="AG44" s="248">
        <f t="shared" si="2"/>
        <v>0</v>
      </c>
      <c r="AH44" s="5"/>
      <c r="AI44" s="253"/>
    </row>
    <row r="45" spans="1:35" x14ac:dyDescent="0.2">
      <c r="A45" s="10" t="s">
        <v>570</v>
      </c>
      <c r="B45" s="244">
        <f>SUM(B47:B59)</f>
        <v>1153</v>
      </c>
      <c r="C45" s="245">
        <f t="shared" ref="C45:AE45" si="35">SUM(C47:C59)</f>
        <v>16593.800000000003</v>
      </c>
      <c r="D45" s="245">
        <f t="shared" si="35"/>
        <v>0</v>
      </c>
      <c r="E45" s="245">
        <f t="shared" si="35"/>
        <v>0</v>
      </c>
      <c r="F45" s="245">
        <f t="shared" si="35"/>
        <v>0</v>
      </c>
      <c r="G45" s="245">
        <f t="shared" si="35"/>
        <v>0</v>
      </c>
      <c r="H45" s="245">
        <f t="shared" si="35"/>
        <v>0</v>
      </c>
      <c r="I45" s="245">
        <f t="shared" si="35"/>
        <v>0</v>
      </c>
      <c r="J45" s="245">
        <f t="shared" si="35"/>
        <v>0</v>
      </c>
      <c r="K45" s="245">
        <f t="shared" si="35"/>
        <v>16593.800000000003</v>
      </c>
      <c r="L45" s="245">
        <f t="shared" si="35"/>
        <v>13000</v>
      </c>
      <c r="M45" s="245">
        <f t="shared" si="35"/>
        <v>0</v>
      </c>
      <c r="N45" s="245">
        <f t="shared" si="35"/>
        <v>13000</v>
      </c>
      <c r="O45" s="245">
        <f t="shared" si="35"/>
        <v>212125.59999999998</v>
      </c>
      <c r="P45" s="245">
        <f t="shared" si="35"/>
        <v>19870540.599999998</v>
      </c>
      <c r="Q45" s="244">
        <f>SUM(Q47:Q59)</f>
        <v>1192</v>
      </c>
      <c r="R45" s="245">
        <f t="shared" si="35"/>
        <v>17798.25</v>
      </c>
      <c r="S45" s="245">
        <f t="shared" si="35"/>
        <v>0</v>
      </c>
      <c r="T45" s="245">
        <f t="shared" si="35"/>
        <v>0</v>
      </c>
      <c r="U45" s="245">
        <f t="shared" si="35"/>
        <v>0</v>
      </c>
      <c r="V45" s="245">
        <f t="shared" si="35"/>
        <v>0</v>
      </c>
      <c r="W45" s="245">
        <f t="shared" si="35"/>
        <v>0</v>
      </c>
      <c r="X45" s="245">
        <f t="shared" si="35"/>
        <v>0</v>
      </c>
      <c r="Y45" s="245">
        <f t="shared" si="35"/>
        <v>0</v>
      </c>
      <c r="Z45" s="245">
        <f t="shared" si="35"/>
        <v>17798.25</v>
      </c>
      <c r="AA45" s="245">
        <f t="shared" si="35"/>
        <v>13000</v>
      </c>
      <c r="AB45" s="245">
        <f t="shared" si="35"/>
        <v>0</v>
      </c>
      <c r="AC45" s="245">
        <f t="shared" si="35"/>
        <v>13000</v>
      </c>
      <c r="AD45" s="245">
        <f t="shared" si="35"/>
        <v>226579</v>
      </c>
      <c r="AE45" s="245">
        <f t="shared" si="35"/>
        <v>20594359.599999998</v>
      </c>
      <c r="AF45" s="246">
        <f t="shared" si="2"/>
        <v>-14453.400000000023</v>
      </c>
      <c r="AG45" s="246">
        <f t="shared" si="2"/>
        <v>-723819</v>
      </c>
      <c r="AH45" s="244">
        <f>SUM(AH47:AH59)</f>
        <v>1192</v>
      </c>
      <c r="AI45" s="245">
        <v>20594359.599999998</v>
      </c>
    </row>
    <row r="46" spans="1:35" x14ac:dyDescent="0.2">
      <c r="A46" s="9"/>
      <c r="B46" s="5"/>
      <c r="C46" s="3"/>
      <c r="D46" s="3"/>
      <c r="E46" s="3"/>
      <c r="F46" s="3"/>
      <c r="G46" s="3"/>
      <c r="H46" s="3"/>
      <c r="I46" s="3"/>
      <c r="J46" s="3"/>
      <c r="K46" s="3"/>
      <c r="L46" s="3"/>
      <c r="M46" s="3"/>
      <c r="O46" s="23"/>
      <c r="P46" s="6"/>
      <c r="Q46" s="5"/>
      <c r="R46" s="247"/>
      <c r="S46" s="3"/>
      <c r="T46" s="3"/>
      <c r="U46" s="3"/>
      <c r="V46" s="3"/>
      <c r="W46" s="3"/>
      <c r="X46" s="3"/>
      <c r="Y46" s="3"/>
      <c r="Z46" s="247"/>
      <c r="AA46" s="247"/>
      <c r="AB46" s="3"/>
      <c r="AD46" s="255"/>
      <c r="AE46" s="253"/>
      <c r="AF46" s="248">
        <f t="shared" si="2"/>
        <v>0</v>
      </c>
      <c r="AG46" s="248">
        <f t="shared" si="2"/>
        <v>0</v>
      </c>
      <c r="AH46" s="5"/>
      <c r="AI46" s="253"/>
    </row>
    <row r="47" spans="1:35" x14ac:dyDescent="0.2">
      <c r="A47" s="9" t="s">
        <v>560</v>
      </c>
      <c r="B47" s="249">
        <v>1</v>
      </c>
      <c r="C47" s="247">
        <v>1548.95</v>
      </c>
      <c r="D47" s="3"/>
      <c r="E47" s="3"/>
      <c r="F47" s="3"/>
      <c r="G47" s="3"/>
      <c r="H47" s="3"/>
      <c r="I47" s="3"/>
      <c r="J47" s="3"/>
      <c r="K47" s="250">
        <f t="shared" ref="K47" si="36">SUM(C47:J47)</f>
        <v>1548.95</v>
      </c>
      <c r="L47" s="250">
        <v>1000</v>
      </c>
      <c r="M47" s="3"/>
      <c r="N47" s="251">
        <f t="shared" ref="N47:N59" si="37">SUM(L47:M47)</f>
        <v>1000</v>
      </c>
      <c r="O47" s="252">
        <f t="shared" ref="O47:O53" si="38">(K47*12)+N47</f>
        <v>19587.400000000001</v>
      </c>
      <c r="P47" s="253">
        <f t="shared" ref="P47:P59" si="39">+O47*B47</f>
        <v>19587.400000000001</v>
      </c>
      <c r="Q47" s="5">
        <v>1</v>
      </c>
      <c r="R47" s="247">
        <v>1548.95</v>
      </c>
      <c r="S47" s="3"/>
      <c r="T47" s="3"/>
      <c r="U47" s="3"/>
      <c r="V47" s="3"/>
      <c r="W47" s="3"/>
      <c r="X47" s="3"/>
      <c r="Y47" s="3"/>
      <c r="Z47" s="247">
        <f t="shared" si="6"/>
        <v>1548.95</v>
      </c>
      <c r="AA47" s="247">
        <v>1000</v>
      </c>
      <c r="AB47" s="3"/>
      <c r="AC47" s="254">
        <f t="shared" ref="AC47:AC59" si="40">SUM(AA47:AB47)</f>
        <v>1000</v>
      </c>
      <c r="AD47" s="255">
        <f t="shared" ref="AD47:AD59" si="41">+(Z47*12)+AC47</f>
        <v>19587.400000000001</v>
      </c>
      <c r="AE47" s="253">
        <f t="shared" ref="AE47:AE59" si="42">+AD47*Q47</f>
        <v>19587.400000000001</v>
      </c>
      <c r="AF47" s="248">
        <f t="shared" si="2"/>
        <v>0</v>
      </c>
      <c r="AG47" s="248">
        <f t="shared" si="2"/>
        <v>0</v>
      </c>
      <c r="AH47" s="5">
        <v>1</v>
      </c>
      <c r="AI47" s="253">
        <v>19587.400000000001</v>
      </c>
    </row>
    <row r="48" spans="1:35" x14ac:dyDescent="0.2">
      <c r="A48" s="9" t="s">
        <v>16</v>
      </c>
      <c r="B48" s="249">
        <v>48</v>
      </c>
      <c r="C48" s="247">
        <f>66924/B48</f>
        <v>1394.25</v>
      </c>
      <c r="D48" s="3"/>
      <c r="E48" s="3"/>
      <c r="F48" s="3"/>
      <c r="G48" s="3"/>
      <c r="H48" s="3"/>
      <c r="I48" s="3"/>
      <c r="J48" s="3"/>
      <c r="K48" s="250">
        <f t="shared" ref="K48:K59" si="43">SUM(C48:J48)</f>
        <v>1394.25</v>
      </c>
      <c r="L48" s="250">
        <v>1000</v>
      </c>
      <c r="M48" s="3"/>
      <c r="N48" s="251">
        <f t="shared" si="37"/>
        <v>1000</v>
      </c>
      <c r="O48" s="252">
        <f t="shared" si="38"/>
        <v>17731</v>
      </c>
      <c r="P48" s="253">
        <f t="shared" si="39"/>
        <v>851088</v>
      </c>
      <c r="Q48" s="5">
        <v>48</v>
      </c>
      <c r="R48" s="247">
        <f>66924/Q48</f>
        <v>1394.25</v>
      </c>
      <c r="S48" s="3"/>
      <c r="T48" s="3"/>
      <c r="U48" s="3"/>
      <c r="V48" s="3"/>
      <c r="W48" s="3"/>
      <c r="X48" s="3"/>
      <c r="Y48" s="3"/>
      <c r="Z48" s="247">
        <f t="shared" si="6"/>
        <v>1394.25</v>
      </c>
      <c r="AA48" s="247">
        <v>1000</v>
      </c>
      <c r="AB48" s="3"/>
      <c r="AC48" s="254">
        <f t="shared" si="40"/>
        <v>1000</v>
      </c>
      <c r="AD48" s="255">
        <f t="shared" si="41"/>
        <v>17731</v>
      </c>
      <c r="AE48" s="253">
        <f t="shared" si="42"/>
        <v>851088</v>
      </c>
      <c r="AF48" s="248">
        <f t="shared" si="2"/>
        <v>0</v>
      </c>
      <c r="AG48" s="248">
        <f t="shared" si="2"/>
        <v>0</v>
      </c>
      <c r="AH48" s="5">
        <v>48</v>
      </c>
      <c r="AI48" s="253">
        <v>851088</v>
      </c>
    </row>
    <row r="49" spans="1:35" x14ac:dyDescent="0.2">
      <c r="A49" s="9" t="s">
        <v>562</v>
      </c>
      <c r="B49" s="249">
        <v>258</v>
      </c>
      <c r="C49" s="247">
        <f>356697.9/B49</f>
        <v>1382.5500000000002</v>
      </c>
      <c r="D49" s="3"/>
      <c r="E49" s="3"/>
      <c r="F49" s="3"/>
      <c r="G49" s="3"/>
      <c r="H49" s="3"/>
      <c r="I49" s="3"/>
      <c r="J49" s="3"/>
      <c r="K49" s="250">
        <f t="shared" si="43"/>
        <v>1382.5500000000002</v>
      </c>
      <c r="L49" s="250">
        <v>1000</v>
      </c>
      <c r="M49" s="3"/>
      <c r="N49" s="251">
        <f t="shared" si="37"/>
        <v>1000</v>
      </c>
      <c r="O49" s="252">
        <f t="shared" si="38"/>
        <v>17590.600000000002</v>
      </c>
      <c r="P49" s="253">
        <f t="shared" si="39"/>
        <v>4538374.8000000007</v>
      </c>
      <c r="Q49" s="5">
        <v>257</v>
      </c>
      <c r="R49" s="247">
        <f>355315.35/Q49</f>
        <v>1382.55</v>
      </c>
      <c r="S49" s="3"/>
      <c r="T49" s="3"/>
      <c r="U49" s="3"/>
      <c r="V49" s="3"/>
      <c r="W49" s="3"/>
      <c r="X49" s="3"/>
      <c r="Y49" s="3"/>
      <c r="Z49" s="247">
        <f t="shared" si="6"/>
        <v>1382.55</v>
      </c>
      <c r="AA49" s="247">
        <v>1000</v>
      </c>
      <c r="AB49" s="3"/>
      <c r="AC49" s="254">
        <f t="shared" si="40"/>
        <v>1000</v>
      </c>
      <c r="AD49" s="255">
        <f t="shared" si="41"/>
        <v>17590.599999999999</v>
      </c>
      <c r="AE49" s="253">
        <f t="shared" si="42"/>
        <v>4520784.1999999993</v>
      </c>
      <c r="AF49" s="248">
        <f t="shared" si="2"/>
        <v>0</v>
      </c>
      <c r="AG49" s="248">
        <f t="shared" si="2"/>
        <v>17590.60000000149</v>
      </c>
      <c r="AH49" s="5">
        <v>257</v>
      </c>
      <c r="AI49" s="253">
        <v>4520784.1999999993</v>
      </c>
    </row>
    <row r="50" spans="1:35" x14ac:dyDescent="0.2">
      <c r="A50" s="9" t="s">
        <v>563</v>
      </c>
      <c r="B50" s="249">
        <v>50</v>
      </c>
      <c r="C50" s="247">
        <f>68542.5/B50</f>
        <v>1370.85</v>
      </c>
      <c r="D50" s="3"/>
      <c r="E50" s="3"/>
      <c r="F50" s="3"/>
      <c r="G50" s="3"/>
      <c r="H50" s="3"/>
      <c r="I50" s="3"/>
      <c r="J50" s="3"/>
      <c r="K50" s="250">
        <f t="shared" si="43"/>
        <v>1370.85</v>
      </c>
      <c r="L50" s="250">
        <v>1000</v>
      </c>
      <c r="M50" s="3"/>
      <c r="N50" s="251">
        <f t="shared" si="37"/>
        <v>1000</v>
      </c>
      <c r="O50" s="252">
        <f t="shared" si="38"/>
        <v>17450.199999999997</v>
      </c>
      <c r="P50" s="253">
        <f t="shared" si="39"/>
        <v>872509.99999999988</v>
      </c>
      <c r="Q50" s="5">
        <v>50</v>
      </c>
      <c r="R50" s="247">
        <f>68542.5/Q50</f>
        <v>1370.85</v>
      </c>
      <c r="S50" s="3"/>
      <c r="T50" s="3"/>
      <c r="U50" s="3"/>
      <c r="V50" s="3"/>
      <c r="W50" s="3"/>
      <c r="X50" s="3"/>
      <c r="Y50" s="3"/>
      <c r="Z50" s="247">
        <f t="shared" si="6"/>
        <v>1370.85</v>
      </c>
      <c r="AA50" s="247">
        <v>1000</v>
      </c>
      <c r="AB50" s="3"/>
      <c r="AC50" s="254">
        <f t="shared" si="40"/>
        <v>1000</v>
      </c>
      <c r="AD50" s="255">
        <f t="shared" si="41"/>
        <v>17450.199999999997</v>
      </c>
      <c r="AE50" s="253">
        <f t="shared" si="42"/>
        <v>872509.99999999988</v>
      </c>
      <c r="AF50" s="248">
        <f t="shared" si="2"/>
        <v>0</v>
      </c>
      <c r="AG50" s="248">
        <f t="shared" si="2"/>
        <v>0</v>
      </c>
      <c r="AH50" s="5">
        <v>50</v>
      </c>
      <c r="AI50" s="253">
        <v>872509.99999999988</v>
      </c>
    </row>
    <row r="51" spans="1:35" x14ac:dyDescent="0.2">
      <c r="A51" s="9" t="s">
        <v>564</v>
      </c>
      <c r="B51" s="249">
        <v>22</v>
      </c>
      <c r="C51" s="247">
        <f>29901.3/B51</f>
        <v>1359.1499999999999</v>
      </c>
      <c r="D51" s="3"/>
      <c r="E51" s="3"/>
      <c r="F51" s="3"/>
      <c r="G51" s="3"/>
      <c r="H51" s="3"/>
      <c r="I51" s="3"/>
      <c r="J51" s="3"/>
      <c r="K51" s="250">
        <f t="shared" si="43"/>
        <v>1359.1499999999999</v>
      </c>
      <c r="L51" s="250">
        <v>1000</v>
      </c>
      <c r="M51" s="3"/>
      <c r="N51" s="251">
        <f t="shared" si="37"/>
        <v>1000</v>
      </c>
      <c r="O51" s="252">
        <f>(K51*12)+N51</f>
        <v>17309.8</v>
      </c>
      <c r="P51" s="253">
        <f t="shared" si="39"/>
        <v>380815.6</v>
      </c>
      <c r="Q51" s="5">
        <v>22</v>
      </c>
      <c r="R51" s="247">
        <f>29901.3/Q51</f>
        <v>1359.1499999999999</v>
      </c>
      <c r="S51" s="3"/>
      <c r="T51" s="3"/>
      <c r="U51" s="3"/>
      <c r="V51" s="3"/>
      <c r="W51" s="3"/>
      <c r="X51" s="3"/>
      <c r="Y51" s="3"/>
      <c r="Z51" s="247">
        <f t="shared" si="6"/>
        <v>1359.1499999999999</v>
      </c>
      <c r="AA51" s="247">
        <v>1000</v>
      </c>
      <c r="AB51" s="3"/>
      <c r="AC51" s="254">
        <f t="shared" si="40"/>
        <v>1000</v>
      </c>
      <c r="AD51" s="255">
        <f t="shared" si="41"/>
        <v>17309.8</v>
      </c>
      <c r="AE51" s="253">
        <f t="shared" si="42"/>
        <v>380815.6</v>
      </c>
      <c r="AF51" s="248">
        <f t="shared" si="2"/>
        <v>0</v>
      </c>
      <c r="AG51" s="248">
        <f t="shared" si="2"/>
        <v>0</v>
      </c>
      <c r="AH51" s="5">
        <v>22</v>
      </c>
      <c r="AI51" s="253">
        <v>380815.6</v>
      </c>
    </row>
    <row r="52" spans="1:35" x14ac:dyDescent="0.2">
      <c r="A52" s="9" t="s">
        <v>17</v>
      </c>
      <c r="B52" s="249">
        <v>130</v>
      </c>
      <c r="C52" s="247">
        <f>175591/B52</f>
        <v>1350.7</v>
      </c>
      <c r="D52" s="3"/>
      <c r="E52" s="3"/>
      <c r="F52" s="3"/>
      <c r="G52" s="3"/>
      <c r="H52" s="3"/>
      <c r="I52" s="3"/>
      <c r="J52" s="3"/>
      <c r="K52" s="250">
        <f t="shared" si="43"/>
        <v>1350.7</v>
      </c>
      <c r="L52" s="250">
        <v>1000</v>
      </c>
      <c r="M52" s="3"/>
      <c r="N52" s="251">
        <f t="shared" si="37"/>
        <v>1000</v>
      </c>
      <c r="O52" s="252">
        <f t="shared" si="38"/>
        <v>17208.400000000001</v>
      </c>
      <c r="P52" s="253">
        <f t="shared" si="39"/>
        <v>2237092</v>
      </c>
      <c r="Q52" s="5">
        <v>130</v>
      </c>
      <c r="R52" s="247">
        <f>175584.5/Q52</f>
        <v>1350.65</v>
      </c>
      <c r="S52" s="3"/>
      <c r="T52" s="3"/>
      <c r="U52" s="3"/>
      <c r="V52" s="3"/>
      <c r="W52" s="3"/>
      <c r="X52" s="3"/>
      <c r="Y52" s="3"/>
      <c r="Z52" s="247">
        <f t="shared" si="6"/>
        <v>1350.65</v>
      </c>
      <c r="AA52" s="247">
        <v>1000</v>
      </c>
      <c r="AB52" s="3"/>
      <c r="AC52" s="254">
        <f t="shared" si="40"/>
        <v>1000</v>
      </c>
      <c r="AD52" s="255">
        <f t="shared" si="41"/>
        <v>17207.800000000003</v>
      </c>
      <c r="AE52" s="253">
        <f t="shared" si="42"/>
        <v>2237014.0000000005</v>
      </c>
      <c r="AF52" s="248">
        <f t="shared" si="2"/>
        <v>0.59999999999854481</v>
      </c>
      <c r="AG52" s="248">
        <f t="shared" si="2"/>
        <v>77.999999999534339</v>
      </c>
      <c r="AH52" s="5">
        <v>130</v>
      </c>
      <c r="AI52" s="253">
        <v>2237014.0000000005</v>
      </c>
    </row>
    <row r="53" spans="1:35" x14ac:dyDescent="0.2">
      <c r="A53" s="9" t="s">
        <v>565</v>
      </c>
      <c r="B53" s="249">
        <v>564</v>
      </c>
      <c r="C53" s="247">
        <f>758128.8/B53</f>
        <v>1344.2</v>
      </c>
      <c r="D53" s="3"/>
      <c r="E53" s="3"/>
      <c r="F53" s="3"/>
      <c r="G53" s="3"/>
      <c r="H53" s="3"/>
      <c r="I53" s="3"/>
      <c r="J53" s="3"/>
      <c r="K53" s="250">
        <f t="shared" si="43"/>
        <v>1344.2</v>
      </c>
      <c r="L53" s="250">
        <v>1000</v>
      </c>
      <c r="M53" s="3"/>
      <c r="N53" s="251">
        <f t="shared" si="37"/>
        <v>1000</v>
      </c>
      <c r="O53" s="252">
        <f t="shared" si="38"/>
        <v>17130.400000000001</v>
      </c>
      <c r="P53" s="253">
        <f t="shared" si="39"/>
        <v>9661545.6000000015</v>
      </c>
      <c r="Q53" s="5">
        <v>598</v>
      </c>
      <c r="R53" s="247">
        <f>803831.6/Q53</f>
        <v>1344.2</v>
      </c>
      <c r="S53" s="3"/>
      <c r="T53" s="3"/>
      <c r="U53" s="3"/>
      <c r="V53" s="3"/>
      <c r="W53" s="3"/>
      <c r="X53" s="3"/>
      <c r="Y53" s="3"/>
      <c r="Z53" s="247">
        <f t="shared" si="6"/>
        <v>1344.2</v>
      </c>
      <c r="AA53" s="247">
        <v>1000</v>
      </c>
      <c r="AB53" s="3"/>
      <c r="AC53" s="254">
        <f t="shared" si="40"/>
        <v>1000</v>
      </c>
      <c r="AD53" s="255">
        <f t="shared" si="41"/>
        <v>17130.400000000001</v>
      </c>
      <c r="AE53" s="253">
        <f t="shared" si="42"/>
        <v>10243979.200000001</v>
      </c>
      <c r="AF53" s="248">
        <f t="shared" si="2"/>
        <v>0</v>
      </c>
      <c r="AG53" s="248">
        <f t="shared" si="2"/>
        <v>-582433.59999999963</v>
      </c>
      <c r="AH53" s="5">
        <v>598</v>
      </c>
      <c r="AI53" s="253">
        <v>10243979.200000001</v>
      </c>
    </row>
    <row r="54" spans="1:35" x14ac:dyDescent="0.2">
      <c r="A54" s="9" t="s">
        <v>18</v>
      </c>
      <c r="B54" s="249">
        <v>9</v>
      </c>
      <c r="C54" s="247">
        <f>12203.1/B54</f>
        <v>1355.9</v>
      </c>
      <c r="D54" s="3"/>
      <c r="E54" s="3"/>
      <c r="F54" s="3"/>
      <c r="G54" s="3"/>
      <c r="H54" s="3"/>
      <c r="I54" s="3"/>
      <c r="J54" s="3"/>
      <c r="K54" s="250">
        <f t="shared" si="43"/>
        <v>1355.9</v>
      </c>
      <c r="L54" s="250">
        <v>1000</v>
      </c>
      <c r="M54" s="3"/>
      <c r="N54" s="251">
        <f t="shared" si="37"/>
        <v>1000</v>
      </c>
      <c r="O54" s="252">
        <f>(K54*12)+N54</f>
        <v>17270.800000000003</v>
      </c>
      <c r="P54" s="253">
        <f t="shared" si="39"/>
        <v>155437.20000000001</v>
      </c>
      <c r="Q54" s="5">
        <v>9</v>
      </c>
      <c r="R54" s="247">
        <f>12203.1/Q54</f>
        <v>1355.9</v>
      </c>
      <c r="S54" s="3"/>
      <c r="T54" s="3"/>
      <c r="U54" s="3"/>
      <c r="V54" s="3"/>
      <c r="W54" s="3"/>
      <c r="X54" s="3"/>
      <c r="Y54" s="3"/>
      <c r="Z54" s="247">
        <f t="shared" si="6"/>
        <v>1355.9</v>
      </c>
      <c r="AA54" s="247">
        <v>1000</v>
      </c>
      <c r="AB54" s="3"/>
      <c r="AC54" s="254">
        <f t="shared" si="40"/>
        <v>1000</v>
      </c>
      <c r="AD54" s="255">
        <f t="shared" si="41"/>
        <v>17270.800000000003</v>
      </c>
      <c r="AE54" s="253">
        <f t="shared" si="42"/>
        <v>155437.20000000001</v>
      </c>
      <c r="AF54" s="248">
        <f t="shared" si="2"/>
        <v>0</v>
      </c>
      <c r="AG54" s="248">
        <f t="shared" si="2"/>
        <v>0</v>
      </c>
      <c r="AH54" s="5">
        <v>9</v>
      </c>
      <c r="AI54" s="253">
        <v>155437.20000000001</v>
      </c>
    </row>
    <row r="55" spans="1:35" x14ac:dyDescent="0.2">
      <c r="A55" s="9" t="s">
        <v>566</v>
      </c>
      <c r="B55" s="249">
        <v>24</v>
      </c>
      <c r="C55" s="247">
        <f>32401.2/B55</f>
        <v>1350.05</v>
      </c>
      <c r="D55" s="3"/>
      <c r="E55" s="3"/>
      <c r="F55" s="3"/>
      <c r="G55" s="3"/>
      <c r="H55" s="3"/>
      <c r="I55" s="3"/>
      <c r="J55" s="3"/>
      <c r="K55" s="250">
        <f t="shared" si="43"/>
        <v>1350.05</v>
      </c>
      <c r="L55" s="250">
        <v>1000</v>
      </c>
      <c r="M55" s="3"/>
      <c r="N55" s="251">
        <f t="shared" si="37"/>
        <v>1000</v>
      </c>
      <c r="O55" s="252">
        <f t="shared" ref="O55:O59" si="44">(K55*12)+N55</f>
        <v>17200.599999999999</v>
      </c>
      <c r="P55" s="253">
        <f t="shared" si="39"/>
        <v>412814.39999999997</v>
      </c>
      <c r="Q55" s="5">
        <v>23</v>
      </c>
      <c r="R55" s="247">
        <f>31051.15/Q55</f>
        <v>1350.05</v>
      </c>
      <c r="S55" s="3"/>
      <c r="T55" s="3"/>
      <c r="U55" s="3"/>
      <c r="V55" s="3"/>
      <c r="W55" s="3"/>
      <c r="X55" s="3"/>
      <c r="Y55" s="3"/>
      <c r="Z55" s="247">
        <f t="shared" si="6"/>
        <v>1350.05</v>
      </c>
      <c r="AA55" s="247">
        <v>1000</v>
      </c>
      <c r="AB55" s="3"/>
      <c r="AC55" s="254">
        <f t="shared" si="40"/>
        <v>1000</v>
      </c>
      <c r="AD55" s="255">
        <f t="shared" si="41"/>
        <v>17200.599999999999</v>
      </c>
      <c r="AE55" s="253">
        <f t="shared" si="42"/>
        <v>395613.8</v>
      </c>
      <c r="AF55" s="248">
        <f t="shared" si="2"/>
        <v>0</v>
      </c>
      <c r="AG55" s="248">
        <f t="shared" si="2"/>
        <v>17200.599999999977</v>
      </c>
      <c r="AH55" s="5">
        <v>23</v>
      </c>
      <c r="AI55" s="253">
        <v>395613.8</v>
      </c>
    </row>
    <row r="56" spans="1:35" x14ac:dyDescent="0.2">
      <c r="A56" s="9" t="s">
        <v>567</v>
      </c>
      <c r="B56" s="249">
        <v>6</v>
      </c>
      <c r="C56" s="247">
        <f>8065.2/B56</f>
        <v>1344.2</v>
      </c>
      <c r="D56" s="3"/>
      <c r="E56" s="3"/>
      <c r="F56" s="3"/>
      <c r="G56" s="3"/>
      <c r="H56" s="3"/>
      <c r="I56" s="3"/>
      <c r="J56" s="3"/>
      <c r="K56" s="250">
        <f t="shared" si="43"/>
        <v>1344.2</v>
      </c>
      <c r="L56" s="250">
        <v>1000</v>
      </c>
      <c r="M56" s="3"/>
      <c r="N56" s="251">
        <f t="shared" si="37"/>
        <v>1000</v>
      </c>
      <c r="O56" s="252">
        <f t="shared" si="44"/>
        <v>17130.400000000001</v>
      </c>
      <c r="P56" s="253">
        <f t="shared" si="39"/>
        <v>102782.40000000001</v>
      </c>
      <c r="Q56" s="5">
        <v>6</v>
      </c>
      <c r="R56" s="247">
        <f>8065.2/Q56</f>
        <v>1344.2</v>
      </c>
      <c r="S56" s="3"/>
      <c r="T56" s="3"/>
      <c r="U56" s="3"/>
      <c r="V56" s="3"/>
      <c r="W56" s="3"/>
      <c r="X56" s="3"/>
      <c r="Y56" s="3"/>
      <c r="Z56" s="247">
        <f t="shared" si="6"/>
        <v>1344.2</v>
      </c>
      <c r="AA56" s="247">
        <v>1000</v>
      </c>
      <c r="AB56" s="3"/>
      <c r="AC56" s="254">
        <f t="shared" si="40"/>
        <v>1000</v>
      </c>
      <c r="AD56" s="255">
        <f t="shared" si="41"/>
        <v>17130.400000000001</v>
      </c>
      <c r="AE56" s="253">
        <f t="shared" si="42"/>
        <v>102782.40000000001</v>
      </c>
      <c r="AF56" s="248">
        <f t="shared" si="2"/>
        <v>0</v>
      </c>
      <c r="AG56" s="248">
        <f t="shared" si="2"/>
        <v>0</v>
      </c>
      <c r="AH56" s="5">
        <v>6</v>
      </c>
      <c r="AI56" s="253">
        <v>102782.40000000001</v>
      </c>
    </row>
    <row r="57" spans="1:35" x14ac:dyDescent="0.2">
      <c r="A57" s="9" t="s">
        <v>568</v>
      </c>
      <c r="B57" s="249">
        <v>4</v>
      </c>
      <c r="C57" s="247">
        <f>535.4/B57</f>
        <v>133.85</v>
      </c>
      <c r="D57" s="3"/>
      <c r="E57" s="3"/>
      <c r="F57" s="3"/>
      <c r="G57" s="3"/>
      <c r="H57" s="3"/>
      <c r="I57" s="3"/>
      <c r="J57" s="3"/>
      <c r="K57" s="250">
        <f t="shared" si="43"/>
        <v>133.85</v>
      </c>
      <c r="L57" s="250">
        <v>1000</v>
      </c>
      <c r="M57" s="3"/>
      <c r="N57" s="251">
        <f t="shared" si="37"/>
        <v>1000</v>
      </c>
      <c r="O57" s="252">
        <f t="shared" si="44"/>
        <v>2606.1999999999998</v>
      </c>
      <c r="P57" s="253">
        <f t="shared" si="39"/>
        <v>10424.799999999999</v>
      </c>
      <c r="Q57" s="5">
        <v>4</v>
      </c>
      <c r="R57" s="247">
        <f>5353.4/Q57</f>
        <v>1338.35</v>
      </c>
      <c r="S57" s="3"/>
      <c r="T57" s="3"/>
      <c r="U57" s="3"/>
      <c r="V57" s="3"/>
      <c r="W57" s="3"/>
      <c r="X57" s="3"/>
      <c r="Y57" s="3"/>
      <c r="Z57" s="247">
        <f t="shared" si="6"/>
        <v>1338.35</v>
      </c>
      <c r="AA57" s="247">
        <v>1000</v>
      </c>
      <c r="AB57" s="3"/>
      <c r="AC57" s="254">
        <f t="shared" si="40"/>
        <v>1000</v>
      </c>
      <c r="AD57" s="255">
        <f t="shared" si="41"/>
        <v>17060.199999999997</v>
      </c>
      <c r="AE57" s="253">
        <f t="shared" si="42"/>
        <v>68240.799999999988</v>
      </c>
      <c r="AF57" s="248">
        <f t="shared" si="2"/>
        <v>-14453.999999999996</v>
      </c>
      <c r="AG57" s="248">
        <f t="shared" si="2"/>
        <v>-57815.999999999985</v>
      </c>
      <c r="AH57" s="5">
        <v>4</v>
      </c>
      <c r="AI57" s="253">
        <v>68240.799999999988</v>
      </c>
    </row>
    <row r="58" spans="1:35" x14ac:dyDescent="0.2">
      <c r="A58" s="9" t="s">
        <v>19</v>
      </c>
      <c r="B58" s="249">
        <v>29</v>
      </c>
      <c r="C58" s="247">
        <f>38642.5/B58</f>
        <v>1332.5</v>
      </c>
      <c r="D58" s="3"/>
      <c r="E58" s="3"/>
      <c r="F58" s="3"/>
      <c r="G58" s="3"/>
      <c r="H58" s="3"/>
      <c r="I58" s="3"/>
      <c r="J58" s="3"/>
      <c r="K58" s="250">
        <f t="shared" si="43"/>
        <v>1332.5</v>
      </c>
      <c r="L58" s="250">
        <v>1000</v>
      </c>
      <c r="M58" s="3"/>
      <c r="N58" s="251">
        <f t="shared" si="37"/>
        <v>1000</v>
      </c>
      <c r="O58" s="252">
        <f t="shared" si="44"/>
        <v>16990</v>
      </c>
      <c r="P58" s="253">
        <f t="shared" si="39"/>
        <v>492710</v>
      </c>
      <c r="Q58" s="5">
        <v>29</v>
      </c>
      <c r="R58" s="247">
        <f>38642.5/Q58</f>
        <v>1332.5</v>
      </c>
      <c r="S58" s="3"/>
      <c r="T58" s="3"/>
      <c r="U58" s="3"/>
      <c r="V58" s="3"/>
      <c r="W58" s="3"/>
      <c r="X58" s="3"/>
      <c r="Y58" s="3"/>
      <c r="Z58" s="247">
        <f t="shared" si="6"/>
        <v>1332.5</v>
      </c>
      <c r="AA58" s="247">
        <v>1000</v>
      </c>
      <c r="AB58" s="3"/>
      <c r="AC58" s="254">
        <f t="shared" si="40"/>
        <v>1000</v>
      </c>
      <c r="AD58" s="255">
        <f t="shared" si="41"/>
        <v>16990</v>
      </c>
      <c r="AE58" s="253">
        <f t="shared" si="42"/>
        <v>492710</v>
      </c>
      <c r="AF58" s="248">
        <f t="shared" si="2"/>
        <v>0</v>
      </c>
      <c r="AG58" s="248">
        <f t="shared" si="2"/>
        <v>0</v>
      </c>
      <c r="AH58" s="5">
        <v>29</v>
      </c>
      <c r="AI58" s="253">
        <v>492710</v>
      </c>
    </row>
    <row r="59" spans="1:35" x14ac:dyDescent="0.2">
      <c r="A59" s="9" t="s">
        <v>569</v>
      </c>
      <c r="B59" s="249">
        <v>8</v>
      </c>
      <c r="C59" s="247">
        <f>10613.2/B59</f>
        <v>1326.65</v>
      </c>
      <c r="D59" s="3"/>
      <c r="E59" s="3"/>
      <c r="F59" s="3"/>
      <c r="G59" s="3"/>
      <c r="H59" s="3"/>
      <c r="I59" s="3"/>
      <c r="J59" s="3"/>
      <c r="K59" s="250">
        <f t="shared" si="43"/>
        <v>1326.65</v>
      </c>
      <c r="L59" s="250">
        <v>1000</v>
      </c>
      <c r="M59" s="3"/>
      <c r="N59" s="251">
        <f t="shared" si="37"/>
        <v>1000</v>
      </c>
      <c r="O59" s="252">
        <f t="shared" si="44"/>
        <v>16919.800000000003</v>
      </c>
      <c r="P59" s="253">
        <f t="shared" si="39"/>
        <v>135358.40000000002</v>
      </c>
      <c r="Q59" s="5">
        <v>15</v>
      </c>
      <c r="R59" s="247">
        <f>19899.75/Q59</f>
        <v>1326.65</v>
      </c>
      <c r="S59" s="3"/>
      <c r="T59" s="3"/>
      <c r="U59" s="3"/>
      <c r="V59" s="3"/>
      <c r="W59" s="3"/>
      <c r="X59" s="3"/>
      <c r="Y59" s="3"/>
      <c r="Z59" s="247">
        <f t="shared" si="6"/>
        <v>1326.65</v>
      </c>
      <c r="AA59" s="247">
        <v>1000</v>
      </c>
      <c r="AB59" s="3"/>
      <c r="AC59" s="254">
        <f t="shared" si="40"/>
        <v>1000</v>
      </c>
      <c r="AD59" s="255">
        <f t="shared" si="41"/>
        <v>16919.800000000003</v>
      </c>
      <c r="AE59" s="253">
        <f t="shared" si="42"/>
        <v>253797.00000000006</v>
      </c>
      <c r="AF59" s="248">
        <f t="shared" si="2"/>
        <v>0</v>
      </c>
      <c r="AG59" s="248">
        <f t="shared" si="2"/>
        <v>-118438.60000000003</v>
      </c>
      <c r="AH59" s="5">
        <v>15</v>
      </c>
      <c r="AI59" s="253">
        <v>253797.00000000006</v>
      </c>
    </row>
    <row r="60" spans="1:35" x14ac:dyDescent="0.2">
      <c r="A60" s="9"/>
      <c r="B60" s="5"/>
      <c r="C60" s="3"/>
      <c r="D60" s="3"/>
      <c r="E60" s="3"/>
      <c r="F60" s="3"/>
      <c r="G60" s="3"/>
      <c r="H60" s="3"/>
      <c r="I60" s="3"/>
      <c r="J60" s="3"/>
      <c r="K60" s="3"/>
      <c r="L60" s="3"/>
      <c r="M60" s="3"/>
      <c r="O60" s="23"/>
      <c r="P60" s="6"/>
      <c r="Q60" s="5"/>
      <c r="R60" s="247"/>
      <c r="S60" s="3"/>
      <c r="T60" s="3"/>
      <c r="U60" s="3"/>
      <c r="V60" s="3"/>
      <c r="W60" s="3"/>
      <c r="X60" s="3"/>
      <c r="Y60" s="3"/>
      <c r="Z60" s="247"/>
      <c r="AA60" s="247"/>
      <c r="AB60" s="3"/>
      <c r="AD60" s="255"/>
      <c r="AE60" s="253"/>
      <c r="AF60" s="248">
        <f t="shared" si="2"/>
        <v>0</v>
      </c>
      <c r="AG60" s="248">
        <f t="shared" si="2"/>
        <v>0</v>
      </c>
      <c r="AH60" s="5"/>
      <c r="AI60" s="253"/>
    </row>
    <row r="61" spans="1:35" x14ac:dyDescent="0.2">
      <c r="A61" s="10" t="s">
        <v>571</v>
      </c>
      <c r="B61" s="244">
        <f>SUM(B63:B92)</f>
        <v>852</v>
      </c>
      <c r="C61" s="245">
        <f t="shared" ref="C61:AE61" si="45">SUM(C63:C92)</f>
        <v>89204.26980447433</v>
      </c>
      <c r="D61" s="245">
        <f t="shared" si="45"/>
        <v>0</v>
      </c>
      <c r="E61" s="245">
        <f t="shared" si="45"/>
        <v>0</v>
      </c>
      <c r="F61" s="245">
        <f t="shared" si="45"/>
        <v>0</v>
      </c>
      <c r="G61" s="245">
        <f t="shared" si="45"/>
        <v>0</v>
      </c>
      <c r="H61" s="245">
        <f t="shared" si="45"/>
        <v>0</v>
      </c>
      <c r="I61" s="245">
        <f t="shared" si="45"/>
        <v>0</v>
      </c>
      <c r="J61" s="245">
        <f t="shared" si="45"/>
        <v>0</v>
      </c>
      <c r="K61" s="245">
        <f t="shared" si="45"/>
        <v>89204.26980447433</v>
      </c>
      <c r="L61" s="245">
        <f t="shared" si="45"/>
        <v>29000</v>
      </c>
      <c r="M61" s="245">
        <f t="shared" si="45"/>
        <v>0</v>
      </c>
      <c r="N61" s="245">
        <f t="shared" si="45"/>
        <v>29000</v>
      </c>
      <c r="O61" s="245">
        <f t="shared" si="45"/>
        <v>1099451.237653692</v>
      </c>
      <c r="P61" s="245">
        <f t="shared" si="45"/>
        <v>29300127.239999998</v>
      </c>
      <c r="Q61" s="244">
        <f>SUM(Q63:Q92)</f>
        <v>869</v>
      </c>
      <c r="R61" s="245">
        <f t="shared" si="45"/>
        <v>89879.560974401844</v>
      </c>
      <c r="S61" s="245">
        <f t="shared" si="45"/>
        <v>0</v>
      </c>
      <c r="T61" s="245">
        <f t="shared" si="45"/>
        <v>0</v>
      </c>
      <c r="U61" s="245">
        <f t="shared" si="45"/>
        <v>0</v>
      </c>
      <c r="V61" s="245">
        <f t="shared" si="45"/>
        <v>0</v>
      </c>
      <c r="W61" s="245">
        <f t="shared" si="45"/>
        <v>0</v>
      </c>
      <c r="X61" s="245">
        <f t="shared" si="45"/>
        <v>0</v>
      </c>
      <c r="Y61" s="245">
        <f t="shared" si="45"/>
        <v>0</v>
      </c>
      <c r="Z61" s="245">
        <f t="shared" si="45"/>
        <v>89879.560974401844</v>
      </c>
      <c r="AA61" s="245">
        <f t="shared" si="45"/>
        <v>30000</v>
      </c>
      <c r="AB61" s="245">
        <f t="shared" si="45"/>
        <v>0</v>
      </c>
      <c r="AC61" s="245">
        <f t="shared" si="45"/>
        <v>30000</v>
      </c>
      <c r="AD61" s="245">
        <f t="shared" si="45"/>
        <v>1108554.731692822</v>
      </c>
      <c r="AE61" s="245">
        <f t="shared" si="45"/>
        <v>29831453</v>
      </c>
      <c r="AF61" s="246">
        <f t="shared" si="2"/>
        <v>-9103.4940391299315</v>
      </c>
      <c r="AG61" s="246">
        <f t="shared" si="2"/>
        <v>-531325.76000000164</v>
      </c>
      <c r="AH61" s="244">
        <f>SUM(AH63:AH92)</f>
        <v>869</v>
      </c>
      <c r="AI61" s="245">
        <v>29831453</v>
      </c>
    </row>
    <row r="62" spans="1:35" x14ac:dyDescent="0.2">
      <c r="A62" s="9"/>
      <c r="B62" s="5"/>
      <c r="C62" s="3"/>
      <c r="D62" s="3"/>
      <c r="E62" s="3"/>
      <c r="F62" s="3"/>
      <c r="G62" s="3"/>
      <c r="H62" s="3"/>
      <c r="I62" s="3"/>
      <c r="J62" s="3"/>
      <c r="K62" s="3"/>
      <c r="L62" s="3"/>
      <c r="M62" s="3"/>
      <c r="O62" s="23"/>
      <c r="P62" s="6"/>
      <c r="Q62" s="5"/>
      <c r="R62" s="247"/>
      <c r="S62" s="3"/>
      <c r="T62" s="3"/>
      <c r="U62" s="3"/>
      <c r="V62" s="3"/>
      <c r="W62" s="3"/>
      <c r="X62" s="3"/>
      <c r="Y62" s="3"/>
      <c r="Z62" s="247"/>
      <c r="AA62" s="247"/>
      <c r="AB62" s="3"/>
      <c r="AD62" s="255"/>
      <c r="AE62" s="253"/>
      <c r="AF62" s="248">
        <f t="shared" si="2"/>
        <v>0</v>
      </c>
      <c r="AG62" s="248">
        <f t="shared" si="2"/>
        <v>0</v>
      </c>
      <c r="AH62" s="5"/>
      <c r="AI62" s="253"/>
    </row>
    <row r="63" spans="1:35" x14ac:dyDescent="0.2">
      <c r="A63" s="9" t="s">
        <v>572</v>
      </c>
      <c r="B63" s="249">
        <v>26</v>
      </c>
      <c r="C63" s="247">
        <f>130335.4/B63</f>
        <v>5012.8999999999996</v>
      </c>
      <c r="D63" s="3"/>
      <c r="E63" s="3"/>
      <c r="F63" s="3"/>
      <c r="G63" s="3"/>
      <c r="H63" s="3"/>
      <c r="I63" s="3"/>
      <c r="J63" s="3"/>
      <c r="K63" s="250">
        <f t="shared" ref="K63:K72" si="46">SUM(C63:J63)</f>
        <v>5012.8999999999996</v>
      </c>
      <c r="L63" s="250">
        <v>1000</v>
      </c>
      <c r="M63" s="3"/>
      <c r="N63" s="251">
        <f t="shared" ref="N63:N72" si="47">SUM(L63:M63)</f>
        <v>1000</v>
      </c>
      <c r="O63" s="252">
        <f t="shared" ref="O63:O84" si="48">(K63*12)+N63</f>
        <v>61154.799999999996</v>
      </c>
      <c r="P63" s="253">
        <f t="shared" ref="P63:P70" si="49">+O63*B63</f>
        <v>1590024.7999999998</v>
      </c>
      <c r="Q63" s="5">
        <v>26</v>
      </c>
      <c r="R63" s="247">
        <f>130530.4/Q63</f>
        <v>5020.3999999999996</v>
      </c>
      <c r="S63" s="3"/>
      <c r="T63" s="3"/>
      <c r="U63" s="3"/>
      <c r="V63" s="3"/>
      <c r="W63" s="3"/>
      <c r="X63" s="3"/>
      <c r="Y63" s="3"/>
      <c r="Z63" s="247">
        <f t="shared" si="6"/>
        <v>5020.3999999999996</v>
      </c>
      <c r="AA63" s="247">
        <v>1000</v>
      </c>
      <c r="AB63" s="3"/>
      <c r="AC63" s="254">
        <f t="shared" ref="AC63:AC92" si="50">SUM(AA63:AB63)</f>
        <v>1000</v>
      </c>
      <c r="AD63" s="255">
        <f t="shared" ref="AD63:AD92" si="51">+(Z63*12)+AC63</f>
        <v>61244.799999999996</v>
      </c>
      <c r="AE63" s="253">
        <f t="shared" ref="AE63:AE92" si="52">+AD63*Q63</f>
        <v>1592364.7999999998</v>
      </c>
      <c r="AF63" s="248">
        <f t="shared" si="2"/>
        <v>-90</v>
      </c>
      <c r="AG63" s="248">
        <f t="shared" si="2"/>
        <v>-2340</v>
      </c>
      <c r="AH63" s="5">
        <v>26</v>
      </c>
      <c r="AI63" s="253">
        <v>1592364.7999999998</v>
      </c>
    </row>
    <row r="64" spans="1:35" x14ac:dyDescent="0.2">
      <c r="A64" s="9" t="s">
        <v>573</v>
      </c>
      <c r="B64" s="249">
        <v>2</v>
      </c>
      <c r="C64" s="247">
        <f>9133.8/B64</f>
        <v>4566.8999999999996</v>
      </c>
      <c r="D64" s="3"/>
      <c r="E64" s="3"/>
      <c r="F64" s="3"/>
      <c r="G64" s="3"/>
      <c r="H64" s="3"/>
      <c r="I64" s="3"/>
      <c r="J64" s="3"/>
      <c r="K64" s="250">
        <f t="shared" si="46"/>
        <v>4566.8999999999996</v>
      </c>
      <c r="L64" s="250">
        <v>1000</v>
      </c>
      <c r="M64" s="3"/>
      <c r="N64" s="251">
        <f t="shared" si="47"/>
        <v>1000</v>
      </c>
      <c r="O64" s="252">
        <f t="shared" si="48"/>
        <v>55802.799999999996</v>
      </c>
      <c r="P64" s="253">
        <f t="shared" si="49"/>
        <v>111605.59999999999</v>
      </c>
      <c r="Q64" s="5">
        <v>2</v>
      </c>
      <c r="R64" s="247">
        <f>9133.8/Q64</f>
        <v>4566.8999999999996</v>
      </c>
      <c r="S64" s="3"/>
      <c r="T64" s="3"/>
      <c r="U64" s="3"/>
      <c r="V64" s="3"/>
      <c r="W64" s="3"/>
      <c r="X64" s="3"/>
      <c r="Y64" s="3"/>
      <c r="Z64" s="247">
        <f t="shared" si="6"/>
        <v>4566.8999999999996</v>
      </c>
      <c r="AA64" s="247">
        <v>1000</v>
      </c>
      <c r="AB64" s="3"/>
      <c r="AC64" s="254">
        <f t="shared" si="50"/>
        <v>1000</v>
      </c>
      <c r="AD64" s="255">
        <f t="shared" si="51"/>
        <v>55802.799999999996</v>
      </c>
      <c r="AE64" s="253">
        <f t="shared" si="52"/>
        <v>111605.59999999999</v>
      </c>
      <c r="AF64" s="248">
        <f t="shared" si="2"/>
        <v>0</v>
      </c>
      <c r="AG64" s="248">
        <f t="shared" si="2"/>
        <v>0</v>
      </c>
      <c r="AH64" s="5">
        <v>2</v>
      </c>
      <c r="AI64" s="253">
        <v>111605.59999999999</v>
      </c>
    </row>
    <row r="65" spans="1:35" x14ac:dyDescent="0.2">
      <c r="A65" s="9" t="s">
        <v>574</v>
      </c>
      <c r="B65" s="249">
        <v>15</v>
      </c>
      <c r="C65" s="247">
        <f>63596/B65</f>
        <v>4239.7333333333336</v>
      </c>
      <c r="D65" s="3"/>
      <c r="E65" s="3"/>
      <c r="F65" s="3"/>
      <c r="G65" s="3"/>
      <c r="H65" s="3"/>
      <c r="I65" s="3"/>
      <c r="J65" s="3"/>
      <c r="K65" s="250">
        <f t="shared" si="46"/>
        <v>4239.7333333333336</v>
      </c>
      <c r="L65" s="250">
        <v>1000</v>
      </c>
      <c r="M65" s="3"/>
      <c r="N65" s="251">
        <f t="shared" si="47"/>
        <v>1000</v>
      </c>
      <c r="O65" s="252">
        <f t="shared" si="48"/>
        <v>51876.800000000003</v>
      </c>
      <c r="P65" s="253">
        <f t="shared" si="49"/>
        <v>778152</v>
      </c>
      <c r="Q65" s="5">
        <v>15</v>
      </c>
      <c r="R65" s="247">
        <f>64571/Q65</f>
        <v>4304.7333333333336</v>
      </c>
      <c r="S65" s="3"/>
      <c r="T65" s="3"/>
      <c r="U65" s="3"/>
      <c r="V65" s="3"/>
      <c r="W65" s="3"/>
      <c r="X65" s="3"/>
      <c r="Y65" s="3"/>
      <c r="Z65" s="247">
        <f t="shared" si="6"/>
        <v>4304.7333333333336</v>
      </c>
      <c r="AA65" s="247">
        <v>1000</v>
      </c>
      <c r="AB65" s="3"/>
      <c r="AC65" s="254">
        <f t="shared" si="50"/>
        <v>1000</v>
      </c>
      <c r="AD65" s="255">
        <f t="shared" si="51"/>
        <v>52656.800000000003</v>
      </c>
      <c r="AE65" s="253">
        <f t="shared" si="52"/>
        <v>789852</v>
      </c>
      <c r="AF65" s="248">
        <f t="shared" si="2"/>
        <v>-780</v>
      </c>
      <c r="AG65" s="248">
        <f t="shared" si="2"/>
        <v>-11700</v>
      </c>
      <c r="AH65" s="5">
        <v>15</v>
      </c>
      <c r="AI65" s="253">
        <v>789852</v>
      </c>
    </row>
    <row r="66" spans="1:35" x14ac:dyDescent="0.2">
      <c r="A66" s="9" t="s">
        <v>575</v>
      </c>
      <c r="B66" s="249">
        <v>24</v>
      </c>
      <c r="C66" s="247">
        <f>96309.2/B66</f>
        <v>4012.8833333333332</v>
      </c>
      <c r="D66" s="3"/>
      <c r="E66" s="3"/>
      <c r="F66" s="3"/>
      <c r="G66" s="3"/>
      <c r="H66" s="3"/>
      <c r="I66" s="3"/>
      <c r="J66" s="3"/>
      <c r="K66" s="250">
        <f t="shared" si="46"/>
        <v>4012.8833333333332</v>
      </c>
      <c r="L66" s="250">
        <v>1000</v>
      </c>
      <c r="M66" s="3"/>
      <c r="N66" s="251">
        <f t="shared" si="47"/>
        <v>1000</v>
      </c>
      <c r="O66" s="252">
        <f t="shared" si="48"/>
        <v>49154.6</v>
      </c>
      <c r="P66" s="253">
        <f t="shared" si="49"/>
        <v>1179710.3999999999</v>
      </c>
      <c r="Q66" s="5">
        <v>24</v>
      </c>
      <c r="R66" s="247">
        <f>96894.2/Q66</f>
        <v>4037.2583333333332</v>
      </c>
      <c r="S66" s="3"/>
      <c r="T66" s="3"/>
      <c r="U66" s="3"/>
      <c r="V66" s="3"/>
      <c r="W66" s="3"/>
      <c r="X66" s="3"/>
      <c r="Y66" s="3"/>
      <c r="Z66" s="247">
        <f t="shared" si="6"/>
        <v>4037.2583333333332</v>
      </c>
      <c r="AA66" s="247">
        <v>1000</v>
      </c>
      <c r="AB66" s="3"/>
      <c r="AC66" s="254">
        <f t="shared" si="50"/>
        <v>1000</v>
      </c>
      <c r="AD66" s="255">
        <f t="shared" si="51"/>
        <v>49447.1</v>
      </c>
      <c r="AE66" s="253">
        <f t="shared" si="52"/>
        <v>1186730.3999999999</v>
      </c>
      <c r="AF66" s="248">
        <f t="shared" si="2"/>
        <v>-292.5</v>
      </c>
      <c r="AG66" s="248">
        <f t="shared" si="2"/>
        <v>-7020</v>
      </c>
      <c r="AH66" s="5">
        <v>24</v>
      </c>
      <c r="AI66" s="253">
        <v>1186730.3999999999</v>
      </c>
    </row>
    <row r="67" spans="1:35" x14ac:dyDescent="0.2">
      <c r="A67" s="9" t="s">
        <v>576</v>
      </c>
      <c r="B67" s="249">
        <v>97</v>
      </c>
      <c r="C67" s="247">
        <f>365952.6/B67</f>
        <v>3772.7072164948449</v>
      </c>
      <c r="D67" s="3"/>
      <c r="E67" s="3"/>
      <c r="F67" s="3"/>
      <c r="G67" s="3"/>
      <c r="H67" s="3"/>
      <c r="I67" s="3"/>
      <c r="J67" s="3"/>
      <c r="K67" s="250">
        <f t="shared" si="46"/>
        <v>3772.7072164948449</v>
      </c>
      <c r="L67" s="250">
        <v>1000</v>
      </c>
      <c r="M67" s="3"/>
      <c r="N67" s="251">
        <f t="shared" si="47"/>
        <v>1000</v>
      </c>
      <c r="O67" s="252">
        <f t="shared" si="48"/>
        <v>46272.486597938143</v>
      </c>
      <c r="P67" s="253">
        <f t="shared" si="49"/>
        <v>4488431.2</v>
      </c>
      <c r="Q67" s="5">
        <v>99</v>
      </c>
      <c r="R67" s="247">
        <f>373534.2/Q67</f>
        <v>3773.0727272727272</v>
      </c>
      <c r="S67" s="3"/>
      <c r="T67" s="3"/>
      <c r="U67" s="3"/>
      <c r="V67" s="3"/>
      <c r="W67" s="3"/>
      <c r="X67" s="3"/>
      <c r="Y67" s="3"/>
      <c r="Z67" s="247">
        <f t="shared" si="6"/>
        <v>3773.0727272727272</v>
      </c>
      <c r="AA67" s="247">
        <v>1000</v>
      </c>
      <c r="AB67" s="3"/>
      <c r="AC67" s="254">
        <f t="shared" si="50"/>
        <v>1000</v>
      </c>
      <c r="AD67" s="255">
        <f t="shared" si="51"/>
        <v>46276.872727272726</v>
      </c>
      <c r="AE67" s="253">
        <f t="shared" si="52"/>
        <v>4581410.4000000004</v>
      </c>
      <c r="AF67" s="248">
        <f t="shared" si="2"/>
        <v>-4.3861293345835293</v>
      </c>
      <c r="AG67" s="248">
        <f t="shared" si="2"/>
        <v>-92979.200000000186</v>
      </c>
      <c r="AH67" s="5">
        <v>99</v>
      </c>
      <c r="AI67" s="253">
        <v>4581410.4000000004</v>
      </c>
    </row>
    <row r="68" spans="1:35" x14ac:dyDescent="0.2">
      <c r="A68" s="9" t="s">
        <v>577</v>
      </c>
      <c r="B68" s="249">
        <v>7</v>
      </c>
      <c r="C68" s="247">
        <v>2980.43</v>
      </c>
      <c r="D68" s="3"/>
      <c r="E68" s="3"/>
      <c r="F68" s="3"/>
      <c r="G68" s="3"/>
      <c r="H68" s="3"/>
      <c r="I68" s="3"/>
      <c r="J68" s="3"/>
      <c r="K68" s="250">
        <f t="shared" si="46"/>
        <v>2980.43</v>
      </c>
      <c r="L68" s="250">
        <v>1000</v>
      </c>
      <c r="M68" s="3"/>
      <c r="N68" s="251">
        <f t="shared" si="47"/>
        <v>1000</v>
      </c>
      <c r="O68" s="252">
        <f t="shared" si="48"/>
        <v>36765.159999999996</v>
      </c>
      <c r="P68" s="253">
        <f t="shared" si="49"/>
        <v>257356.11999999997</v>
      </c>
      <c r="Q68" s="5">
        <v>7</v>
      </c>
      <c r="R68" s="247">
        <f>20863.05/Q68</f>
        <v>2980.4357142857143</v>
      </c>
      <c r="S68" s="3"/>
      <c r="T68" s="3"/>
      <c r="U68" s="3"/>
      <c r="V68" s="3"/>
      <c r="W68" s="3"/>
      <c r="X68" s="3"/>
      <c r="Y68" s="3"/>
      <c r="Z68" s="247">
        <f t="shared" si="6"/>
        <v>2980.4357142857143</v>
      </c>
      <c r="AA68" s="247">
        <v>1000</v>
      </c>
      <c r="AB68" s="3"/>
      <c r="AC68" s="254">
        <f t="shared" si="50"/>
        <v>1000</v>
      </c>
      <c r="AD68" s="255">
        <f t="shared" si="51"/>
        <v>36765.228571428568</v>
      </c>
      <c r="AE68" s="253">
        <f t="shared" si="52"/>
        <v>257356.59999999998</v>
      </c>
      <c r="AF68" s="248">
        <f t="shared" si="2"/>
        <v>-6.8571428571885917E-2</v>
      </c>
      <c r="AG68" s="248">
        <f t="shared" si="2"/>
        <v>-0.48000000001047738</v>
      </c>
      <c r="AH68" s="5">
        <v>7</v>
      </c>
      <c r="AI68" s="253">
        <v>257356.59999999998</v>
      </c>
    </row>
    <row r="69" spans="1:35" x14ac:dyDescent="0.2">
      <c r="A69" s="9" t="s">
        <v>578</v>
      </c>
      <c r="B69" s="249">
        <v>2</v>
      </c>
      <c r="C69" s="247">
        <v>2795</v>
      </c>
      <c r="D69" s="3"/>
      <c r="E69" s="3"/>
      <c r="F69" s="3"/>
      <c r="G69" s="3"/>
      <c r="H69" s="3"/>
      <c r="I69" s="3"/>
      <c r="J69" s="3"/>
      <c r="K69" s="250">
        <f t="shared" si="46"/>
        <v>2795</v>
      </c>
      <c r="L69" s="250">
        <v>1000</v>
      </c>
      <c r="M69" s="3"/>
      <c r="N69" s="251">
        <f t="shared" si="47"/>
        <v>1000</v>
      </c>
      <c r="O69" s="252">
        <f t="shared" si="48"/>
        <v>34540</v>
      </c>
      <c r="P69" s="253">
        <f t="shared" si="49"/>
        <v>69080</v>
      </c>
      <c r="Q69" s="5">
        <v>2</v>
      </c>
      <c r="R69" s="247">
        <f>5590/Q69</f>
        <v>2795</v>
      </c>
      <c r="S69" s="3"/>
      <c r="T69" s="3"/>
      <c r="U69" s="3"/>
      <c r="V69" s="3"/>
      <c r="W69" s="3"/>
      <c r="X69" s="3"/>
      <c r="Y69" s="3"/>
      <c r="Z69" s="247">
        <f t="shared" si="6"/>
        <v>2795</v>
      </c>
      <c r="AA69" s="247">
        <v>1000</v>
      </c>
      <c r="AB69" s="3"/>
      <c r="AC69" s="254">
        <f t="shared" si="50"/>
        <v>1000</v>
      </c>
      <c r="AD69" s="255">
        <f t="shared" si="51"/>
        <v>34540</v>
      </c>
      <c r="AE69" s="253">
        <f t="shared" si="52"/>
        <v>69080</v>
      </c>
      <c r="AF69" s="248">
        <f t="shared" si="2"/>
        <v>0</v>
      </c>
      <c r="AG69" s="248">
        <f t="shared" si="2"/>
        <v>0</v>
      </c>
      <c r="AH69" s="5">
        <v>2</v>
      </c>
      <c r="AI69" s="253">
        <v>69080</v>
      </c>
    </row>
    <row r="70" spans="1:35" x14ac:dyDescent="0.2">
      <c r="A70" s="9" t="s">
        <v>579</v>
      </c>
      <c r="B70" s="249">
        <v>7</v>
      </c>
      <c r="C70" s="247">
        <v>2666.85</v>
      </c>
      <c r="D70" s="3"/>
      <c r="E70" s="3"/>
      <c r="F70" s="3"/>
      <c r="G70" s="3"/>
      <c r="H70" s="3"/>
      <c r="I70" s="3"/>
      <c r="J70" s="3"/>
      <c r="K70" s="250">
        <f t="shared" si="46"/>
        <v>2666.85</v>
      </c>
      <c r="L70" s="250">
        <v>1000</v>
      </c>
      <c r="M70" s="3"/>
      <c r="N70" s="251">
        <f t="shared" si="47"/>
        <v>1000</v>
      </c>
      <c r="O70" s="252">
        <f t="shared" si="48"/>
        <v>33002.199999999997</v>
      </c>
      <c r="P70" s="253">
        <f t="shared" si="49"/>
        <v>231015.39999999997</v>
      </c>
      <c r="Q70" s="5">
        <v>7</v>
      </c>
      <c r="R70" s="247">
        <f>18668/Q70</f>
        <v>2666.8571428571427</v>
      </c>
      <c r="S70" s="3"/>
      <c r="T70" s="3"/>
      <c r="U70" s="3"/>
      <c r="V70" s="3"/>
      <c r="W70" s="3"/>
      <c r="X70" s="3"/>
      <c r="Y70" s="3"/>
      <c r="Z70" s="247">
        <f t="shared" si="6"/>
        <v>2666.8571428571427</v>
      </c>
      <c r="AA70" s="247">
        <v>1000</v>
      </c>
      <c r="AB70" s="3"/>
      <c r="AC70" s="254">
        <f t="shared" si="50"/>
        <v>1000</v>
      </c>
      <c r="AD70" s="255">
        <f t="shared" si="51"/>
        <v>33002.28571428571</v>
      </c>
      <c r="AE70" s="253">
        <f t="shared" si="52"/>
        <v>231015.99999999997</v>
      </c>
      <c r="AF70" s="248">
        <f t="shared" si="2"/>
        <v>-8.5714285713038407E-2</v>
      </c>
      <c r="AG70" s="248">
        <f t="shared" si="2"/>
        <v>-0.60000000000582077</v>
      </c>
      <c r="AH70" s="5">
        <v>7</v>
      </c>
      <c r="AI70" s="253">
        <v>231015.99999999997</v>
      </c>
    </row>
    <row r="71" spans="1:35" x14ac:dyDescent="0.2">
      <c r="A71" s="9" t="s">
        <v>580</v>
      </c>
      <c r="B71" s="249">
        <v>24</v>
      </c>
      <c r="C71" s="247">
        <v>2268.39</v>
      </c>
      <c r="D71" s="3"/>
      <c r="E71" s="3"/>
      <c r="F71" s="3"/>
      <c r="G71" s="3"/>
      <c r="H71" s="3"/>
      <c r="I71" s="3"/>
      <c r="J71" s="3"/>
      <c r="K71" s="250">
        <f t="shared" si="46"/>
        <v>2268.39</v>
      </c>
      <c r="L71" s="250">
        <v>1000</v>
      </c>
      <c r="M71" s="3"/>
      <c r="N71" s="251">
        <f t="shared" si="47"/>
        <v>1000</v>
      </c>
      <c r="O71" s="252">
        <f t="shared" si="48"/>
        <v>28220.68</v>
      </c>
      <c r="P71" s="253">
        <f>+O71*B71</f>
        <v>677296.32000000007</v>
      </c>
      <c r="Q71" s="5">
        <v>24</v>
      </c>
      <c r="R71" s="247">
        <f>55416.4/Q71</f>
        <v>2309.0166666666669</v>
      </c>
      <c r="S71" s="3"/>
      <c r="T71" s="3"/>
      <c r="U71" s="3"/>
      <c r="V71" s="3"/>
      <c r="W71" s="3"/>
      <c r="X71" s="3"/>
      <c r="Y71" s="3"/>
      <c r="Z71" s="247">
        <f t="shared" si="6"/>
        <v>2309.0166666666669</v>
      </c>
      <c r="AA71" s="247">
        <v>1000</v>
      </c>
      <c r="AB71" s="3"/>
      <c r="AC71" s="254">
        <f t="shared" si="50"/>
        <v>1000</v>
      </c>
      <c r="AD71" s="255">
        <f t="shared" si="51"/>
        <v>28708.200000000004</v>
      </c>
      <c r="AE71" s="253">
        <f t="shared" si="52"/>
        <v>688996.8</v>
      </c>
      <c r="AF71" s="248">
        <f t="shared" si="2"/>
        <v>-487.52000000000407</v>
      </c>
      <c r="AG71" s="248">
        <f t="shared" si="2"/>
        <v>-11700.479999999981</v>
      </c>
      <c r="AH71" s="5">
        <v>24</v>
      </c>
      <c r="AI71" s="253">
        <v>688996.8</v>
      </c>
    </row>
    <row r="72" spans="1:35" x14ac:dyDescent="0.2">
      <c r="A72" s="9" t="s">
        <v>581</v>
      </c>
      <c r="B72" s="249">
        <v>17</v>
      </c>
      <c r="C72" s="247">
        <f>51224.55/B72</f>
        <v>3013.2088235294118</v>
      </c>
      <c r="D72" s="3"/>
      <c r="E72" s="3"/>
      <c r="F72" s="3"/>
      <c r="G72" s="3"/>
      <c r="H72" s="3"/>
      <c r="I72" s="3"/>
      <c r="J72" s="3"/>
      <c r="K72" s="250">
        <f t="shared" si="46"/>
        <v>3013.2088235294118</v>
      </c>
      <c r="L72" s="250">
        <v>1000</v>
      </c>
      <c r="M72" s="3"/>
      <c r="N72" s="251">
        <f t="shared" si="47"/>
        <v>1000</v>
      </c>
      <c r="O72" s="252">
        <f t="shared" si="48"/>
        <v>37158.50588235294</v>
      </c>
      <c r="P72" s="253">
        <f t="shared" ref="P72:P84" si="53">+O72*B72</f>
        <v>631694.6</v>
      </c>
      <c r="Q72" s="5">
        <v>17</v>
      </c>
      <c r="R72" s="247">
        <f>51224.55/Q72</f>
        <v>3013.2088235294118</v>
      </c>
      <c r="S72" s="3"/>
      <c r="T72" s="3"/>
      <c r="U72" s="3"/>
      <c r="V72" s="3"/>
      <c r="W72" s="3"/>
      <c r="X72" s="3"/>
      <c r="Y72" s="3"/>
      <c r="Z72" s="247">
        <f t="shared" si="6"/>
        <v>3013.2088235294118</v>
      </c>
      <c r="AA72" s="247">
        <v>1000</v>
      </c>
      <c r="AB72" s="3"/>
      <c r="AC72" s="254">
        <f t="shared" si="50"/>
        <v>1000</v>
      </c>
      <c r="AD72" s="255">
        <f t="shared" si="51"/>
        <v>37158.50588235294</v>
      </c>
      <c r="AE72" s="253">
        <f t="shared" si="52"/>
        <v>631694.6</v>
      </c>
      <c r="AF72" s="248">
        <f t="shared" si="2"/>
        <v>0</v>
      </c>
      <c r="AG72" s="248">
        <f t="shared" si="2"/>
        <v>0</v>
      </c>
      <c r="AH72" s="5">
        <v>17</v>
      </c>
      <c r="AI72" s="253">
        <v>631694.6</v>
      </c>
    </row>
    <row r="73" spans="1:35" x14ac:dyDescent="0.2">
      <c r="A73" s="9" t="s">
        <v>582</v>
      </c>
      <c r="B73" s="249">
        <v>6</v>
      </c>
      <c r="C73" s="247">
        <f>18166.2/B73</f>
        <v>3027.7000000000003</v>
      </c>
      <c r="D73" s="3"/>
      <c r="E73" s="3"/>
      <c r="F73" s="3"/>
      <c r="G73" s="3"/>
      <c r="H73" s="3"/>
      <c r="I73" s="3"/>
      <c r="J73" s="3"/>
      <c r="K73" s="250">
        <f t="shared" ref="K73" si="54">SUM(C73:J73)</f>
        <v>3027.7000000000003</v>
      </c>
      <c r="L73" s="250">
        <v>1000</v>
      </c>
      <c r="M73" s="3"/>
      <c r="N73" s="251">
        <f t="shared" ref="N73" si="55">SUM(L73:M73)</f>
        <v>1000</v>
      </c>
      <c r="O73" s="252">
        <f t="shared" si="48"/>
        <v>37332.400000000001</v>
      </c>
      <c r="P73" s="253">
        <f t="shared" si="53"/>
        <v>223994.40000000002</v>
      </c>
      <c r="Q73" s="5">
        <v>6</v>
      </c>
      <c r="R73" s="247">
        <f>18166.2/Q73</f>
        <v>3027.7000000000003</v>
      </c>
      <c r="S73" s="3"/>
      <c r="T73" s="3"/>
      <c r="U73" s="3"/>
      <c r="V73" s="3"/>
      <c r="W73" s="3"/>
      <c r="X73" s="3"/>
      <c r="Y73" s="3"/>
      <c r="Z73" s="247">
        <f t="shared" si="6"/>
        <v>3027.7000000000003</v>
      </c>
      <c r="AA73" s="247">
        <v>1000</v>
      </c>
      <c r="AB73" s="3"/>
      <c r="AC73" s="254">
        <f t="shared" si="50"/>
        <v>1000</v>
      </c>
      <c r="AD73" s="255">
        <f t="shared" si="51"/>
        <v>37332.400000000001</v>
      </c>
      <c r="AE73" s="253">
        <f t="shared" si="52"/>
        <v>223994.40000000002</v>
      </c>
      <c r="AF73" s="248">
        <f t="shared" ref="AF73:AG136" si="56">+O73-AD73</f>
        <v>0</v>
      </c>
      <c r="AG73" s="248">
        <f t="shared" si="56"/>
        <v>0</v>
      </c>
      <c r="AH73" s="5">
        <v>6</v>
      </c>
      <c r="AI73" s="253">
        <v>223994.40000000002</v>
      </c>
    </row>
    <row r="74" spans="1:35" x14ac:dyDescent="0.2">
      <c r="A74" s="9" t="s">
        <v>583</v>
      </c>
      <c r="B74" s="249">
        <v>13</v>
      </c>
      <c r="C74" s="247">
        <f>33735/B74</f>
        <v>2595</v>
      </c>
      <c r="D74" s="3"/>
      <c r="E74" s="3"/>
      <c r="F74" s="3"/>
      <c r="G74" s="3"/>
      <c r="H74" s="3"/>
      <c r="I74" s="3"/>
      <c r="J74" s="3"/>
      <c r="K74" s="250">
        <f t="shared" ref="K74" si="57">SUM(C74:J74)</f>
        <v>2595</v>
      </c>
      <c r="L74" s="250">
        <v>1000</v>
      </c>
      <c r="M74" s="3"/>
      <c r="N74" s="251">
        <f t="shared" ref="N74:N84" si="58">SUM(L74:M74)</f>
        <v>1000</v>
      </c>
      <c r="O74" s="252">
        <f t="shared" si="48"/>
        <v>32140</v>
      </c>
      <c r="P74" s="253">
        <f t="shared" si="53"/>
        <v>417820</v>
      </c>
      <c r="Q74" s="5">
        <v>13</v>
      </c>
      <c r="R74" s="247">
        <f>33735/Q74</f>
        <v>2595</v>
      </c>
      <c r="S74" s="3"/>
      <c r="T74" s="3"/>
      <c r="U74" s="3"/>
      <c r="V74" s="3"/>
      <c r="W74" s="3"/>
      <c r="X74" s="3"/>
      <c r="Y74" s="3"/>
      <c r="Z74" s="247">
        <f t="shared" si="6"/>
        <v>2595</v>
      </c>
      <c r="AA74" s="247">
        <v>1000</v>
      </c>
      <c r="AB74" s="3"/>
      <c r="AC74" s="254">
        <f t="shared" si="50"/>
        <v>1000</v>
      </c>
      <c r="AD74" s="255">
        <f t="shared" si="51"/>
        <v>32140</v>
      </c>
      <c r="AE74" s="253">
        <f t="shared" si="52"/>
        <v>417820</v>
      </c>
      <c r="AF74" s="248">
        <f t="shared" si="56"/>
        <v>0</v>
      </c>
      <c r="AG74" s="248">
        <f t="shared" si="56"/>
        <v>0</v>
      </c>
      <c r="AH74" s="5">
        <v>13</v>
      </c>
      <c r="AI74" s="253">
        <v>417820</v>
      </c>
    </row>
    <row r="75" spans="1:35" x14ac:dyDescent="0.2">
      <c r="A75" s="9" t="s">
        <v>584</v>
      </c>
      <c r="B75" s="249">
        <v>21</v>
      </c>
      <c r="C75" s="247">
        <f>55809/B75</f>
        <v>2657.5714285714284</v>
      </c>
      <c r="D75" s="3"/>
      <c r="E75" s="3"/>
      <c r="F75" s="3"/>
      <c r="G75" s="3"/>
      <c r="H75" s="3"/>
      <c r="I75" s="3"/>
      <c r="J75" s="3"/>
      <c r="K75" s="250">
        <f t="shared" ref="K75" si="59">SUM(C75:J75)</f>
        <v>2657.5714285714284</v>
      </c>
      <c r="L75" s="250">
        <v>1000</v>
      </c>
      <c r="M75" s="3"/>
      <c r="N75" s="251">
        <f t="shared" si="58"/>
        <v>1000</v>
      </c>
      <c r="O75" s="252">
        <f t="shared" si="48"/>
        <v>32890.857142857145</v>
      </c>
      <c r="P75" s="253">
        <f t="shared" si="53"/>
        <v>690708</v>
      </c>
      <c r="Q75" s="5">
        <v>21</v>
      </c>
      <c r="R75" s="247">
        <f>55809/Q75</f>
        <v>2657.5714285714284</v>
      </c>
      <c r="S75" s="3"/>
      <c r="T75" s="3"/>
      <c r="U75" s="3"/>
      <c r="V75" s="3"/>
      <c r="W75" s="3"/>
      <c r="X75" s="3"/>
      <c r="Y75" s="3"/>
      <c r="Z75" s="247">
        <f t="shared" ref="Z75:Z138" si="60">SUM(R75:Y75)</f>
        <v>2657.5714285714284</v>
      </c>
      <c r="AA75" s="247">
        <v>1000</v>
      </c>
      <c r="AB75" s="3"/>
      <c r="AC75" s="254">
        <f t="shared" si="50"/>
        <v>1000</v>
      </c>
      <c r="AD75" s="255">
        <f t="shared" si="51"/>
        <v>32890.857142857145</v>
      </c>
      <c r="AE75" s="253">
        <f t="shared" si="52"/>
        <v>690708</v>
      </c>
      <c r="AF75" s="248">
        <f t="shared" si="56"/>
        <v>0</v>
      </c>
      <c r="AG75" s="248">
        <f t="shared" si="56"/>
        <v>0</v>
      </c>
      <c r="AH75" s="5">
        <v>21</v>
      </c>
      <c r="AI75" s="253">
        <v>690708</v>
      </c>
    </row>
    <row r="76" spans="1:35" x14ac:dyDescent="0.2">
      <c r="A76" s="9" t="s">
        <v>585</v>
      </c>
      <c r="B76" s="249">
        <v>248</v>
      </c>
      <c r="C76" s="247">
        <f>589947.8/B76</f>
        <v>2378.8217741935487</v>
      </c>
      <c r="D76" s="3"/>
      <c r="E76" s="3"/>
      <c r="F76" s="3"/>
      <c r="G76" s="3"/>
      <c r="H76" s="3"/>
      <c r="I76" s="3"/>
      <c r="J76" s="3"/>
      <c r="K76" s="250">
        <f t="shared" ref="K76:K78" si="61">SUM(C76:J76)</f>
        <v>2378.8217741935487</v>
      </c>
      <c r="L76" s="250">
        <v>1000</v>
      </c>
      <c r="M76" s="3"/>
      <c r="N76" s="251">
        <f t="shared" si="58"/>
        <v>1000</v>
      </c>
      <c r="O76" s="252">
        <f t="shared" si="48"/>
        <v>29545.861290322584</v>
      </c>
      <c r="P76" s="253">
        <f t="shared" si="53"/>
        <v>7327373.6000000006</v>
      </c>
      <c r="Q76" s="5">
        <v>256</v>
      </c>
      <c r="R76" s="247">
        <f>609286.6/Q76</f>
        <v>2380.0257812499999</v>
      </c>
      <c r="S76" s="3"/>
      <c r="T76" s="3"/>
      <c r="U76" s="3"/>
      <c r="V76" s="3"/>
      <c r="W76" s="3"/>
      <c r="X76" s="3"/>
      <c r="Y76" s="3"/>
      <c r="Z76" s="247">
        <f t="shared" si="60"/>
        <v>2380.0257812499999</v>
      </c>
      <c r="AA76" s="247">
        <v>1000</v>
      </c>
      <c r="AB76" s="3"/>
      <c r="AC76" s="254">
        <f t="shared" si="50"/>
        <v>1000</v>
      </c>
      <c r="AD76" s="255">
        <f t="shared" si="51"/>
        <v>29560.309374999997</v>
      </c>
      <c r="AE76" s="253">
        <f t="shared" si="52"/>
        <v>7567439.1999999993</v>
      </c>
      <c r="AF76" s="248">
        <f t="shared" si="56"/>
        <v>-14.448084677413135</v>
      </c>
      <c r="AG76" s="248">
        <f t="shared" si="56"/>
        <v>-240065.5999999987</v>
      </c>
      <c r="AH76" s="5">
        <v>256</v>
      </c>
      <c r="AI76" s="253">
        <v>7567439.1999999993</v>
      </c>
    </row>
    <row r="77" spans="1:35" x14ac:dyDescent="0.2">
      <c r="A77" s="9" t="s">
        <v>586</v>
      </c>
      <c r="B77" s="249">
        <v>5</v>
      </c>
      <c r="C77" s="247">
        <f>17715.75/B77</f>
        <v>3543.15</v>
      </c>
      <c r="D77" s="3"/>
      <c r="E77" s="3"/>
      <c r="F77" s="3"/>
      <c r="G77" s="3"/>
      <c r="H77" s="3"/>
      <c r="I77" s="3"/>
      <c r="J77" s="3"/>
      <c r="K77" s="250">
        <f t="shared" si="61"/>
        <v>3543.15</v>
      </c>
      <c r="L77" s="250">
        <v>1000</v>
      </c>
      <c r="M77" s="3"/>
      <c r="N77" s="251">
        <f t="shared" si="58"/>
        <v>1000</v>
      </c>
      <c r="O77" s="252">
        <f t="shared" si="48"/>
        <v>43517.8</v>
      </c>
      <c r="P77" s="253">
        <f t="shared" si="53"/>
        <v>217589</v>
      </c>
      <c r="Q77" s="5">
        <v>5</v>
      </c>
      <c r="R77" s="247">
        <f>17715.75/Q77</f>
        <v>3543.15</v>
      </c>
      <c r="S77" s="3"/>
      <c r="T77" s="3"/>
      <c r="U77" s="3"/>
      <c r="V77" s="3"/>
      <c r="W77" s="3"/>
      <c r="X77" s="3"/>
      <c r="Y77" s="3"/>
      <c r="Z77" s="247">
        <f t="shared" si="60"/>
        <v>3543.15</v>
      </c>
      <c r="AA77" s="247">
        <v>1000</v>
      </c>
      <c r="AB77" s="3"/>
      <c r="AC77" s="254">
        <f t="shared" si="50"/>
        <v>1000</v>
      </c>
      <c r="AD77" s="255">
        <f t="shared" si="51"/>
        <v>43517.8</v>
      </c>
      <c r="AE77" s="253">
        <f t="shared" si="52"/>
        <v>217589</v>
      </c>
      <c r="AF77" s="248">
        <f t="shared" si="56"/>
        <v>0</v>
      </c>
      <c r="AG77" s="248">
        <f t="shared" si="56"/>
        <v>0</v>
      </c>
      <c r="AH77" s="5">
        <v>5</v>
      </c>
      <c r="AI77" s="253">
        <v>217589</v>
      </c>
    </row>
    <row r="78" spans="1:35" x14ac:dyDescent="0.2">
      <c r="A78" s="9" t="s">
        <v>587</v>
      </c>
      <c r="B78" s="249">
        <v>1</v>
      </c>
      <c r="C78" s="247">
        <v>3677.7</v>
      </c>
      <c r="D78" s="3"/>
      <c r="E78" s="3"/>
      <c r="F78" s="3"/>
      <c r="G78" s="3"/>
      <c r="H78" s="3"/>
      <c r="I78" s="3"/>
      <c r="J78" s="3"/>
      <c r="K78" s="250">
        <f t="shared" si="61"/>
        <v>3677.7</v>
      </c>
      <c r="L78" s="250">
        <v>1000</v>
      </c>
      <c r="M78" s="3"/>
      <c r="N78" s="251">
        <f t="shared" si="58"/>
        <v>1000</v>
      </c>
      <c r="O78" s="252">
        <f t="shared" si="48"/>
        <v>45132.399999999994</v>
      </c>
      <c r="P78" s="253">
        <f t="shared" si="53"/>
        <v>45132.399999999994</v>
      </c>
      <c r="Q78" s="5">
        <v>1</v>
      </c>
      <c r="R78" s="247">
        <v>3677.7</v>
      </c>
      <c r="S78" s="3"/>
      <c r="T78" s="3"/>
      <c r="U78" s="3"/>
      <c r="V78" s="3"/>
      <c r="W78" s="3"/>
      <c r="X78" s="3"/>
      <c r="Y78" s="3"/>
      <c r="Z78" s="247">
        <f t="shared" si="60"/>
        <v>3677.7</v>
      </c>
      <c r="AA78" s="247">
        <v>1000</v>
      </c>
      <c r="AB78" s="3"/>
      <c r="AC78" s="254">
        <f t="shared" si="50"/>
        <v>1000</v>
      </c>
      <c r="AD78" s="255">
        <f t="shared" si="51"/>
        <v>45132.399999999994</v>
      </c>
      <c r="AE78" s="253">
        <f t="shared" si="52"/>
        <v>45132.399999999994</v>
      </c>
      <c r="AF78" s="248">
        <f t="shared" si="56"/>
        <v>0</v>
      </c>
      <c r="AG78" s="248">
        <f t="shared" si="56"/>
        <v>0</v>
      </c>
      <c r="AH78" s="5">
        <v>1</v>
      </c>
      <c r="AI78" s="253">
        <v>45132.399999999994</v>
      </c>
    </row>
    <row r="79" spans="1:35" x14ac:dyDescent="0.2">
      <c r="A79" s="9" t="s">
        <v>588</v>
      </c>
      <c r="B79" s="249">
        <v>8</v>
      </c>
      <c r="C79" s="247">
        <f>20280/B79</f>
        <v>2535</v>
      </c>
      <c r="D79" s="3"/>
      <c r="E79" s="3"/>
      <c r="F79" s="3"/>
      <c r="G79" s="3"/>
      <c r="H79" s="3"/>
      <c r="I79" s="3"/>
      <c r="J79" s="3"/>
      <c r="K79" s="250">
        <f t="shared" ref="K79" si="62">SUM(C79:J79)</f>
        <v>2535</v>
      </c>
      <c r="L79" s="250">
        <v>1000</v>
      </c>
      <c r="M79" s="3"/>
      <c r="N79" s="251">
        <f t="shared" si="58"/>
        <v>1000</v>
      </c>
      <c r="O79" s="252">
        <f t="shared" si="48"/>
        <v>31420</v>
      </c>
      <c r="P79" s="253">
        <f t="shared" si="53"/>
        <v>251360</v>
      </c>
      <c r="Q79" s="5">
        <v>8</v>
      </c>
      <c r="R79" s="247">
        <f>20280/Q79</f>
        <v>2535</v>
      </c>
      <c r="S79" s="3"/>
      <c r="T79" s="3"/>
      <c r="U79" s="3"/>
      <c r="V79" s="3"/>
      <c r="W79" s="3"/>
      <c r="X79" s="3"/>
      <c r="Y79" s="3"/>
      <c r="Z79" s="247">
        <f t="shared" si="60"/>
        <v>2535</v>
      </c>
      <c r="AA79" s="247">
        <v>1000</v>
      </c>
      <c r="AB79" s="3"/>
      <c r="AC79" s="254">
        <f t="shared" si="50"/>
        <v>1000</v>
      </c>
      <c r="AD79" s="255">
        <f t="shared" si="51"/>
        <v>31420</v>
      </c>
      <c r="AE79" s="253">
        <f t="shared" si="52"/>
        <v>251360</v>
      </c>
      <c r="AF79" s="248">
        <f t="shared" si="56"/>
        <v>0</v>
      </c>
      <c r="AG79" s="248">
        <f t="shared" si="56"/>
        <v>0</v>
      </c>
      <c r="AH79" s="5">
        <v>8</v>
      </c>
      <c r="AI79" s="253">
        <v>251360</v>
      </c>
    </row>
    <row r="80" spans="1:35" x14ac:dyDescent="0.2">
      <c r="A80" s="9" t="s">
        <v>589</v>
      </c>
      <c r="B80" s="249">
        <v>26</v>
      </c>
      <c r="C80" s="247">
        <f>66534/B80</f>
        <v>2559</v>
      </c>
      <c r="D80" s="3"/>
      <c r="E80" s="3"/>
      <c r="F80" s="3"/>
      <c r="G80" s="3"/>
      <c r="H80" s="3"/>
      <c r="I80" s="3"/>
      <c r="J80" s="3"/>
      <c r="K80" s="250">
        <f t="shared" ref="K80:K84" si="63">SUM(C80:J80)</f>
        <v>2559</v>
      </c>
      <c r="L80" s="250">
        <v>1000</v>
      </c>
      <c r="M80" s="3"/>
      <c r="N80" s="251">
        <f t="shared" si="58"/>
        <v>1000</v>
      </c>
      <c r="O80" s="252">
        <f t="shared" si="48"/>
        <v>31708</v>
      </c>
      <c r="P80" s="253">
        <f t="shared" si="53"/>
        <v>824408</v>
      </c>
      <c r="Q80" s="5">
        <v>26</v>
      </c>
      <c r="R80" s="247">
        <f>66534/Q80</f>
        <v>2559</v>
      </c>
      <c r="S80" s="3"/>
      <c r="T80" s="3"/>
      <c r="U80" s="3"/>
      <c r="V80" s="3"/>
      <c r="W80" s="3"/>
      <c r="X80" s="3"/>
      <c r="Y80" s="3"/>
      <c r="Z80" s="247">
        <f t="shared" si="60"/>
        <v>2559</v>
      </c>
      <c r="AA80" s="247">
        <v>1000</v>
      </c>
      <c r="AB80" s="3"/>
      <c r="AC80" s="254">
        <f t="shared" si="50"/>
        <v>1000</v>
      </c>
      <c r="AD80" s="255">
        <f t="shared" si="51"/>
        <v>31708</v>
      </c>
      <c r="AE80" s="253">
        <f t="shared" si="52"/>
        <v>824408</v>
      </c>
      <c r="AF80" s="248">
        <f t="shared" si="56"/>
        <v>0</v>
      </c>
      <c r="AG80" s="248">
        <f t="shared" si="56"/>
        <v>0</v>
      </c>
      <c r="AH80" s="5">
        <v>26</v>
      </c>
      <c r="AI80" s="253">
        <v>824408</v>
      </c>
    </row>
    <row r="81" spans="1:35" x14ac:dyDescent="0.2">
      <c r="A81" s="9" t="s">
        <v>590</v>
      </c>
      <c r="B81" s="249">
        <v>194</v>
      </c>
      <c r="C81" s="247">
        <f>453723.4/B81</f>
        <v>2338.7804123711339</v>
      </c>
      <c r="D81" s="3"/>
      <c r="E81" s="3"/>
      <c r="F81" s="3"/>
      <c r="G81" s="3"/>
      <c r="H81" s="3"/>
      <c r="I81" s="3"/>
      <c r="J81" s="3"/>
      <c r="K81" s="250">
        <f t="shared" si="63"/>
        <v>2338.7804123711339</v>
      </c>
      <c r="L81" s="250">
        <v>1000</v>
      </c>
      <c r="M81" s="3"/>
      <c r="N81" s="251">
        <f t="shared" si="58"/>
        <v>1000</v>
      </c>
      <c r="O81" s="252">
        <f t="shared" si="48"/>
        <v>29065.364948453607</v>
      </c>
      <c r="P81" s="253">
        <f t="shared" si="53"/>
        <v>5638680.7999999998</v>
      </c>
      <c r="Q81" s="5">
        <v>202</v>
      </c>
      <c r="R81" s="247">
        <f>474557.2/Q81</f>
        <v>2349.2930693069306</v>
      </c>
      <c r="S81" s="3"/>
      <c r="T81" s="3"/>
      <c r="U81" s="3"/>
      <c r="V81" s="3"/>
      <c r="W81" s="3"/>
      <c r="X81" s="3"/>
      <c r="Y81" s="3"/>
      <c r="Z81" s="247">
        <f t="shared" si="60"/>
        <v>2349.2930693069306</v>
      </c>
      <c r="AA81" s="247">
        <v>1000</v>
      </c>
      <c r="AB81" s="3"/>
      <c r="AC81" s="254">
        <f t="shared" si="50"/>
        <v>1000</v>
      </c>
      <c r="AD81" s="255">
        <f t="shared" si="51"/>
        <v>29191.51683168317</v>
      </c>
      <c r="AE81" s="253">
        <f t="shared" si="52"/>
        <v>5896686.4000000004</v>
      </c>
      <c r="AF81" s="248">
        <f t="shared" si="56"/>
        <v>-126.15188322956237</v>
      </c>
      <c r="AG81" s="248">
        <f t="shared" si="56"/>
        <v>-258005.60000000056</v>
      </c>
      <c r="AH81" s="5">
        <v>202</v>
      </c>
      <c r="AI81" s="253">
        <v>5896686.4000000004</v>
      </c>
    </row>
    <row r="82" spans="1:35" x14ac:dyDescent="0.2">
      <c r="A82" s="9" t="s">
        <v>591</v>
      </c>
      <c r="B82" s="249">
        <v>3</v>
      </c>
      <c r="C82" s="247">
        <f>8718.45/B82</f>
        <v>2906.15</v>
      </c>
      <c r="D82" s="3"/>
      <c r="E82" s="3"/>
      <c r="F82" s="3"/>
      <c r="G82" s="3"/>
      <c r="H82" s="3"/>
      <c r="I82" s="3"/>
      <c r="J82" s="3"/>
      <c r="K82" s="250">
        <f t="shared" si="63"/>
        <v>2906.15</v>
      </c>
      <c r="L82" s="250">
        <v>1000</v>
      </c>
      <c r="M82" s="3"/>
      <c r="N82" s="251">
        <f t="shared" si="58"/>
        <v>1000</v>
      </c>
      <c r="O82" s="252">
        <f t="shared" si="48"/>
        <v>35873.800000000003</v>
      </c>
      <c r="P82" s="253">
        <f t="shared" si="53"/>
        <v>107621.40000000001</v>
      </c>
      <c r="Q82" s="5">
        <v>3</v>
      </c>
      <c r="R82" s="247">
        <f>8718.45/Q82</f>
        <v>2906.15</v>
      </c>
      <c r="S82" s="3"/>
      <c r="T82" s="3"/>
      <c r="U82" s="3"/>
      <c r="V82" s="3"/>
      <c r="W82" s="3"/>
      <c r="X82" s="3"/>
      <c r="Y82" s="3"/>
      <c r="Z82" s="247">
        <f t="shared" si="60"/>
        <v>2906.15</v>
      </c>
      <c r="AA82" s="247">
        <v>1000</v>
      </c>
      <c r="AB82" s="3"/>
      <c r="AC82" s="254">
        <f t="shared" si="50"/>
        <v>1000</v>
      </c>
      <c r="AD82" s="255">
        <f t="shared" si="51"/>
        <v>35873.800000000003</v>
      </c>
      <c r="AE82" s="253">
        <f t="shared" si="52"/>
        <v>107621.40000000001</v>
      </c>
      <c r="AF82" s="248">
        <f t="shared" si="56"/>
        <v>0</v>
      </c>
      <c r="AG82" s="248">
        <f t="shared" si="56"/>
        <v>0</v>
      </c>
      <c r="AH82" s="5">
        <v>3</v>
      </c>
      <c r="AI82" s="253">
        <v>107621.40000000001</v>
      </c>
    </row>
    <row r="83" spans="1:35" x14ac:dyDescent="0.2">
      <c r="A83" s="9" t="s">
        <v>592</v>
      </c>
      <c r="B83" s="249">
        <v>2</v>
      </c>
      <c r="C83" s="247">
        <f>5330/B83</f>
        <v>2665</v>
      </c>
      <c r="D83" s="3"/>
      <c r="E83" s="3"/>
      <c r="F83" s="3"/>
      <c r="G83" s="3"/>
      <c r="H83" s="3"/>
      <c r="I83" s="3"/>
      <c r="J83" s="3"/>
      <c r="K83" s="250">
        <f t="shared" si="63"/>
        <v>2665</v>
      </c>
      <c r="L83" s="250">
        <v>1000</v>
      </c>
      <c r="M83" s="3"/>
      <c r="N83" s="251">
        <f t="shared" si="58"/>
        <v>1000</v>
      </c>
      <c r="O83" s="252">
        <f t="shared" si="48"/>
        <v>32980</v>
      </c>
      <c r="P83" s="253">
        <f t="shared" si="53"/>
        <v>65960</v>
      </c>
      <c r="Q83" s="5">
        <v>2</v>
      </c>
      <c r="R83" s="247">
        <f>5330/Q83</f>
        <v>2665</v>
      </c>
      <c r="S83" s="3"/>
      <c r="T83" s="3"/>
      <c r="U83" s="3"/>
      <c r="V83" s="3"/>
      <c r="W83" s="3"/>
      <c r="X83" s="3"/>
      <c r="Y83" s="3"/>
      <c r="Z83" s="247">
        <f t="shared" si="60"/>
        <v>2665</v>
      </c>
      <c r="AA83" s="247">
        <v>1000</v>
      </c>
      <c r="AB83" s="3"/>
      <c r="AC83" s="254">
        <f t="shared" si="50"/>
        <v>1000</v>
      </c>
      <c r="AD83" s="255">
        <f t="shared" si="51"/>
        <v>32980</v>
      </c>
      <c r="AE83" s="253">
        <f t="shared" si="52"/>
        <v>65960</v>
      </c>
      <c r="AF83" s="248">
        <f t="shared" si="56"/>
        <v>0</v>
      </c>
      <c r="AG83" s="248">
        <f t="shared" si="56"/>
        <v>0</v>
      </c>
      <c r="AH83" s="5">
        <v>2</v>
      </c>
      <c r="AI83" s="253">
        <v>65960</v>
      </c>
    </row>
    <row r="84" spans="1:35" x14ac:dyDescent="0.2">
      <c r="A84" s="9" t="s">
        <v>593</v>
      </c>
      <c r="B84" s="249">
        <v>7</v>
      </c>
      <c r="C84" s="247">
        <f>15735.2/B84</f>
        <v>2247.8857142857146</v>
      </c>
      <c r="D84" s="3"/>
      <c r="E84" s="3"/>
      <c r="F84" s="3"/>
      <c r="G84" s="3"/>
      <c r="H84" s="3"/>
      <c r="I84" s="3"/>
      <c r="J84" s="3"/>
      <c r="K84" s="250">
        <f t="shared" si="63"/>
        <v>2247.8857142857146</v>
      </c>
      <c r="L84" s="250">
        <v>1000</v>
      </c>
      <c r="M84" s="3"/>
      <c r="N84" s="251">
        <f t="shared" si="58"/>
        <v>1000</v>
      </c>
      <c r="O84" s="252">
        <f t="shared" si="48"/>
        <v>27974.628571428577</v>
      </c>
      <c r="P84" s="253">
        <f t="shared" si="53"/>
        <v>195822.40000000002</v>
      </c>
      <c r="Q84" s="5">
        <v>7</v>
      </c>
      <c r="R84" s="247">
        <f>16710.2/Q84</f>
        <v>2387.1714285714288</v>
      </c>
      <c r="S84" s="3"/>
      <c r="T84" s="3"/>
      <c r="U84" s="3"/>
      <c r="V84" s="3"/>
      <c r="W84" s="3"/>
      <c r="X84" s="3"/>
      <c r="Y84" s="3"/>
      <c r="Z84" s="247">
        <f t="shared" si="60"/>
        <v>2387.1714285714288</v>
      </c>
      <c r="AA84" s="247">
        <v>1000</v>
      </c>
      <c r="AB84" s="3"/>
      <c r="AC84" s="254">
        <f t="shared" si="50"/>
        <v>1000</v>
      </c>
      <c r="AD84" s="255">
        <f t="shared" si="51"/>
        <v>29646.057142857146</v>
      </c>
      <c r="AE84" s="253">
        <f t="shared" si="52"/>
        <v>207522.40000000002</v>
      </c>
      <c r="AF84" s="248">
        <f t="shared" si="56"/>
        <v>-1671.4285714285688</v>
      </c>
      <c r="AG84" s="248">
        <f t="shared" si="56"/>
        <v>-11700</v>
      </c>
      <c r="AH84" s="5">
        <v>7</v>
      </c>
      <c r="AI84" s="253">
        <v>207522.40000000002</v>
      </c>
    </row>
    <row r="85" spans="1:35" x14ac:dyDescent="0.2">
      <c r="A85" s="9" t="s">
        <v>594</v>
      </c>
      <c r="B85" s="5"/>
      <c r="C85" s="3"/>
      <c r="D85" s="3"/>
      <c r="E85" s="3"/>
      <c r="F85" s="3"/>
      <c r="G85" s="3"/>
      <c r="H85" s="3"/>
      <c r="I85" s="3"/>
      <c r="J85" s="3"/>
      <c r="K85" s="3"/>
      <c r="L85" s="3"/>
      <c r="M85" s="3"/>
      <c r="O85" s="23"/>
      <c r="P85" s="6"/>
      <c r="Q85" s="5">
        <v>1</v>
      </c>
      <c r="R85" s="247">
        <v>2173.6</v>
      </c>
      <c r="S85" s="3"/>
      <c r="T85" s="3"/>
      <c r="U85" s="3"/>
      <c r="V85" s="3"/>
      <c r="W85" s="3"/>
      <c r="X85" s="3"/>
      <c r="Y85" s="3"/>
      <c r="Z85" s="247">
        <f t="shared" si="60"/>
        <v>2173.6</v>
      </c>
      <c r="AA85" s="247">
        <v>1000</v>
      </c>
      <c r="AB85" s="3"/>
      <c r="AC85" s="254">
        <f t="shared" si="50"/>
        <v>1000</v>
      </c>
      <c r="AD85" s="255">
        <f t="shared" si="51"/>
        <v>27083.199999999997</v>
      </c>
      <c r="AE85" s="253">
        <f t="shared" si="52"/>
        <v>27083.199999999997</v>
      </c>
      <c r="AF85" s="248">
        <f t="shared" si="56"/>
        <v>-27083.199999999997</v>
      </c>
      <c r="AG85" s="248">
        <f t="shared" si="56"/>
        <v>-27083.199999999997</v>
      </c>
      <c r="AH85" s="5">
        <v>1</v>
      </c>
      <c r="AI85" s="253">
        <v>27083.199999999997</v>
      </c>
    </row>
    <row r="86" spans="1:35" ht="12.75" thickBot="1" x14ac:dyDescent="0.25">
      <c r="A86" s="847" t="s">
        <v>595</v>
      </c>
      <c r="B86" s="848">
        <v>2</v>
      </c>
      <c r="C86" s="849">
        <f>5733/B86</f>
        <v>2866.5</v>
      </c>
      <c r="D86" s="850"/>
      <c r="E86" s="850"/>
      <c r="F86" s="850"/>
      <c r="G86" s="850"/>
      <c r="H86" s="850"/>
      <c r="I86" s="850"/>
      <c r="J86" s="850"/>
      <c r="K86" s="851">
        <f t="shared" ref="K86:K92" si="64">SUM(C86:J86)</f>
        <v>2866.5</v>
      </c>
      <c r="L86" s="851">
        <v>1000</v>
      </c>
      <c r="M86" s="850"/>
      <c r="N86" s="852">
        <f t="shared" ref="N86:N92" si="65">SUM(L86:M86)</f>
        <v>1000</v>
      </c>
      <c r="O86" s="853">
        <f t="shared" ref="O86:O92" si="66">(K86*12)+N86</f>
        <v>35398</v>
      </c>
      <c r="P86" s="854">
        <f t="shared" ref="P86:P92" si="67">+O86*B86</f>
        <v>70796</v>
      </c>
      <c r="Q86" s="22">
        <v>2</v>
      </c>
      <c r="R86" s="849">
        <f>5733/Q86</f>
        <v>2866.5</v>
      </c>
      <c r="S86" s="850"/>
      <c r="T86" s="850"/>
      <c r="U86" s="850"/>
      <c r="V86" s="850"/>
      <c r="W86" s="850"/>
      <c r="X86" s="850"/>
      <c r="Y86" s="850"/>
      <c r="Z86" s="849">
        <f t="shared" si="60"/>
        <v>2866.5</v>
      </c>
      <c r="AA86" s="849">
        <v>1000</v>
      </c>
      <c r="AB86" s="850"/>
      <c r="AC86" s="855">
        <f t="shared" si="50"/>
        <v>1000</v>
      </c>
      <c r="AD86" s="856">
        <f t="shared" si="51"/>
        <v>35398</v>
      </c>
      <c r="AE86" s="854">
        <f t="shared" si="52"/>
        <v>70796</v>
      </c>
      <c r="AF86" s="857">
        <f t="shared" si="56"/>
        <v>0</v>
      </c>
      <c r="AG86" s="857">
        <f t="shared" si="56"/>
        <v>0</v>
      </c>
      <c r="AH86" s="22">
        <v>2</v>
      </c>
      <c r="AI86" s="854">
        <v>70796</v>
      </c>
    </row>
    <row r="87" spans="1:35" x14ac:dyDescent="0.2">
      <c r="A87" s="9" t="s">
        <v>596</v>
      </c>
      <c r="B87" s="249">
        <v>8</v>
      </c>
      <c r="C87" s="247">
        <f>18363.8/B87</f>
        <v>2295.4749999999999</v>
      </c>
      <c r="D87" s="3"/>
      <c r="E87" s="3"/>
      <c r="F87" s="3"/>
      <c r="G87" s="3"/>
      <c r="H87" s="3"/>
      <c r="I87" s="3"/>
      <c r="J87" s="3"/>
      <c r="K87" s="250">
        <f t="shared" si="64"/>
        <v>2295.4749999999999</v>
      </c>
      <c r="L87" s="250">
        <v>1000</v>
      </c>
      <c r="M87" s="3"/>
      <c r="N87" s="251">
        <f t="shared" si="65"/>
        <v>1000</v>
      </c>
      <c r="O87" s="252">
        <f t="shared" si="66"/>
        <v>28545.699999999997</v>
      </c>
      <c r="P87" s="253">
        <f t="shared" si="67"/>
        <v>228365.59999999998</v>
      </c>
      <c r="Q87" s="5">
        <v>8</v>
      </c>
      <c r="R87" s="247">
        <f>18363.8/Q87</f>
        <v>2295.4749999999999</v>
      </c>
      <c r="S87" s="3"/>
      <c r="T87" s="3"/>
      <c r="U87" s="3"/>
      <c r="V87" s="3"/>
      <c r="W87" s="3"/>
      <c r="X87" s="3"/>
      <c r="Y87" s="3"/>
      <c r="Z87" s="247">
        <f t="shared" si="60"/>
        <v>2295.4749999999999</v>
      </c>
      <c r="AA87" s="247">
        <v>1000</v>
      </c>
      <c r="AB87" s="3"/>
      <c r="AC87" s="254">
        <f t="shared" si="50"/>
        <v>1000</v>
      </c>
      <c r="AD87" s="255">
        <f t="shared" si="51"/>
        <v>28545.699999999997</v>
      </c>
      <c r="AE87" s="253">
        <f t="shared" si="52"/>
        <v>228365.59999999998</v>
      </c>
      <c r="AF87" s="248">
        <f t="shared" si="56"/>
        <v>0</v>
      </c>
      <c r="AG87" s="248">
        <f t="shared" si="56"/>
        <v>0</v>
      </c>
      <c r="AH87" s="5">
        <v>8</v>
      </c>
      <c r="AI87" s="253">
        <v>228365.59999999998</v>
      </c>
    </row>
    <row r="88" spans="1:35" x14ac:dyDescent="0.2">
      <c r="A88" s="9" t="s">
        <v>597</v>
      </c>
      <c r="B88" s="249">
        <v>13</v>
      </c>
      <c r="C88" s="247">
        <f>41549.95/B88</f>
        <v>3196.1499999999996</v>
      </c>
      <c r="D88" s="3"/>
      <c r="E88" s="3"/>
      <c r="F88" s="3"/>
      <c r="G88" s="3"/>
      <c r="H88" s="3"/>
      <c r="I88" s="3"/>
      <c r="J88" s="3"/>
      <c r="K88" s="250">
        <f t="shared" si="64"/>
        <v>3196.1499999999996</v>
      </c>
      <c r="L88" s="250">
        <v>1000</v>
      </c>
      <c r="M88" s="3"/>
      <c r="N88" s="251">
        <f t="shared" si="65"/>
        <v>1000</v>
      </c>
      <c r="O88" s="252">
        <f t="shared" si="66"/>
        <v>39353.799999999996</v>
      </c>
      <c r="P88" s="253">
        <f t="shared" si="67"/>
        <v>511599.39999999997</v>
      </c>
      <c r="Q88" s="5">
        <v>13</v>
      </c>
      <c r="R88" s="247">
        <f>42524.95/Q88</f>
        <v>3271.1499999999996</v>
      </c>
      <c r="S88" s="3"/>
      <c r="T88" s="3"/>
      <c r="U88" s="3"/>
      <c r="V88" s="3"/>
      <c r="W88" s="3"/>
      <c r="X88" s="3"/>
      <c r="Y88" s="3"/>
      <c r="Z88" s="247">
        <f t="shared" si="60"/>
        <v>3271.1499999999996</v>
      </c>
      <c r="AA88" s="247">
        <v>1000</v>
      </c>
      <c r="AB88" s="3"/>
      <c r="AC88" s="254">
        <f t="shared" si="50"/>
        <v>1000</v>
      </c>
      <c r="AD88" s="255">
        <f t="shared" si="51"/>
        <v>40253.799999999996</v>
      </c>
      <c r="AE88" s="253">
        <f t="shared" si="52"/>
        <v>523299.39999999997</v>
      </c>
      <c r="AF88" s="248">
        <f t="shared" si="56"/>
        <v>-900</v>
      </c>
      <c r="AG88" s="248">
        <f t="shared" si="56"/>
        <v>-11700</v>
      </c>
      <c r="AH88" s="5">
        <v>13</v>
      </c>
      <c r="AI88" s="253">
        <v>523299.39999999997</v>
      </c>
    </row>
    <row r="89" spans="1:35" x14ac:dyDescent="0.2">
      <c r="A89" s="9" t="s">
        <v>598</v>
      </c>
      <c r="B89" s="249">
        <v>1</v>
      </c>
      <c r="C89" s="247">
        <f>3510/B89</f>
        <v>3510</v>
      </c>
      <c r="D89" s="3"/>
      <c r="E89" s="3"/>
      <c r="F89" s="3"/>
      <c r="G89" s="3"/>
      <c r="H89" s="3"/>
      <c r="I89" s="3"/>
      <c r="J89" s="3"/>
      <c r="K89" s="250">
        <f t="shared" si="64"/>
        <v>3510</v>
      </c>
      <c r="L89" s="250">
        <v>1000</v>
      </c>
      <c r="M89" s="3"/>
      <c r="N89" s="251">
        <f t="shared" si="65"/>
        <v>1000</v>
      </c>
      <c r="O89" s="252">
        <f t="shared" si="66"/>
        <v>43120</v>
      </c>
      <c r="P89" s="253">
        <f t="shared" si="67"/>
        <v>43120</v>
      </c>
      <c r="Q89" s="5">
        <v>1</v>
      </c>
      <c r="R89" s="247">
        <v>3510</v>
      </c>
      <c r="S89" s="3"/>
      <c r="T89" s="3"/>
      <c r="U89" s="3"/>
      <c r="V89" s="3"/>
      <c r="W89" s="3"/>
      <c r="X89" s="3"/>
      <c r="Y89" s="3"/>
      <c r="Z89" s="247">
        <f t="shared" si="60"/>
        <v>3510</v>
      </c>
      <c r="AA89" s="247">
        <v>1000</v>
      </c>
      <c r="AB89" s="3"/>
      <c r="AC89" s="254">
        <f t="shared" si="50"/>
        <v>1000</v>
      </c>
      <c r="AD89" s="255">
        <f t="shared" si="51"/>
        <v>43120</v>
      </c>
      <c r="AE89" s="253">
        <f t="shared" si="52"/>
        <v>43120</v>
      </c>
      <c r="AF89" s="248">
        <f t="shared" si="56"/>
        <v>0</v>
      </c>
      <c r="AG89" s="248">
        <f t="shared" si="56"/>
        <v>0</v>
      </c>
      <c r="AH89" s="5">
        <v>1</v>
      </c>
      <c r="AI89" s="253">
        <v>43120</v>
      </c>
    </row>
    <row r="90" spans="1:35" x14ac:dyDescent="0.2">
      <c r="A90" s="9" t="s">
        <v>599</v>
      </c>
      <c r="B90" s="249">
        <v>9</v>
      </c>
      <c r="C90" s="247">
        <f>24531/B90</f>
        <v>2725.6666666666665</v>
      </c>
      <c r="D90" s="3"/>
      <c r="E90" s="3"/>
      <c r="F90" s="3"/>
      <c r="G90" s="3"/>
      <c r="H90" s="3"/>
      <c r="I90" s="3"/>
      <c r="J90" s="3"/>
      <c r="K90" s="250">
        <f t="shared" si="64"/>
        <v>2725.6666666666665</v>
      </c>
      <c r="L90" s="250">
        <v>1000</v>
      </c>
      <c r="M90" s="3"/>
      <c r="N90" s="251">
        <f t="shared" si="65"/>
        <v>1000</v>
      </c>
      <c r="O90" s="252">
        <f t="shared" si="66"/>
        <v>33708</v>
      </c>
      <c r="P90" s="253">
        <f t="shared" si="67"/>
        <v>303372</v>
      </c>
      <c r="Q90" s="5">
        <v>9</v>
      </c>
      <c r="R90" s="247">
        <f>24531/Q90</f>
        <v>2725.6666666666665</v>
      </c>
      <c r="S90" s="3"/>
      <c r="T90" s="3"/>
      <c r="U90" s="3"/>
      <c r="V90" s="3"/>
      <c r="W90" s="3"/>
      <c r="X90" s="3"/>
      <c r="Y90" s="3"/>
      <c r="Z90" s="247">
        <f t="shared" si="60"/>
        <v>2725.6666666666665</v>
      </c>
      <c r="AA90" s="247">
        <v>1000</v>
      </c>
      <c r="AB90" s="3"/>
      <c r="AC90" s="254">
        <f t="shared" si="50"/>
        <v>1000</v>
      </c>
      <c r="AD90" s="255">
        <f t="shared" si="51"/>
        <v>33708</v>
      </c>
      <c r="AE90" s="253">
        <f t="shared" si="52"/>
        <v>303372</v>
      </c>
      <c r="AF90" s="248">
        <f t="shared" si="56"/>
        <v>0</v>
      </c>
      <c r="AG90" s="248">
        <f t="shared" si="56"/>
        <v>0</v>
      </c>
      <c r="AH90" s="5">
        <v>9</v>
      </c>
      <c r="AI90" s="253">
        <v>303372</v>
      </c>
    </row>
    <row r="91" spans="1:35" x14ac:dyDescent="0.2">
      <c r="A91" s="9" t="s">
        <v>600</v>
      </c>
      <c r="B91" s="249">
        <v>59</v>
      </c>
      <c r="C91" s="247">
        <f>153787.4/B91</f>
        <v>2606.5661016949152</v>
      </c>
      <c r="D91" s="3"/>
      <c r="E91" s="3"/>
      <c r="F91" s="3"/>
      <c r="G91" s="3"/>
      <c r="H91" s="3"/>
      <c r="I91" s="3"/>
      <c r="J91" s="3"/>
      <c r="K91" s="250">
        <f t="shared" si="64"/>
        <v>2606.5661016949152</v>
      </c>
      <c r="L91" s="250">
        <v>1000</v>
      </c>
      <c r="M91" s="3"/>
      <c r="N91" s="251">
        <f t="shared" si="65"/>
        <v>1000</v>
      </c>
      <c r="O91" s="252">
        <f t="shared" si="66"/>
        <v>32278.793220338983</v>
      </c>
      <c r="P91" s="253">
        <f t="shared" si="67"/>
        <v>1904448.8</v>
      </c>
      <c r="Q91" s="5">
        <v>59</v>
      </c>
      <c r="R91" s="247">
        <f>154762.4/Q91</f>
        <v>2623.0915254237289</v>
      </c>
      <c r="S91" s="3"/>
      <c r="T91" s="3"/>
      <c r="U91" s="3"/>
      <c r="V91" s="3"/>
      <c r="W91" s="3"/>
      <c r="X91" s="3"/>
      <c r="Y91" s="3"/>
      <c r="Z91" s="247">
        <f t="shared" si="60"/>
        <v>2623.0915254237289</v>
      </c>
      <c r="AA91" s="247">
        <v>1000</v>
      </c>
      <c r="AB91" s="3"/>
      <c r="AC91" s="254">
        <f t="shared" si="50"/>
        <v>1000</v>
      </c>
      <c r="AD91" s="255">
        <f t="shared" si="51"/>
        <v>32477.098305084746</v>
      </c>
      <c r="AE91" s="253">
        <f t="shared" si="52"/>
        <v>1916148.8</v>
      </c>
      <c r="AF91" s="248">
        <f t="shared" si="56"/>
        <v>-198.30508474576345</v>
      </c>
      <c r="AG91" s="248">
        <f t="shared" si="56"/>
        <v>-11700</v>
      </c>
      <c r="AH91" s="5">
        <v>59</v>
      </c>
      <c r="AI91" s="253">
        <v>1916148.8</v>
      </c>
    </row>
    <row r="92" spans="1:35" x14ac:dyDescent="0.2">
      <c r="A92" s="9" t="s">
        <v>601</v>
      </c>
      <c r="B92" s="249">
        <v>5</v>
      </c>
      <c r="C92" s="247">
        <f>17715.75/B92</f>
        <v>3543.15</v>
      </c>
      <c r="D92" s="3"/>
      <c r="E92" s="3"/>
      <c r="F92" s="3"/>
      <c r="G92" s="3"/>
      <c r="H92" s="3"/>
      <c r="I92" s="3"/>
      <c r="J92" s="3"/>
      <c r="K92" s="250">
        <f t="shared" si="64"/>
        <v>3543.15</v>
      </c>
      <c r="L92" s="250">
        <v>1000</v>
      </c>
      <c r="M92" s="3"/>
      <c r="N92" s="251">
        <f t="shared" si="65"/>
        <v>1000</v>
      </c>
      <c r="O92" s="252">
        <f t="shared" si="66"/>
        <v>43517.8</v>
      </c>
      <c r="P92" s="253">
        <f t="shared" si="67"/>
        <v>217589</v>
      </c>
      <c r="Q92" s="5">
        <v>3</v>
      </c>
      <c r="R92" s="247">
        <f>4993.3/Q92</f>
        <v>1664.4333333333334</v>
      </c>
      <c r="S92" s="3"/>
      <c r="T92" s="3"/>
      <c r="U92" s="3"/>
      <c r="V92" s="3"/>
      <c r="W92" s="3"/>
      <c r="X92" s="3"/>
      <c r="Y92" s="3"/>
      <c r="Z92" s="247">
        <f t="shared" si="60"/>
        <v>1664.4333333333334</v>
      </c>
      <c r="AA92" s="247">
        <v>1000</v>
      </c>
      <c r="AB92" s="3"/>
      <c r="AC92" s="254">
        <f t="shared" si="50"/>
        <v>1000</v>
      </c>
      <c r="AD92" s="255">
        <f t="shared" si="51"/>
        <v>20973.200000000001</v>
      </c>
      <c r="AE92" s="253">
        <f t="shared" si="52"/>
        <v>62919.600000000006</v>
      </c>
      <c r="AF92" s="248">
        <f t="shared" si="56"/>
        <v>22544.600000000002</v>
      </c>
      <c r="AG92" s="248">
        <f t="shared" si="56"/>
        <v>154669.4</v>
      </c>
      <c r="AH92" s="5">
        <v>3</v>
      </c>
      <c r="AI92" s="253">
        <v>62919.600000000006</v>
      </c>
    </row>
    <row r="93" spans="1:35" x14ac:dyDescent="0.2">
      <c r="A93" s="9"/>
      <c r="B93" s="5"/>
      <c r="C93" s="3"/>
      <c r="D93" s="3"/>
      <c r="E93" s="3"/>
      <c r="F93" s="3"/>
      <c r="G93" s="3"/>
      <c r="H93" s="3"/>
      <c r="I93" s="3"/>
      <c r="J93" s="3"/>
      <c r="K93" s="3"/>
      <c r="L93" s="3"/>
      <c r="M93" s="3"/>
      <c r="O93" s="23"/>
      <c r="P93" s="6"/>
      <c r="Q93" s="5"/>
      <c r="R93" s="247"/>
      <c r="S93" s="3"/>
      <c r="T93" s="3"/>
      <c r="U93" s="3"/>
      <c r="V93" s="3"/>
      <c r="W93" s="3"/>
      <c r="X93" s="3"/>
      <c r="Y93" s="3"/>
      <c r="Z93" s="247"/>
      <c r="AA93" s="247"/>
      <c r="AB93" s="3"/>
      <c r="AD93" s="255"/>
      <c r="AE93" s="253"/>
      <c r="AF93" s="248">
        <f t="shared" si="56"/>
        <v>0</v>
      </c>
      <c r="AG93" s="248">
        <f t="shared" si="56"/>
        <v>0</v>
      </c>
      <c r="AH93" s="5"/>
      <c r="AI93" s="253"/>
    </row>
    <row r="94" spans="1:35" x14ac:dyDescent="0.2">
      <c r="A94" s="10" t="s">
        <v>602</v>
      </c>
      <c r="B94" s="244">
        <f>SUM(B96:B116)</f>
        <v>5634</v>
      </c>
      <c r="C94" s="245">
        <f t="shared" ref="C94:AE94" si="68">SUM(C96:C116)</f>
        <v>49506.096744186056</v>
      </c>
      <c r="D94" s="245">
        <f t="shared" si="68"/>
        <v>0</v>
      </c>
      <c r="E94" s="245">
        <f t="shared" si="68"/>
        <v>0</v>
      </c>
      <c r="F94" s="245">
        <f t="shared" si="68"/>
        <v>0</v>
      </c>
      <c r="G94" s="245">
        <f t="shared" si="68"/>
        <v>0</v>
      </c>
      <c r="H94" s="245">
        <f t="shared" si="68"/>
        <v>0</v>
      </c>
      <c r="I94" s="245">
        <f t="shared" si="68"/>
        <v>0</v>
      </c>
      <c r="J94" s="245">
        <f t="shared" si="68"/>
        <v>0</v>
      </c>
      <c r="K94" s="245">
        <f t="shared" si="68"/>
        <v>49506.096744186056</v>
      </c>
      <c r="L94" s="245">
        <f t="shared" si="68"/>
        <v>21000</v>
      </c>
      <c r="M94" s="245">
        <f t="shared" si="68"/>
        <v>0</v>
      </c>
      <c r="N94" s="245">
        <f t="shared" si="68"/>
        <v>21000</v>
      </c>
      <c r="O94" s="245">
        <f t="shared" si="68"/>
        <v>615073.16093023261</v>
      </c>
      <c r="P94" s="245">
        <f t="shared" si="68"/>
        <v>129220620.1172093</v>
      </c>
      <c r="Q94" s="244">
        <f>SUM(Q96:Q116)</f>
        <v>5291</v>
      </c>
      <c r="R94" s="245">
        <f t="shared" si="68"/>
        <v>48552.3556695183</v>
      </c>
      <c r="S94" s="245">
        <f t="shared" si="68"/>
        <v>0</v>
      </c>
      <c r="T94" s="245">
        <f t="shared" si="68"/>
        <v>0</v>
      </c>
      <c r="U94" s="245">
        <f t="shared" si="68"/>
        <v>0</v>
      </c>
      <c r="V94" s="245">
        <f t="shared" si="68"/>
        <v>0</v>
      </c>
      <c r="W94" s="245">
        <f t="shared" si="68"/>
        <v>0</v>
      </c>
      <c r="X94" s="245">
        <f t="shared" si="68"/>
        <v>0</v>
      </c>
      <c r="Y94" s="245">
        <f t="shared" si="68"/>
        <v>0</v>
      </c>
      <c r="Z94" s="245">
        <f t="shared" si="68"/>
        <v>48552.3556695183</v>
      </c>
      <c r="AA94" s="245">
        <f t="shared" si="68"/>
        <v>20000</v>
      </c>
      <c r="AB94" s="245">
        <f t="shared" si="68"/>
        <v>0</v>
      </c>
      <c r="AC94" s="245">
        <f t="shared" si="68"/>
        <v>20000</v>
      </c>
      <c r="AD94" s="245">
        <f t="shared" si="68"/>
        <v>602628.26803421963</v>
      </c>
      <c r="AE94" s="245">
        <f t="shared" si="68"/>
        <v>126569764.52</v>
      </c>
      <c r="AF94" s="246">
        <f t="shared" si="56"/>
        <v>12444.892896012985</v>
      </c>
      <c r="AG94" s="246">
        <f t="shared" si="56"/>
        <v>2650855.5972093046</v>
      </c>
      <c r="AH94" s="244">
        <f>SUM(AH96:AH116)</f>
        <v>5291</v>
      </c>
      <c r="AI94" s="245">
        <v>126569764.52</v>
      </c>
    </row>
    <row r="95" spans="1:35" x14ac:dyDescent="0.2">
      <c r="A95" s="9"/>
      <c r="B95" s="5"/>
      <c r="C95" s="3"/>
      <c r="D95" s="3"/>
      <c r="E95" s="3"/>
      <c r="F95" s="3"/>
      <c r="G95" s="3"/>
      <c r="H95" s="3"/>
      <c r="I95" s="3"/>
      <c r="J95" s="3"/>
      <c r="K95" s="3"/>
      <c r="L95" s="3"/>
      <c r="M95" s="3"/>
      <c r="O95" s="23"/>
      <c r="P95" s="6"/>
      <c r="Q95" s="5"/>
      <c r="R95" s="247"/>
      <c r="S95" s="3"/>
      <c r="T95" s="3"/>
      <c r="U95" s="3"/>
      <c r="V95" s="3"/>
      <c r="W95" s="3"/>
      <c r="X95" s="3"/>
      <c r="Y95" s="3"/>
      <c r="Z95" s="247"/>
      <c r="AA95" s="247"/>
      <c r="AB95" s="3"/>
      <c r="AD95" s="255"/>
      <c r="AE95" s="253"/>
      <c r="AF95" s="248">
        <f t="shared" si="56"/>
        <v>0</v>
      </c>
      <c r="AG95" s="248">
        <f t="shared" si="56"/>
        <v>0</v>
      </c>
      <c r="AH95" s="5"/>
      <c r="AI95" s="253"/>
    </row>
    <row r="96" spans="1:35" x14ac:dyDescent="0.2">
      <c r="A96" s="9" t="s">
        <v>603</v>
      </c>
      <c r="B96" s="249">
        <v>42</v>
      </c>
      <c r="C96" s="247">
        <f>146516.58/B96</f>
        <v>3488.49</v>
      </c>
      <c r="D96" s="3"/>
      <c r="E96" s="3"/>
      <c r="F96" s="3"/>
      <c r="G96" s="3"/>
      <c r="H96" s="3"/>
      <c r="I96" s="3"/>
      <c r="J96" s="3"/>
      <c r="K96" s="250">
        <f t="shared" ref="K96:K114" si="69">SUM(C96:J96)</f>
        <v>3488.49</v>
      </c>
      <c r="L96" s="250">
        <v>1000</v>
      </c>
      <c r="M96" s="3"/>
      <c r="N96" s="251">
        <f t="shared" ref="N96:N114" si="70">SUM(L96:M96)</f>
        <v>1000</v>
      </c>
      <c r="O96" s="252">
        <f t="shared" ref="O96:O114" si="71">(K96*12)+N96</f>
        <v>42861.88</v>
      </c>
      <c r="P96" s="253">
        <f t="shared" ref="P96:P114" si="72">+O96*B96</f>
        <v>1800198.96</v>
      </c>
      <c r="Q96" s="5">
        <v>42</v>
      </c>
      <c r="R96" s="247">
        <f>152747.35/Q96</f>
        <v>3636.8416666666667</v>
      </c>
      <c r="S96" s="3"/>
      <c r="T96" s="3"/>
      <c r="U96" s="3"/>
      <c r="V96" s="3"/>
      <c r="W96" s="3"/>
      <c r="X96" s="3"/>
      <c r="Y96" s="3"/>
      <c r="Z96" s="247">
        <f t="shared" si="60"/>
        <v>3636.8416666666667</v>
      </c>
      <c r="AA96" s="247">
        <v>1000</v>
      </c>
      <c r="AB96" s="3"/>
      <c r="AC96" s="254">
        <f t="shared" ref="AC96:AC116" si="73">SUM(AA96:AB96)</f>
        <v>1000</v>
      </c>
      <c r="AD96" s="255">
        <f t="shared" ref="AD96:AD116" si="74">+(Z96*12)+AC96</f>
        <v>44642.1</v>
      </c>
      <c r="AE96" s="253">
        <f t="shared" ref="AE96:AE115" si="75">+AD96*Q96</f>
        <v>1874968.2</v>
      </c>
      <c r="AF96" s="248">
        <f t="shared" si="56"/>
        <v>-1780.2200000000012</v>
      </c>
      <c r="AG96" s="248">
        <f t="shared" si="56"/>
        <v>-74769.239999999991</v>
      </c>
      <c r="AH96" s="5">
        <v>42</v>
      </c>
      <c r="AI96" s="253">
        <v>1874968.2</v>
      </c>
    </row>
    <row r="97" spans="1:35" x14ac:dyDescent="0.2">
      <c r="A97" s="9" t="s">
        <v>604</v>
      </c>
      <c r="B97" s="249">
        <v>123</v>
      </c>
      <c r="C97" s="247">
        <f>367785.99/B97</f>
        <v>2990.13</v>
      </c>
      <c r="D97" s="3"/>
      <c r="E97" s="3"/>
      <c r="F97" s="3"/>
      <c r="G97" s="3"/>
      <c r="H97" s="3"/>
      <c r="I97" s="3"/>
      <c r="J97" s="3"/>
      <c r="K97" s="250">
        <f t="shared" si="69"/>
        <v>2990.13</v>
      </c>
      <c r="L97" s="250">
        <v>1000</v>
      </c>
      <c r="M97" s="3"/>
      <c r="N97" s="251">
        <f t="shared" si="70"/>
        <v>1000</v>
      </c>
      <c r="O97" s="252">
        <f t="shared" si="71"/>
        <v>36881.56</v>
      </c>
      <c r="P97" s="253">
        <f t="shared" si="72"/>
        <v>4536431.88</v>
      </c>
      <c r="Q97" s="5">
        <v>121</v>
      </c>
      <c r="R97" s="247">
        <f>377306.67/Q97</f>
        <v>3118.2369421487601</v>
      </c>
      <c r="S97" s="3"/>
      <c r="T97" s="3"/>
      <c r="U97" s="3"/>
      <c r="V97" s="3"/>
      <c r="W97" s="3"/>
      <c r="X97" s="3"/>
      <c r="Y97" s="3"/>
      <c r="Z97" s="247">
        <f t="shared" si="60"/>
        <v>3118.2369421487601</v>
      </c>
      <c r="AA97" s="247">
        <v>1000</v>
      </c>
      <c r="AB97" s="3"/>
      <c r="AC97" s="254">
        <f t="shared" si="73"/>
        <v>1000</v>
      </c>
      <c r="AD97" s="255">
        <f t="shared" si="74"/>
        <v>38418.843305785122</v>
      </c>
      <c r="AE97" s="253">
        <f t="shared" si="75"/>
        <v>4648680.04</v>
      </c>
      <c r="AF97" s="248">
        <f t="shared" si="56"/>
        <v>-1537.283305785124</v>
      </c>
      <c r="AG97" s="248">
        <f t="shared" si="56"/>
        <v>-112248.16000000015</v>
      </c>
      <c r="AH97" s="5">
        <v>121</v>
      </c>
      <c r="AI97" s="253">
        <v>4648680.04</v>
      </c>
    </row>
    <row r="98" spans="1:35" x14ac:dyDescent="0.2">
      <c r="A98" s="9" t="s">
        <v>605</v>
      </c>
      <c r="B98" s="249">
        <v>181</v>
      </c>
      <c r="C98" s="247">
        <f>469052.45/B98</f>
        <v>2591.4500000000003</v>
      </c>
      <c r="D98" s="3"/>
      <c r="E98" s="3"/>
      <c r="F98" s="3"/>
      <c r="G98" s="3"/>
      <c r="H98" s="3"/>
      <c r="I98" s="3"/>
      <c r="J98" s="3"/>
      <c r="K98" s="250">
        <f t="shared" si="69"/>
        <v>2591.4500000000003</v>
      </c>
      <c r="L98" s="250">
        <v>1000</v>
      </c>
      <c r="M98" s="3"/>
      <c r="N98" s="251">
        <f t="shared" si="70"/>
        <v>1000</v>
      </c>
      <c r="O98" s="252">
        <f t="shared" si="71"/>
        <v>32097.4</v>
      </c>
      <c r="P98" s="253">
        <f t="shared" si="72"/>
        <v>5809629.4000000004</v>
      </c>
      <c r="Q98" s="5">
        <v>187</v>
      </c>
      <c r="R98" s="247">
        <f>505711.58/Q98</f>
        <v>2704.34</v>
      </c>
      <c r="S98" s="3"/>
      <c r="T98" s="3"/>
      <c r="U98" s="3"/>
      <c r="V98" s="3"/>
      <c r="W98" s="3"/>
      <c r="X98" s="3"/>
      <c r="Y98" s="3"/>
      <c r="Z98" s="247">
        <f t="shared" si="60"/>
        <v>2704.34</v>
      </c>
      <c r="AA98" s="247">
        <v>1000</v>
      </c>
      <c r="AB98" s="3"/>
      <c r="AC98" s="254">
        <f t="shared" si="73"/>
        <v>1000</v>
      </c>
      <c r="AD98" s="255">
        <f t="shared" si="74"/>
        <v>33452.080000000002</v>
      </c>
      <c r="AE98" s="253">
        <f t="shared" si="75"/>
        <v>6255538.96</v>
      </c>
      <c r="AF98" s="248">
        <f t="shared" si="56"/>
        <v>-1354.6800000000003</v>
      </c>
      <c r="AG98" s="248">
        <f t="shared" si="56"/>
        <v>-445909.55999999959</v>
      </c>
      <c r="AH98" s="5">
        <v>187</v>
      </c>
      <c r="AI98" s="253">
        <v>6255538.96</v>
      </c>
    </row>
    <row r="99" spans="1:35" x14ac:dyDescent="0.2">
      <c r="A99" s="9" t="s">
        <v>606</v>
      </c>
      <c r="B99" s="249">
        <v>346</v>
      </c>
      <c r="C99" s="247">
        <f>748727.3/313</f>
        <v>2392.1000000000004</v>
      </c>
      <c r="D99" s="3"/>
      <c r="E99" s="3"/>
      <c r="F99" s="3"/>
      <c r="G99" s="3"/>
      <c r="H99" s="3"/>
      <c r="I99" s="3"/>
      <c r="J99" s="3"/>
      <c r="K99" s="250">
        <f t="shared" si="69"/>
        <v>2392.1000000000004</v>
      </c>
      <c r="L99" s="250">
        <v>1000</v>
      </c>
      <c r="M99" s="3"/>
      <c r="N99" s="251">
        <f t="shared" si="70"/>
        <v>1000</v>
      </c>
      <c r="O99" s="252">
        <f t="shared" si="71"/>
        <v>29705.200000000004</v>
      </c>
      <c r="P99" s="253">
        <f t="shared" si="72"/>
        <v>10277999.200000001</v>
      </c>
      <c r="Q99" s="5">
        <v>313</v>
      </c>
      <c r="R99" s="247">
        <f>781240.82/Q99</f>
        <v>2495.9770607028754</v>
      </c>
      <c r="S99" s="3"/>
      <c r="T99" s="3"/>
      <c r="U99" s="3"/>
      <c r="V99" s="3"/>
      <c r="W99" s="3"/>
      <c r="X99" s="3"/>
      <c r="Y99" s="3"/>
      <c r="Z99" s="247">
        <f t="shared" si="60"/>
        <v>2495.9770607028754</v>
      </c>
      <c r="AA99" s="247">
        <v>1000</v>
      </c>
      <c r="AB99" s="3"/>
      <c r="AC99" s="254">
        <f t="shared" si="73"/>
        <v>1000</v>
      </c>
      <c r="AD99" s="255">
        <f t="shared" si="74"/>
        <v>30951.724728434507</v>
      </c>
      <c r="AE99" s="253">
        <f t="shared" si="75"/>
        <v>9687889.8399999999</v>
      </c>
      <c r="AF99" s="248">
        <f t="shared" si="56"/>
        <v>-1246.5247284345023</v>
      </c>
      <c r="AG99" s="248">
        <f t="shared" si="56"/>
        <v>590109.36000000127</v>
      </c>
      <c r="AH99" s="5">
        <v>313</v>
      </c>
      <c r="AI99" s="253">
        <v>9687889.8399999999</v>
      </c>
    </row>
    <row r="100" spans="1:35" x14ac:dyDescent="0.2">
      <c r="A100" s="9" t="s">
        <v>607</v>
      </c>
      <c r="B100" s="249">
        <v>212</v>
      </c>
      <c r="C100" s="247">
        <f>127874.98/43</f>
        <v>2973.8367441860464</v>
      </c>
      <c r="D100" s="3"/>
      <c r="E100" s="3"/>
      <c r="F100" s="3"/>
      <c r="G100" s="3"/>
      <c r="H100" s="3"/>
      <c r="I100" s="3"/>
      <c r="J100" s="3"/>
      <c r="K100" s="250">
        <f t="shared" si="69"/>
        <v>2973.8367441860464</v>
      </c>
      <c r="L100" s="250">
        <v>1000</v>
      </c>
      <c r="M100" s="3"/>
      <c r="N100" s="251">
        <f t="shared" si="70"/>
        <v>1000</v>
      </c>
      <c r="O100" s="252">
        <f t="shared" si="71"/>
        <v>36686.040930232557</v>
      </c>
      <c r="P100" s="253">
        <f t="shared" si="72"/>
        <v>7777440.6772093019</v>
      </c>
      <c r="Q100" s="5">
        <v>148</v>
      </c>
      <c r="R100" s="247">
        <f>338666.92/Q100</f>
        <v>2288.29</v>
      </c>
      <c r="S100" s="3"/>
      <c r="T100" s="3"/>
      <c r="U100" s="3"/>
      <c r="V100" s="3"/>
      <c r="W100" s="3"/>
      <c r="X100" s="3"/>
      <c r="Y100" s="3"/>
      <c r="Z100" s="247">
        <f t="shared" si="60"/>
        <v>2288.29</v>
      </c>
      <c r="AA100" s="247">
        <v>1000</v>
      </c>
      <c r="AB100" s="3"/>
      <c r="AC100" s="254">
        <f t="shared" si="73"/>
        <v>1000</v>
      </c>
      <c r="AD100" s="255">
        <f t="shared" si="74"/>
        <v>28459.48</v>
      </c>
      <c r="AE100" s="253">
        <f t="shared" si="75"/>
        <v>4212003.04</v>
      </c>
      <c r="AF100" s="248">
        <f t="shared" si="56"/>
        <v>8226.5609302325574</v>
      </c>
      <c r="AG100" s="248">
        <f t="shared" si="56"/>
        <v>3565437.6372093018</v>
      </c>
      <c r="AH100" s="5">
        <v>148</v>
      </c>
      <c r="AI100" s="253">
        <v>4212003.04</v>
      </c>
    </row>
    <row r="101" spans="1:35" x14ac:dyDescent="0.2">
      <c r="A101" s="9" t="s">
        <v>608</v>
      </c>
      <c r="B101" s="249">
        <v>286</v>
      </c>
      <c r="C101" s="247">
        <f>330907.72/B101</f>
        <v>1157.02</v>
      </c>
      <c r="D101" s="3"/>
      <c r="E101" s="3"/>
      <c r="F101" s="3"/>
      <c r="G101" s="3"/>
      <c r="H101" s="3"/>
      <c r="I101" s="3"/>
      <c r="J101" s="3"/>
      <c r="K101" s="250">
        <f t="shared" si="69"/>
        <v>1157.02</v>
      </c>
      <c r="L101" s="250">
        <v>1000</v>
      </c>
      <c r="M101" s="3"/>
      <c r="N101" s="251">
        <f t="shared" si="70"/>
        <v>1000</v>
      </c>
      <c r="O101" s="252">
        <f t="shared" si="71"/>
        <v>14884.24</v>
      </c>
      <c r="P101" s="253">
        <f t="shared" si="72"/>
        <v>4256892.6399999997</v>
      </c>
      <c r="Q101" s="5">
        <v>184</v>
      </c>
      <c r="R101" s="247">
        <f>382767.84/Q101</f>
        <v>2080.2600000000002</v>
      </c>
      <c r="S101" s="3"/>
      <c r="T101" s="3"/>
      <c r="U101" s="3"/>
      <c r="V101" s="3"/>
      <c r="W101" s="3"/>
      <c r="X101" s="3"/>
      <c r="Y101" s="3"/>
      <c r="Z101" s="247">
        <f t="shared" si="60"/>
        <v>2080.2600000000002</v>
      </c>
      <c r="AA101" s="247">
        <v>1000</v>
      </c>
      <c r="AB101" s="3"/>
      <c r="AC101" s="254">
        <f t="shared" si="73"/>
        <v>1000</v>
      </c>
      <c r="AD101" s="255">
        <f t="shared" si="74"/>
        <v>25963.120000000003</v>
      </c>
      <c r="AE101" s="253">
        <f t="shared" si="75"/>
        <v>4777214.08</v>
      </c>
      <c r="AF101" s="248">
        <f t="shared" si="56"/>
        <v>-11078.880000000003</v>
      </c>
      <c r="AG101" s="248">
        <f t="shared" si="56"/>
        <v>-520321.44000000041</v>
      </c>
      <c r="AH101" s="5">
        <v>184</v>
      </c>
      <c r="AI101" s="253">
        <v>4777214.08</v>
      </c>
    </row>
    <row r="102" spans="1:35" x14ac:dyDescent="0.2">
      <c r="A102" s="9" t="s">
        <v>641</v>
      </c>
      <c r="B102" s="249">
        <v>1</v>
      </c>
      <c r="C102" s="247">
        <v>3030</v>
      </c>
      <c r="D102" s="3"/>
      <c r="E102" s="3"/>
      <c r="F102" s="3"/>
      <c r="G102" s="3"/>
      <c r="H102" s="3"/>
      <c r="I102" s="3"/>
      <c r="J102" s="3"/>
      <c r="K102" s="250">
        <f t="shared" si="69"/>
        <v>3030</v>
      </c>
      <c r="L102" s="250">
        <v>1000</v>
      </c>
      <c r="M102" s="3"/>
      <c r="N102" s="251">
        <f t="shared" si="70"/>
        <v>1000</v>
      </c>
      <c r="O102" s="252">
        <f t="shared" si="71"/>
        <v>37360</v>
      </c>
      <c r="P102" s="253">
        <f t="shared" si="72"/>
        <v>37360</v>
      </c>
      <c r="Q102" s="5"/>
      <c r="R102" s="254"/>
      <c r="S102" s="3"/>
      <c r="T102" s="3"/>
      <c r="U102" s="3"/>
      <c r="V102" s="3"/>
      <c r="W102" s="3"/>
      <c r="X102" s="3"/>
      <c r="Y102" s="3"/>
      <c r="Z102" s="247"/>
      <c r="AA102" s="247"/>
      <c r="AB102" s="3"/>
      <c r="AC102" s="254"/>
      <c r="AD102" s="255"/>
      <c r="AE102" s="253">
        <f t="shared" si="75"/>
        <v>0</v>
      </c>
      <c r="AF102" s="248">
        <f t="shared" si="56"/>
        <v>37360</v>
      </c>
      <c r="AG102" s="248">
        <f t="shared" si="56"/>
        <v>37360</v>
      </c>
      <c r="AH102" s="5"/>
      <c r="AI102" s="253">
        <v>0</v>
      </c>
    </row>
    <row r="103" spans="1:35" x14ac:dyDescent="0.2">
      <c r="A103" s="9" t="s">
        <v>609</v>
      </c>
      <c r="B103" s="249">
        <v>8</v>
      </c>
      <c r="C103" s="247">
        <f>22326.32/B103</f>
        <v>2790.79</v>
      </c>
      <c r="D103" s="3"/>
      <c r="E103" s="3"/>
      <c r="F103" s="3"/>
      <c r="G103" s="3"/>
      <c r="H103" s="3"/>
      <c r="I103" s="3"/>
      <c r="J103" s="3"/>
      <c r="K103" s="250">
        <f t="shared" si="69"/>
        <v>2790.79</v>
      </c>
      <c r="L103" s="250">
        <v>1000</v>
      </c>
      <c r="M103" s="3"/>
      <c r="N103" s="251">
        <f t="shared" si="70"/>
        <v>1000</v>
      </c>
      <c r="O103" s="252">
        <f t="shared" si="71"/>
        <v>34489.479999999996</v>
      </c>
      <c r="P103" s="253">
        <f t="shared" si="72"/>
        <v>275915.83999999997</v>
      </c>
      <c r="Q103" s="5">
        <v>4</v>
      </c>
      <c r="R103" s="247">
        <f>11649.44/Q103</f>
        <v>2912.36</v>
      </c>
      <c r="S103" s="3"/>
      <c r="T103" s="3"/>
      <c r="U103" s="3"/>
      <c r="V103" s="3"/>
      <c r="W103" s="3"/>
      <c r="X103" s="3"/>
      <c r="Y103" s="3"/>
      <c r="Z103" s="247">
        <f t="shared" si="60"/>
        <v>2912.36</v>
      </c>
      <c r="AA103" s="247">
        <v>1000</v>
      </c>
      <c r="AB103" s="3"/>
      <c r="AC103" s="254">
        <f t="shared" si="73"/>
        <v>1000</v>
      </c>
      <c r="AD103" s="255">
        <f t="shared" si="74"/>
        <v>35948.32</v>
      </c>
      <c r="AE103" s="253">
        <f t="shared" si="75"/>
        <v>143793.28</v>
      </c>
      <c r="AF103" s="248">
        <f t="shared" si="56"/>
        <v>-1458.8400000000038</v>
      </c>
      <c r="AG103" s="248">
        <f t="shared" si="56"/>
        <v>132122.55999999997</v>
      </c>
      <c r="AH103" s="5">
        <v>4</v>
      </c>
      <c r="AI103" s="253">
        <v>143793.28</v>
      </c>
    </row>
    <row r="104" spans="1:35" x14ac:dyDescent="0.2">
      <c r="A104" s="9" t="s">
        <v>610</v>
      </c>
      <c r="B104" s="249">
        <v>21</v>
      </c>
      <c r="C104" s="247">
        <f>50234.1/B104</f>
        <v>2392.1</v>
      </c>
      <c r="D104" s="3"/>
      <c r="E104" s="3"/>
      <c r="F104" s="3"/>
      <c r="G104" s="3"/>
      <c r="H104" s="3"/>
      <c r="I104" s="3"/>
      <c r="J104" s="3"/>
      <c r="K104" s="250">
        <f t="shared" si="69"/>
        <v>2392.1</v>
      </c>
      <c r="L104" s="250">
        <v>1000</v>
      </c>
      <c r="M104" s="3"/>
      <c r="N104" s="251">
        <f t="shared" si="70"/>
        <v>1000</v>
      </c>
      <c r="O104" s="252">
        <f t="shared" si="71"/>
        <v>29705.199999999997</v>
      </c>
      <c r="P104" s="253">
        <f t="shared" si="72"/>
        <v>623809.19999999995</v>
      </c>
      <c r="Q104" s="5">
        <v>6</v>
      </c>
      <c r="R104" s="247">
        <f>14977.86/Q104</f>
        <v>2496.31</v>
      </c>
      <c r="S104" s="3"/>
      <c r="T104" s="3"/>
      <c r="U104" s="3"/>
      <c r="V104" s="3"/>
      <c r="W104" s="3"/>
      <c r="X104" s="3"/>
      <c r="Y104" s="3"/>
      <c r="Z104" s="247">
        <f t="shared" si="60"/>
        <v>2496.31</v>
      </c>
      <c r="AA104" s="247">
        <v>1000</v>
      </c>
      <c r="AB104" s="3"/>
      <c r="AC104" s="254">
        <f t="shared" si="73"/>
        <v>1000</v>
      </c>
      <c r="AD104" s="255">
        <f t="shared" si="74"/>
        <v>30955.72</v>
      </c>
      <c r="AE104" s="253">
        <f t="shared" si="75"/>
        <v>185734.32</v>
      </c>
      <c r="AF104" s="248">
        <f t="shared" si="56"/>
        <v>-1250.5200000000041</v>
      </c>
      <c r="AG104" s="248">
        <f t="shared" si="56"/>
        <v>438074.87999999995</v>
      </c>
      <c r="AH104" s="5">
        <v>6</v>
      </c>
      <c r="AI104" s="253">
        <v>185734.32</v>
      </c>
    </row>
    <row r="105" spans="1:35" x14ac:dyDescent="0.2">
      <c r="A105" s="9" t="s">
        <v>611</v>
      </c>
      <c r="B105" s="249">
        <v>36</v>
      </c>
      <c r="C105" s="247">
        <f>74633.76/B105</f>
        <v>2073.16</v>
      </c>
      <c r="D105" s="3"/>
      <c r="E105" s="3"/>
      <c r="F105" s="3"/>
      <c r="G105" s="3"/>
      <c r="H105" s="3"/>
      <c r="I105" s="3"/>
      <c r="J105" s="3"/>
      <c r="K105" s="250">
        <f t="shared" si="69"/>
        <v>2073.16</v>
      </c>
      <c r="L105" s="250">
        <v>1000</v>
      </c>
      <c r="M105" s="3"/>
      <c r="N105" s="251">
        <f t="shared" si="70"/>
        <v>1000</v>
      </c>
      <c r="O105" s="252">
        <f t="shared" si="71"/>
        <v>25877.919999999998</v>
      </c>
      <c r="P105" s="253">
        <f t="shared" si="72"/>
        <v>931605.11999999988</v>
      </c>
      <c r="Q105" s="5">
        <v>12</v>
      </c>
      <c r="R105" s="247">
        <f>25961.64/Q105</f>
        <v>2163.4699999999998</v>
      </c>
      <c r="S105" s="3"/>
      <c r="T105" s="3"/>
      <c r="U105" s="3"/>
      <c r="V105" s="3"/>
      <c r="W105" s="3"/>
      <c r="X105" s="3"/>
      <c r="Y105" s="3"/>
      <c r="Z105" s="247">
        <f t="shared" si="60"/>
        <v>2163.4699999999998</v>
      </c>
      <c r="AA105" s="247">
        <v>1000</v>
      </c>
      <c r="AB105" s="3"/>
      <c r="AC105" s="254">
        <f t="shared" si="73"/>
        <v>1000</v>
      </c>
      <c r="AD105" s="255">
        <f t="shared" si="74"/>
        <v>26961.64</v>
      </c>
      <c r="AE105" s="253">
        <f t="shared" si="75"/>
        <v>323539.68</v>
      </c>
      <c r="AF105" s="248">
        <f t="shared" si="56"/>
        <v>-1083.7200000000012</v>
      </c>
      <c r="AG105" s="248">
        <f t="shared" si="56"/>
        <v>608065.43999999994</v>
      </c>
      <c r="AH105" s="5">
        <v>12</v>
      </c>
      <c r="AI105" s="253">
        <v>323539.68</v>
      </c>
    </row>
    <row r="106" spans="1:35" x14ac:dyDescent="0.2">
      <c r="A106" s="9" t="s">
        <v>612</v>
      </c>
      <c r="B106" s="249">
        <v>129</v>
      </c>
      <c r="C106" s="247">
        <f>246864.72/B106</f>
        <v>1913.68</v>
      </c>
      <c r="D106" s="3"/>
      <c r="E106" s="3"/>
      <c r="F106" s="3"/>
      <c r="G106" s="3"/>
      <c r="H106" s="3"/>
      <c r="I106" s="3"/>
      <c r="J106" s="3"/>
      <c r="K106" s="250">
        <f t="shared" si="69"/>
        <v>1913.68</v>
      </c>
      <c r="L106" s="250">
        <v>1000</v>
      </c>
      <c r="M106" s="3"/>
      <c r="N106" s="251">
        <f t="shared" si="70"/>
        <v>1000</v>
      </c>
      <c r="O106" s="252">
        <f t="shared" si="71"/>
        <v>23964.16</v>
      </c>
      <c r="P106" s="253">
        <f t="shared" si="72"/>
        <v>3091376.64</v>
      </c>
      <c r="Q106" s="5">
        <v>62</v>
      </c>
      <c r="R106" s="247">
        <f>123817.1/Q106</f>
        <v>1997.0500000000002</v>
      </c>
      <c r="S106" s="3"/>
      <c r="T106" s="3"/>
      <c r="U106" s="3"/>
      <c r="V106" s="3"/>
      <c r="W106" s="3"/>
      <c r="X106" s="3"/>
      <c r="Y106" s="3"/>
      <c r="Z106" s="247">
        <f t="shared" si="60"/>
        <v>1997.0500000000002</v>
      </c>
      <c r="AA106" s="247">
        <v>1000</v>
      </c>
      <c r="AB106" s="3"/>
      <c r="AC106" s="254">
        <f t="shared" si="73"/>
        <v>1000</v>
      </c>
      <c r="AD106" s="255">
        <f t="shared" si="74"/>
        <v>24964.600000000002</v>
      </c>
      <c r="AE106" s="253">
        <f t="shared" si="75"/>
        <v>1547805.2000000002</v>
      </c>
      <c r="AF106" s="248">
        <f t="shared" si="56"/>
        <v>-1000.4400000000023</v>
      </c>
      <c r="AG106" s="248">
        <f t="shared" si="56"/>
        <v>1543571.44</v>
      </c>
      <c r="AH106" s="5">
        <v>62</v>
      </c>
      <c r="AI106" s="253">
        <v>1547805.2000000002</v>
      </c>
    </row>
    <row r="107" spans="1:35" x14ac:dyDescent="0.2">
      <c r="A107" s="9" t="s">
        <v>613</v>
      </c>
      <c r="B107" s="249">
        <v>204</v>
      </c>
      <c r="C107" s="247">
        <f>357858.84/B107</f>
        <v>1754.21</v>
      </c>
      <c r="D107" s="3"/>
      <c r="E107" s="3"/>
      <c r="F107" s="3"/>
      <c r="G107" s="3"/>
      <c r="H107" s="3"/>
      <c r="I107" s="3"/>
      <c r="J107" s="3"/>
      <c r="K107" s="250">
        <f t="shared" si="69"/>
        <v>1754.21</v>
      </c>
      <c r="L107" s="250">
        <v>1000</v>
      </c>
      <c r="M107" s="3"/>
      <c r="N107" s="251">
        <f t="shared" si="70"/>
        <v>1000</v>
      </c>
      <c r="O107" s="252">
        <f t="shared" si="71"/>
        <v>22050.52</v>
      </c>
      <c r="P107" s="253">
        <f t="shared" si="72"/>
        <v>4498306.08</v>
      </c>
      <c r="Q107" s="5">
        <v>96</v>
      </c>
      <c r="R107" s="247">
        <f>175740.48/Q107</f>
        <v>1830.63</v>
      </c>
      <c r="S107" s="3"/>
      <c r="T107" s="3"/>
      <c r="U107" s="3"/>
      <c r="V107" s="3"/>
      <c r="W107" s="3"/>
      <c r="X107" s="3"/>
      <c r="Y107" s="3"/>
      <c r="Z107" s="247">
        <f t="shared" si="60"/>
        <v>1830.63</v>
      </c>
      <c r="AA107" s="247">
        <v>1000</v>
      </c>
      <c r="AB107" s="3"/>
      <c r="AC107" s="254">
        <f t="shared" si="73"/>
        <v>1000</v>
      </c>
      <c r="AD107" s="255">
        <f t="shared" si="74"/>
        <v>22967.56</v>
      </c>
      <c r="AE107" s="253">
        <f t="shared" si="75"/>
        <v>2204885.7600000002</v>
      </c>
      <c r="AF107" s="248">
        <f t="shared" si="56"/>
        <v>-917.04000000000087</v>
      </c>
      <c r="AG107" s="248">
        <f t="shared" si="56"/>
        <v>2293420.3199999998</v>
      </c>
      <c r="AH107" s="5">
        <v>96</v>
      </c>
      <c r="AI107" s="253">
        <v>2204885.7600000002</v>
      </c>
    </row>
    <row r="108" spans="1:35" x14ac:dyDescent="0.2">
      <c r="A108" s="9" t="s">
        <v>614</v>
      </c>
      <c r="B108" s="249">
        <v>218</v>
      </c>
      <c r="C108" s="247">
        <f>347653.32/B108</f>
        <v>1594.74</v>
      </c>
      <c r="D108" s="3"/>
      <c r="E108" s="3"/>
      <c r="F108" s="3"/>
      <c r="G108" s="3"/>
      <c r="H108" s="3"/>
      <c r="I108" s="3"/>
      <c r="J108" s="3"/>
      <c r="K108" s="250">
        <f t="shared" si="69"/>
        <v>1594.74</v>
      </c>
      <c r="L108" s="250">
        <v>1000</v>
      </c>
      <c r="M108" s="3"/>
      <c r="N108" s="251">
        <f t="shared" si="70"/>
        <v>1000</v>
      </c>
      <c r="O108" s="252">
        <f t="shared" si="71"/>
        <v>20136.88</v>
      </c>
      <c r="P108" s="253">
        <f t="shared" si="72"/>
        <v>4389839.84</v>
      </c>
      <c r="Q108" s="5">
        <v>125</v>
      </c>
      <c r="R108" s="247">
        <f>208026.25/Q108</f>
        <v>1664.21</v>
      </c>
      <c r="S108" s="3"/>
      <c r="T108" s="3"/>
      <c r="U108" s="3"/>
      <c r="V108" s="3"/>
      <c r="W108" s="3"/>
      <c r="X108" s="3"/>
      <c r="Y108" s="3"/>
      <c r="Z108" s="247">
        <f t="shared" si="60"/>
        <v>1664.21</v>
      </c>
      <c r="AA108" s="247">
        <v>1000</v>
      </c>
      <c r="AB108" s="3"/>
      <c r="AC108" s="254">
        <f t="shared" si="73"/>
        <v>1000</v>
      </c>
      <c r="AD108" s="255">
        <f t="shared" si="74"/>
        <v>20970.52</v>
      </c>
      <c r="AE108" s="253">
        <f t="shared" si="75"/>
        <v>2621315</v>
      </c>
      <c r="AF108" s="248">
        <f t="shared" si="56"/>
        <v>-833.63999999999942</v>
      </c>
      <c r="AG108" s="248">
        <f t="shared" si="56"/>
        <v>1768524.8399999999</v>
      </c>
      <c r="AH108" s="5">
        <v>125</v>
      </c>
      <c r="AI108" s="253">
        <v>2621315</v>
      </c>
    </row>
    <row r="109" spans="1:35" x14ac:dyDescent="0.2">
      <c r="A109" s="9" t="s">
        <v>615</v>
      </c>
      <c r="B109" s="249">
        <v>36</v>
      </c>
      <c r="C109" s="247">
        <f>94189.32/B109</f>
        <v>2616.3700000000003</v>
      </c>
      <c r="D109" s="3"/>
      <c r="E109" s="3"/>
      <c r="F109" s="3"/>
      <c r="G109" s="3"/>
      <c r="H109" s="3"/>
      <c r="I109" s="3"/>
      <c r="J109" s="3"/>
      <c r="K109" s="250">
        <f t="shared" si="69"/>
        <v>2616.3700000000003</v>
      </c>
      <c r="L109" s="250">
        <v>1000</v>
      </c>
      <c r="M109" s="3"/>
      <c r="N109" s="251">
        <f t="shared" si="70"/>
        <v>1000</v>
      </c>
      <c r="O109" s="252">
        <f t="shared" si="71"/>
        <v>32396.440000000002</v>
      </c>
      <c r="P109" s="253">
        <f t="shared" si="72"/>
        <v>1166271.8400000001</v>
      </c>
      <c r="Q109" s="5">
        <v>39</v>
      </c>
      <c r="R109" s="247">
        <f>106483.26/Q109</f>
        <v>2730.3399999999997</v>
      </c>
      <c r="S109" s="3"/>
      <c r="T109" s="3"/>
      <c r="U109" s="3"/>
      <c r="V109" s="3"/>
      <c r="W109" s="3"/>
      <c r="X109" s="3"/>
      <c r="Y109" s="3"/>
      <c r="Z109" s="247">
        <f t="shared" si="60"/>
        <v>2730.3399999999997</v>
      </c>
      <c r="AA109" s="247">
        <v>1000</v>
      </c>
      <c r="AB109" s="3"/>
      <c r="AC109" s="254">
        <f t="shared" si="73"/>
        <v>1000</v>
      </c>
      <c r="AD109" s="255">
        <f t="shared" si="74"/>
        <v>33764.079999999994</v>
      </c>
      <c r="AE109" s="253">
        <f t="shared" si="75"/>
        <v>1316799.1199999999</v>
      </c>
      <c r="AF109" s="248">
        <f t="shared" si="56"/>
        <v>-1367.6399999999921</v>
      </c>
      <c r="AG109" s="248">
        <f t="shared" si="56"/>
        <v>-150527.2799999998</v>
      </c>
      <c r="AH109" s="5">
        <v>39</v>
      </c>
      <c r="AI109" s="253">
        <v>1316799.1199999999</v>
      </c>
    </row>
    <row r="110" spans="1:35" x14ac:dyDescent="0.2">
      <c r="A110" s="9" t="s">
        <v>616</v>
      </c>
      <c r="B110" s="249">
        <v>92</v>
      </c>
      <c r="C110" s="247">
        <f>206319.2/B110</f>
        <v>2242.6</v>
      </c>
      <c r="D110" s="3"/>
      <c r="E110" s="3"/>
      <c r="F110" s="3"/>
      <c r="G110" s="3"/>
      <c r="H110" s="3"/>
      <c r="I110" s="3"/>
      <c r="J110" s="3"/>
      <c r="K110" s="250">
        <f t="shared" si="69"/>
        <v>2242.6</v>
      </c>
      <c r="L110" s="250">
        <v>1000</v>
      </c>
      <c r="M110" s="3"/>
      <c r="N110" s="251">
        <f t="shared" si="70"/>
        <v>1000</v>
      </c>
      <c r="O110" s="252">
        <f t="shared" si="71"/>
        <v>27911.199999999997</v>
      </c>
      <c r="P110" s="253">
        <f t="shared" si="72"/>
        <v>2567830.4</v>
      </c>
      <c r="Q110" s="5">
        <v>110</v>
      </c>
      <c r="R110" s="247">
        <f>257431.9/Q110</f>
        <v>2340.29</v>
      </c>
      <c r="S110" s="3"/>
      <c r="T110" s="3"/>
      <c r="U110" s="3"/>
      <c r="V110" s="3"/>
      <c r="W110" s="3"/>
      <c r="X110" s="3"/>
      <c r="Y110" s="3"/>
      <c r="Z110" s="247">
        <f t="shared" si="60"/>
        <v>2340.29</v>
      </c>
      <c r="AA110" s="247">
        <v>1000</v>
      </c>
      <c r="AB110" s="3"/>
      <c r="AC110" s="254">
        <f t="shared" si="73"/>
        <v>1000</v>
      </c>
      <c r="AD110" s="255">
        <f t="shared" si="74"/>
        <v>29083.48</v>
      </c>
      <c r="AE110" s="253">
        <f t="shared" si="75"/>
        <v>3199182.8</v>
      </c>
      <c r="AF110" s="248">
        <f t="shared" si="56"/>
        <v>-1172.2800000000025</v>
      </c>
      <c r="AG110" s="248">
        <f t="shared" si="56"/>
        <v>-631352.39999999991</v>
      </c>
      <c r="AH110" s="5">
        <v>110</v>
      </c>
      <c r="AI110" s="253">
        <v>3199182.8</v>
      </c>
    </row>
    <row r="111" spans="1:35" x14ac:dyDescent="0.2">
      <c r="A111" s="9" t="s">
        <v>617</v>
      </c>
      <c r="B111" s="249">
        <v>276</v>
      </c>
      <c r="C111" s="247">
        <f>536428.08/B111</f>
        <v>1943.58</v>
      </c>
      <c r="D111" s="3"/>
      <c r="E111" s="3"/>
      <c r="F111" s="3"/>
      <c r="G111" s="3"/>
      <c r="H111" s="3"/>
      <c r="I111" s="3"/>
      <c r="J111" s="3"/>
      <c r="K111" s="250">
        <f t="shared" si="69"/>
        <v>1943.58</v>
      </c>
      <c r="L111" s="250">
        <v>1000</v>
      </c>
      <c r="M111" s="3"/>
      <c r="N111" s="251">
        <f t="shared" si="70"/>
        <v>1000</v>
      </c>
      <c r="O111" s="252">
        <f t="shared" si="71"/>
        <v>24322.959999999999</v>
      </c>
      <c r="P111" s="253">
        <f t="shared" si="72"/>
        <v>6713136.96</v>
      </c>
      <c r="Q111" s="5">
        <v>295</v>
      </c>
      <c r="R111" s="247">
        <f>598333.75/Q111</f>
        <v>2028.25</v>
      </c>
      <c r="S111" s="3"/>
      <c r="T111" s="3"/>
      <c r="U111" s="3"/>
      <c r="V111" s="3"/>
      <c r="W111" s="3"/>
      <c r="X111" s="3"/>
      <c r="Y111" s="3"/>
      <c r="Z111" s="247">
        <f t="shared" si="60"/>
        <v>2028.25</v>
      </c>
      <c r="AA111" s="247">
        <v>1000</v>
      </c>
      <c r="AB111" s="3"/>
      <c r="AC111" s="254">
        <f t="shared" si="73"/>
        <v>1000</v>
      </c>
      <c r="AD111" s="255">
        <f t="shared" si="74"/>
        <v>25339</v>
      </c>
      <c r="AE111" s="253">
        <f t="shared" si="75"/>
        <v>7475005</v>
      </c>
      <c r="AF111" s="248">
        <f t="shared" si="56"/>
        <v>-1016.0400000000009</v>
      </c>
      <c r="AG111" s="248">
        <f t="shared" si="56"/>
        <v>-761868.04</v>
      </c>
      <c r="AH111" s="5">
        <v>295</v>
      </c>
      <c r="AI111" s="253">
        <v>7475005</v>
      </c>
    </row>
    <row r="112" spans="1:35" x14ac:dyDescent="0.2">
      <c r="A112" s="9" t="s">
        <v>618</v>
      </c>
      <c r="B112" s="249">
        <v>880</v>
      </c>
      <c r="C112" s="247">
        <f>1578790.4/B112</f>
        <v>1794.08</v>
      </c>
      <c r="D112" s="3"/>
      <c r="E112" s="3"/>
      <c r="F112" s="3"/>
      <c r="G112" s="3"/>
      <c r="H112" s="3"/>
      <c r="I112" s="3"/>
      <c r="J112" s="3"/>
      <c r="K112" s="250">
        <f t="shared" si="69"/>
        <v>1794.08</v>
      </c>
      <c r="L112" s="250">
        <v>1000</v>
      </c>
      <c r="M112" s="3"/>
      <c r="N112" s="251">
        <f t="shared" si="70"/>
        <v>1000</v>
      </c>
      <c r="O112" s="252">
        <f t="shared" si="71"/>
        <v>22528.959999999999</v>
      </c>
      <c r="P112" s="253">
        <f t="shared" si="72"/>
        <v>19825484.800000001</v>
      </c>
      <c r="Q112" s="5">
        <v>916</v>
      </c>
      <c r="R112" s="247">
        <f>1714962.68/Q112</f>
        <v>1872.23</v>
      </c>
      <c r="S112" s="3"/>
      <c r="T112" s="3"/>
      <c r="U112" s="3"/>
      <c r="V112" s="3"/>
      <c r="W112" s="3"/>
      <c r="X112" s="3"/>
      <c r="Y112" s="3"/>
      <c r="Z112" s="247">
        <f t="shared" si="60"/>
        <v>1872.23</v>
      </c>
      <c r="AA112" s="247">
        <v>1000</v>
      </c>
      <c r="AB112" s="3"/>
      <c r="AC112" s="254">
        <f t="shared" si="73"/>
        <v>1000</v>
      </c>
      <c r="AD112" s="255">
        <f t="shared" si="74"/>
        <v>23466.760000000002</v>
      </c>
      <c r="AE112" s="253">
        <f t="shared" si="75"/>
        <v>21495552.16</v>
      </c>
      <c r="AF112" s="248">
        <f t="shared" si="56"/>
        <v>-937.80000000000291</v>
      </c>
      <c r="AG112" s="248">
        <f t="shared" si="56"/>
        <v>-1670067.3599999994</v>
      </c>
      <c r="AH112" s="5">
        <v>916</v>
      </c>
      <c r="AI112" s="253">
        <v>21495552.16</v>
      </c>
    </row>
    <row r="113" spans="1:35" x14ac:dyDescent="0.2">
      <c r="A113" s="9" t="s">
        <v>619</v>
      </c>
      <c r="B113" s="249">
        <v>1236</v>
      </c>
      <c r="C113" s="247">
        <f>2032688.52/B113</f>
        <v>1644.57</v>
      </c>
      <c r="D113" s="3"/>
      <c r="E113" s="3"/>
      <c r="F113" s="3"/>
      <c r="G113" s="3"/>
      <c r="H113" s="3"/>
      <c r="I113" s="3"/>
      <c r="J113" s="3"/>
      <c r="K113" s="250">
        <f t="shared" si="69"/>
        <v>1644.57</v>
      </c>
      <c r="L113" s="250">
        <v>1000</v>
      </c>
      <c r="M113" s="3"/>
      <c r="N113" s="251">
        <f t="shared" si="70"/>
        <v>1000</v>
      </c>
      <c r="O113" s="252">
        <f t="shared" si="71"/>
        <v>20734.84</v>
      </c>
      <c r="P113" s="253">
        <f t="shared" si="72"/>
        <v>25628262.239999998</v>
      </c>
      <c r="Q113" s="5">
        <v>1280</v>
      </c>
      <c r="R113" s="247">
        <f>2196748.8/Q113</f>
        <v>1716.2099999999998</v>
      </c>
      <c r="S113" s="3"/>
      <c r="T113" s="3"/>
      <c r="U113" s="3"/>
      <c r="V113" s="3"/>
      <c r="W113" s="3"/>
      <c r="X113" s="3"/>
      <c r="Y113" s="3"/>
      <c r="Z113" s="247">
        <f t="shared" si="60"/>
        <v>1716.2099999999998</v>
      </c>
      <c r="AA113" s="247">
        <v>1000</v>
      </c>
      <c r="AB113" s="3"/>
      <c r="AC113" s="254">
        <f t="shared" si="73"/>
        <v>1000</v>
      </c>
      <c r="AD113" s="255">
        <f t="shared" si="74"/>
        <v>21594.519999999997</v>
      </c>
      <c r="AE113" s="253">
        <f t="shared" si="75"/>
        <v>27640985.599999994</v>
      </c>
      <c r="AF113" s="248">
        <f t="shared" si="56"/>
        <v>-859.67999999999665</v>
      </c>
      <c r="AG113" s="248">
        <f t="shared" si="56"/>
        <v>-2012723.3599999957</v>
      </c>
      <c r="AH113" s="5">
        <v>1280</v>
      </c>
      <c r="AI113" s="253">
        <v>27640985.599999994</v>
      </c>
    </row>
    <row r="114" spans="1:35" x14ac:dyDescent="0.2">
      <c r="A114" s="9" t="s">
        <v>620</v>
      </c>
      <c r="B114" s="249">
        <v>1296</v>
      </c>
      <c r="C114" s="247">
        <f>1937610.72/B114</f>
        <v>1495.07</v>
      </c>
      <c r="D114" s="3"/>
      <c r="E114" s="3"/>
      <c r="F114" s="3"/>
      <c r="G114" s="3"/>
      <c r="H114" s="3"/>
      <c r="I114" s="3"/>
      <c r="J114" s="3"/>
      <c r="K114" s="250">
        <f t="shared" si="69"/>
        <v>1495.07</v>
      </c>
      <c r="L114" s="250">
        <v>1000</v>
      </c>
      <c r="M114" s="3"/>
      <c r="N114" s="251">
        <f t="shared" si="70"/>
        <v>1000</v>
      </c>
      <c r="O114" s="252">
        <f t="shared" si="71"/>
        <v>18940.84</v>
      </c>
      <c r="P114" s="253">
        <f t="shared" si="72"/>
        <v>24547328.640000001</v>
      </c>
      <c r="Q114" s="5">
        <v>1338</v>
      </c>
      <c r="R114" s="247">
        <f>2087547.6/Q114</f>
        <v>1560.2</v>
      </c>
      <c r="S114" s="3"/>
      <c r="T114" s="3"/>
      <c r="U114" s="3"/>
      <c r="V114" s="3"/>
      <c r="W114" s="3"/>
      <c r="X114" s="3"/>
      <c r="Y114" s="3"/>
      <c r="Z114" s="247">
        <f t="shared" si="60"/>
        <v>1560.2</v>
      </c>
      <c r="AA114" s="247">
        <v>1000</v>
      </c>
      <c r="AB114" s="3"/>
      <c r="AC114" s="254">
        <f t="shared" si="73"/>
        <v>1000</v>
      </c>
      <c r="AD114" s="255">
        <f t="shared" si="74"/>
        <v>19722.400000000001</v>
      </c>
      <c r="AE114" s="253">
        <f t="shared" si="75"/>
        <v>26388571.200000003</v>
      </c>
      <c r="AF114" s="248">
        <f t="shared" si="56"/>
        <v>-781.56000000000131</v>
      </c>
      <c r="AG114" s="248">
        <f t="shared" si="56"/>
        <v>-1841242.5600000024</v>
      </c>
      <c r="AH114" s="5">
        <v>1338</v>
      </c>
      <c r="AI114" s="253">
        <v>26388571.200000003</v>
      </c>
    </row>
    <row r="115" spans="1:35" x14ac:dyDescent="0.2">
      <c r="A115" s="9" t="s">
        <v>621</v>
      </c>
      <c r="B115" s="249">
        <v>4</v>
      </c>
      <c r="C115" s="247">
        <f>11362.48/B115</f>
        <v>2840.62</v>
      </c>
      <c r="D115" s="3"/>
      <c r="E115" s="3"/>
      <c r="F115" s="3"/>
      <c r="G115" s="3"/>
      <c r="H115" s="3"/>
      <c r="I115" s="3"/>
      <c r="J115" s="3"/>
      <c r="K115" s="250">
        <f>SUM(C115:J115)</f>
        <v>2840.62</v>
      </c>
      <c r="L115" s="250">
        <v>1000</v>
      </c>
      <c r="M115" s="3"/>
      <c r="N115" s="251">
        <f>SUM(L115:M115)</f>
        <v>1000</v>
      </c>
      <c r="O115" s="252">
        <f>(K115*12)+N115</f>
        <v>35087.440000000002</v>
      </c>
      <c r="P115" s="253">
        <f>+O115*B115</f>
        <v>140349.76000000001</v>
      </c>
      <c r="Q115" s="5">
        <v>5</v>
      </c>
      <c r="R115" s="247">
        <f>14821.85/Q115</f>
        <v>2964.37</v>
      </c>
      <c r="S115" s="3"/>
      <c r="T115" s="3"/>
      <c r="U115" s="3"/>
      <c r="V115" s="3"/>
      <c r="W115" s="3"/>
      <c r="X115" s="3"/>
      <c r="Y115" s="3"/>
      <c r="Z115" s="247">
        <f t="shared" si="60"/>
        <v>2964.37</v>
      </c>
      <c r="AA115" s="247">
        <v>1000</v>
      </c>
      <c r="AB115" s="3"/>
      <c r="AC115" s="254">
        <f t="shared" si="73"/>
        <v>1000</v>
      </c>
      <c r="AD115" s="255">
        <f t="shared" si="74"/>
        <v>36572.44</v>
      </c>
      <c r="AE115" s="253">
        <f t="shared" si="75"/>
        <v>182862.2</v>
      </c>
      <c r="AF115" s="248">
        <f t="shared" si="56"/>
        <v>-1485</v>
      </c>
      <c r="AG115" s="248">
        <f t="shared" si="56"/>
        <v>-42512.44</v>
      </c>
      <c r="AH115" s="5">
        <v>5</v>
      </c>
      <c r="AI115" s="253">
        <v>182862.2</v>
      </c>
    </row>
    <row r="116" spans="1:35" x14ac:dyDescent="0.2">
      <c r="A116" s="9" t="s">
        <v>622</v>
      </c>
      <c r="B116" s="249">
        <v>7</v>
      </c>
      <c r="C116" s="247">
        <f>26512.5/B116</f>
        <v>3787.5</v>
      </c>
      <c r="D116" s="3"/>
      <c r="E116" s="3"/>
      <c r="F116" s="3"/>
      <c r="G116" s="3"/>
      <c r="H116" s="3"/>
      <c r="I116" s="3"/>
      <c r="J116" s="3"/>
      <c r="K116" s="250">
        <f t="shared" ref="K116" si="76">SUM(C116:J116)</f>
        <v>3787.5</v>
      </c>
      <c r="L116" s="250">
        <v>1000</v>
      </c>
      <c r="M116" s="3"/>
      <c r="N116" s="251">
        <f t="shared" ref="N116" si="77">SUM(L116:M116)</f>
        <v>1000</v>
      </c>
      <c r="O116" s="252">
        <f t="shared" ref="O116" si="78">(K116*12)+N116</f>
        <v>46450</v>
      </c>
      <c r="P116" s="253">
        <f t="shared" ref="P116" si="79">+O116*B116</f>
        <v>325150</v>
      </c>
      <c r="Q116" s="5">
        <v>8</v>
      </c>
      <c r="R116" s="247">
        <f>31619.92/Q116</f>
        <v>3952.49</v>
      </c>
      <c r="S116" s="3"/>
      <c r="T116" s="3"/>
      <c r="U116" s="3"/>
      <c r="V116" s="3"/>
      <c r="W116" s="3"/>
      <c r="X116" s="3"/>
      <c r="Y116" s="3"/>
      <c r="Z116" s="247">
        <f t="shared" si="60"/>
        <v>3952.49</v>
      </c>
      <c r="AA116" s="247">
        <v>1000</v>
      </c>
      <c r="AB116" s="3"/>
      <c r="AC116" s="254">
        <f t="shared" si="73"/>
        <v>1000</v>
      </c>
      <c r="AD116" s="255">
        <f t="shared" si="74"/>
        <v>48429.88</v>
      </c>
      <c r="AE116" s="253">
        <f>+AD116*Q116</f>
        <v>387439.04</v>
      </c>
      <c r="AF116" s="248">
        <f t="shared" si="56"/>
        <v>-1979.8799999999974</v>
      </c>
      <c r="AG116" s="248">
        <f t="shared" si="56"/>
        <v>-62289.039999999979</v>
      </c>
      <c r="AH116" s="5">
        <v>8</v>
      </c>
      <c r="AI116" s="253">
        <v>387439.04</v>
      </c>
    </row>
    <row r="117" spans="1:35" x14ac:dyDescent="0.2">
      <c r="A117" s="9"/>
      <c r="B117" s="5"/>
      <c r="C117" s="3"/>
      <c r="D117" s="3"/>
      <c r="E117" s="3"/>
      <c r="F117" s="3"/>
      <c r="G117" s="3"/>
      <c r="H117" s="3"/>
      <c r="I117" s="3"/>
      <c r="J117" s="3"/>
      <c r="K117" s="3"/>
      <c r="L117" s="3"/>
      <c r="M117" s="3"/>
      <c r="O117" s="23"/>
      <c r="P117" s="6"/>
      <c r="Q117" s="5"/>
      <c r="R117" s="247"/>
      <c r="S117" s="3"/>
      <c r="T117" s="3"/>
      <c r="U117" s="3"/>
      <c r="V117" s="3"/>
      <c r="W117" s="3"/>
      <c r="X117" s="3"/>
      <c r="Y117" s="3"/>
      <c r="Z117" s="247"/>
      <c r="AA117" s="247"/>
      <c r="AB117" s="3"/>
      <c r="AD117" s="255"/>
      <c r="AE117" s="253"/>
      <c r="AF117" s="248">
        <f t="shared" si="56"/>
        <v>0</v>
      </c>
      <c r="AG117" s="248">
        <f t="shared" si="56"/>
        <v>0</v>
      </c>
      <c r="AH117" s="5"/>
      <c r="AI117" s="253"/>
    </row>
    <row r="118" spans="1:35" x14ac:dyDescent="0.2">
      <c r="A118" s="10" t="s">
        <v>623</v>
      </c>
      <c r="B118" s="244">
        <f>SUM(B120:B121)</f>
        <v>2324</v>
      </c>
      <c r="C118" s="245">
        <f t="shared" ref="C118:AE118" si="80">SUM(C120:C121)</f>
        <v>3488.49</v>
      </c>
      <c r="D118" s="245">
        <f t="shared" si="80"/>
        <v>0</v>
      </c>
      <c r="E118" s="245">
        <f t="shared" si="80"/>
        <v>0</v>
      </c>
      <c r="F118" s="245">
        <f t="shared" si="80"/>
        <v>0</v>
      </c>
      <c r="G118" s="245">
        <f t="shared" si="80"/>
        <v>0</v>
      </c>
      <c r="H118" s="245">
        <f t="shared" si="80"/>
        <v>0</v>
      </c>
      <c r="I118" s="245">
        <f t="shared" si="80"/>
        <v>0</v>
      </c>
      <c r="J118" s="245">
        <f t="shared" si="80"/>
        <v>0</v>
      </c>
      <c r="K118" s="245">
        <f t="shared" si="80"/>
        <v>3488.49</v>
      </c>
      <c r="L118" s="245">
        <f t="shared" si="80"/>
        <v>2000</v>
      </c>
      <c r="M118" s="245">
        <f t="shared" si="80"/>
        <v>0</v>
      </c>
      <c r="N118" s="245">
        <f t="shared" si="80"/>
        <v>2000</v>
      </c>
      <c r="O118" s="245">
        <f t="shared" si="80"/>
        <v>43861.88</v>
      </c>
      <c r="P118" s="245">
        <f t="shared" si="80"/>
        <v>44179977.559999995</v>
      </c>
      <c r="Q118" s="244">
        <f>SUM(Q120:Q121)</f>
        <v>2508</v>
      </c>
      <c r="R118" s="245">
        <f t="shared" si="80"/>
        <v>3639.5926513317195</v>
      </c>
      <c r="S118" s="245">
        <f t="shared" si="80"/>
        <v>0</v>
      </c>
      <c r="T118" s="245">
        <f t="shared" si="80"/>
        <v>0</v>
      </c>
      <c r="U118" s="245">
        <f t="shared" si="80"/>
        <v>0</v>
      </c>
      <c r="V118" s="245">
        <f t="shared" si="80"/>
        <v>0</v>
      </c>
      <c r="W118" s="245">
        <f t="shared" si="80"/>
        <v>0</v>
      </c>
      <c r="X118" s="245">
        <f t="shared" si="80"/>
        <v>0</v>
      </c>
      <c r="Y118" s="245">
        <f t="shared" si="80"/>
        <v>0</v>
      </c>
      <c r="Z118" s="245">
        <f t="shared" si="80"/>
        <v>3639.5926513317195</v>
      </c>
      <c r="AA118" s="245">
        <f t="shared" si="80"/>
        <v>1200</v>
      </c>
      <c r="AB118" s="245">
        <f t="shared" si="80"/>
        <v>0</v>
      </c>
      <c r="AC118" s="245">
        <f t="shared" si="80"/>
        <v>1200</v>
      </c>
      <c r="AD118" s="245">
        <f t="shared" si="80"/>
        <v>44875.111815980636</v>
      </c>
      <c r="AE118" s="245">
        <f t="shared" si="80"/>
        <v>48622009.320000008</v>
      </c>
      <c r="AF118" s="246">
        <f t="shared" si="56"/>
        <v>-1013.2318159806382</v>
      </c>
      <c r="AG118" s="246">
        <f t="shared" si="56"/>
        <v>-4442031.7600000128</v>
      </c>
      <c r="AH118" s="244">
        <f>SUM(AH120:AH121)</f>
        <v>2508</v>
      </c>
      <c r="AI118" s="245">
        <v>48622009.320000008</v>
      </c>
    </row>
    <row r="119" spans="1:35" x14ac:dyDescent="0.2">
      <c r="A119" s="9"/>
      <c r="B119" s="5"/>
      <c r="C119" s="3"/>
      <c r="D119" s="3"/>
      <c r="E119" s="3"/>
      <c r="F119" s="3"/>
      <c r="G119" s="3"/>
      <c r="H119" s="3"/>
      <c r="I119" s="3"/>
      <c r="J119" s="3"/>
      <c r="K119" s="3"/>
      <c r="L119" s="3"/>
      <c r="M119" s="3"/>
      <c r="O119" s="23"/>
      <c r="P119" s="6"/>
      <c r="Q119" s="5"/>
      <c r="R119" s="247"/>
      <c r="S119" s="3"/>
      <c r="T119" s="3"/>
      <c r="U119" s="3"/>
      <c r="V119" s="3"/>
      <c r="W119" s="3"/>
      <c r="X119" s="3"/>
      <c r="Y119" s="3"/>
      <c r="Z119" s="247"/>
      <c r="AA119" s="247"/>
      <c r="AB119" s="3"/>
      <c r="AD119" s="255"/>
      <c r="AE119" s="253"/>
      <c r="AF119" s="248">
        <f t="shared" si="56"/>
        <v>0</v>
      </c>
      <c r="AG119" s="248">
        <f t="shared" si="56"/>
        <v>0</v>
      </c>
      <c r="AH119" s="5"/>
      <c r="AI119" s="253"/>
    </row>
    <row r="120" spans="1:35" x14ac:dyDescent="0.2">
      <c r="A120" s="9" t="s">
        <v>624</v>
      </c>
      <c r="B120" s="249">
        <v>27</v>
      </c>
      <c r="C120" s="247">
        <f>53822.34/B120</f>
        <v>1993.4199999999998</v>
      </c>
      <c r="D120" s="3"/>
      <c r="E120" s="3"/>
      <c r="F120" s="3"/>
      <c r="G120" s="3"/>
      <c r="H120" s="3"/>
      <c r="I120" s="3"/>
      <c r="J120" s="3"/>
      <c r="K120" s="250">
        <f t="shared" ref="K120" si="81">SUM(C120:J120)</f>
        <v>1993.4199999999998</v>
      </c>
      <c r="L120" s="250">
        <v>1000</v>
      </c>
      <c r="M120" s="3"/>
      <c r="N120" s="251">
        <f t="shared" ref="N120" si="82">SUM(L120:M120)</f>
        <v>1000</v>
      </c>
      <c r="O120" s="252">
        <f t="shared" ref="O120:O121" si="83">(K120*12)+N120</f>
        <v>24921.039999999997</v>
      </c>
      <c r="P120" s="253">
        <f t="shared" ref="P120:P121" si="84">+O120*B120</f>
        <v>672868.08</v>
      </c>
      <c r="Q120" s="5">
        <v>30</v>
      </c>
      <c r="R120" s="247">
        <f>62407.8/Q120</f>
        <v>2080.2600000000002</v>
      </c>
      <c r="S120" s="3"/>
      <c r="T120" s="3"/>
      <c r="U120" s="3"/>
      <c r="V120" s="3"/>
      <c r="W120" s="3"/>
      <c r="X120" s="3"/>
      <c r="Y120" s="3"/>
      <c r="Z120" s="247">
        <f t="shared" si="60"/>
        <v>2080.2600000000002</v>
      </c>
      <c r="AA120" s="247">
        <f>18000/Q120</f>
        <v>600</v>
      </c>
      <c r="AB120" s="3"/>
      <c r="AC120" s="254">
        <f t="shared" ref="AC120:AC121" si="85">SUM(AA120:AB120)</f>
        <v>600</v>
      </c>
      <c r="AD120" s="255">
        <f t="shared" ref="AD120:AD121" si="86">+(Z120*12)+AC120</f>
        <v>25563.120000000003</v>
      </c>
      <c r="AE120" s="253">
        <f>+AD120*Q120</f>
        <v>766893.60000000009</v>
      </c>
      <c r="AF120" s="248">
        <f t="shared" si="56"/>
        <v>-642.08000000000538</v>
      </c>
      <c r="AG120" s="248">
        <f t="shared" si="56"/>
        <v>-94025.520000000135</v>
      </c>
      <c r="AH120" s="5">
        <v>30</v>
      </c>
      <c r="AI120" s="253">
        <v>766893.60000000009</v>
      </c>
    </row>
    <row r="121" spans="1:35" x14ac:dyDescent="0.2">
      <c r="A121" s="9" t="s">
        <v>625</v>
      </c>
      <c r="B121" s="249">
        <v>2297</v>
      </c>
      <c r="C121" s="247">
        <f>3434175.79/B121</f>
        <v>1495.07</v>
      </c>
      <c r="D121" s="3"/>
      <c r="E121" s="3"/>
      <c r="F121" s="3"/>
      <c r="G121" s="3"/>
      <c r="H121" s="3"/>
      <c r="I121" s="3"/>
      <c r="J121" s="3"/>
      <c r="K121" s="250">
        <f t="shared" ref="K121" si="87">SUM(C121:J121)</f>
        <v>1495.07</v>
      </c>
      <c r="L121" s="250">
        <v>1000</v>
      </c>
      <c r="M121" s="3"/>
      <c r="N121" s="251">
        <f t="shared" ref="N121" si="88">SUM(L121:M121)</f>
        <v>1000</v>
      </c>
      <c r="O121" s="252">
        <f t="shared" si="83"/>
        <v>18940.84</v>
      </c>
      <c r="P121" s="253">
        <f t="shared" si="84"/>
        <v>43507109.479999997</v>
      </c>
      <c r="Q121" s="5">
        <v>2478</v>
      </c>
      <c r="R121" s="247">
        <f>3864026.31/Q121</f>
        <v>1559.3326513317193</v>
      </c>
      <c r="S121" s="3"/>
      <c r="T121" s="3"/>
      <c r="U121" s="3"/>
      <c r="V121" s="3"/>
      <c r="W121" s="3"/>
      <c r="X121" s="3"/>
      <c r="Y121" s="3"/>
      <c r="Z121" s="247">
        <f t="shared" si="60"/>
        <v>1559.3326513317193</v>
      </c>
      <c r="AA121" s="247">
        <f>1486800/Q121</f>
        <v>600</v>
      </c>
      <c r="AB121" s="3"/>
      <c r="AC121" s="254">
        <f t="shared" si="85"/>
        <v>600</v>
      </c>
      <c r="AD121" s="255">
        <f t="shared" si="86"/>
        <v>19311.991815980633</v>
      </c>
      <c r="AE121" s="253">
        <f>+AD121*Q121</f>
        <v>47855115.720000006</v>
      </c>
      <c r="AF121" s="248">
        <f t="shared" si="56"/>
        <v>-371.15181598063282</v>
      </c>
      <c r="AG121" s="248">
        <f t="shared" si="56"/>
        <v>-4348006.2400000095</v>
      </c>
      <c r="AH121" s="5">
        <v>2478</v>
      </c>
      <c r="AI121" s="253">
        <v>47855115.720000006</v>
      </c>
    </row>
    <row r="122" spans="1:35" x14ac:dyDescent="0.2">
      <c r="A122" s="9"/>
      <c r="B122" s="5"/>
      <c r="C122" s="3"/>
      <c r="D122" s="3"/>
      <c r="E122" s="3"/>
      <c r="F122" s="3"/>
      <c r="G122" s="3"/>
      <c r="H122" s="3"/>
      <c r="I122" s="3"/>
      <c r="J122" s="3"/>
      <c r="K122" s="3"/>
      <c r="L122" s="3"/>
      <c r="M122" s="3"/>
      <c r="O122" s="23"/>
      <c r="P122" s="6"/>
      <c r="Q122" s="5"/>
      <c r="R122" s="247"/>
      <c r="S122" s="3"/>
      <c r="T122" s="3"/>
      <c r="U122" s="3"/>
      <c r="V122" s="3"/>
      <c r="W122" s="3"/>
      <c r="X122" s="3"/>
      <c r="Y122" s="3"/>
      <c r="Z122" s="247"/>
      <c r="AA122" s="247"/>
      <c r="AB122" s="3"/>
      <c r="AD122" s="255"/>
      <c r="AE122" s="253"/>
      <c r="AF122" s="248">
        <f t="shared" si="56"/>
        <v>0</v>
      </c>
      <c r="AG122" s="248">
        <f t="shared" si="56"/>
        <v>0</v>
      </c>
      <c r="AH122" s="5"/>
      <c r="AI122" s="253"/>
    </row>
    <row r="123" spans="1:35" x14ac:dyDescent="0.2">
      <c r="A123" s="10" t="s">
        <v>626</v>
      </c>
      <c r="B123" s="244">
        <f>+B125</f>
        <v>382</v>
      </c>
      <c r="C123" s="245">
        <f t="shared" ref="C123:AE123" si="89">+C125</f>
        <v>929.5</v>
      </c>
      <c r="D123" s="245">
        <f t="shared" si="89"/>
        <v>0</v>
      </c>
      <c r="E123" s="245">
        <f t="shared" si="89"/>
        <v>0</v>
      </c>
      <c r="F123" s="245">
        <f t="shared" si="89"/>
        <v>0</v>
      </c>
      <c r="G123" s="245">
        <f t="shared" si="89"/>
        <v>0</v>
      </c>
      <c r="H123" s="245">
        <f t="shared" si="89"/>
        <v>0</v>
      </c>
      <c r="I123" s="245">
        <f t="shared" si="89"/>
        <v>0</v>
      </c>
      <c r="J123" s="245">
        <f t="shared" si="89"/>
        <v>0</v>
      </c>
      <c r="K123" s="245">
        <f t="shared" si="89"/>
        <v>929.5</v>
      </c>
      <c r="L123" s="245">
        <f t="shared" si="89"/>
        <v>1000</v>
      </c>
      <c r="M123" s="245">
        <f t="shared" si="89"/>
        <v>0</v>
      </c>
      <c r="N123" s="245">
        <f t="shared" si="89"/>
        <v>1000</v>
      </c>
      <c r="O123" s="245">
        <f t="shared" si="89"/>
        <v>12154</v>
      </c>
      <c r="P123" s="245">
        <f t="shared" si="89"/>
        <v>4642828</v>
      </c>
      <c r="Q123" s="244">
        <f>+Q125</f>
        <v>382</v>
      </c>
      <c r="R123" s="245">
        <f t="shared" si="89"/>
        <v>929.5</v>
      </c>
      <c r="S123" s="245">
        <f t="shared" si="89"/>
        <v>0</v>
      </c>
      <c r="T123" s="245">
        <f t="shared" si="89"/>
        <v>0</v>
      </c>
      <c r="U123" s="245">
        <f t="shared" si="89"/>
        <v>0</v>
      </c>
      <c r="V123" s="245">
        <f t="shared" si="89"/>
        <v>0</v>
      </c>
      <c r="W123" s="245">
        <f t="shared" si="89"/>
        <v>0</v>
      </c>
      <c r="X123" s="245">
        <f t="shared" si="89"/>
        <v>0</v>
      </c>
      <c r="Y123" s="245">
        <f t="shared" si="89"/>
        <v>0</v>
      </c>
      <c r="Z123" s="245">
        <f t="shared" si="89"/>
        <v>929.5</v>
      </c>
      <c r="AA123" s="245">
        <f t="shared" si="89"/>
        <v>1000</v>
      </c>
      <c r="AB123" s="245">
        <f t="shared" si="89"/>
        <v>0</v>
      </c>
      <c r="AC123" s="245">
        <f t="shared" si="89"/>
        <v>1000</v>
      </c>
      <c r="AD123" s="245">
        <f t="shared" si="89"/>
        <v>12154</v>
      </c>
      <c r="AE123" s="245">
        <f t="shared" si="89"/>
        <v>4642828</v>
      </c>
      <c r="AF123" s="246">
        <f t="shared" si="56"/>
        <v>0</v>
      </c>
      <c r="AG123" s="246">
        <f t="shared" si="56"/>
        <v>0</v>
      </c>
      <c r="AH123" s="244">
        <f>+AH125</f>
        <v>382</v>
      </c>
      <c r="AI123" s="245">
        <v>4642828</v>
      </c>
    </row>
    <row r="124" spans="1:35" x14ac:dyDescent="0.2">
      <c r="A124" s="9"/>
      <c r="B124" s="5"/>
      <c r="C124" s="3"/>
      <c r="D124" s="3"/>
      <c r="E124" s="3"/>
      <c r="F124" s="3"/>
      <c r="G124" s="3"/>
      <c r="H124" s="3"/>
      <c r="I124" s="3"/>
      <c r="J124" s="3"/>
      <c r="K124" s="3"/>
      <c r="L124" s="3"/>
      <c r="M124" s="3"/>
      <c r="O124" s="23"/>
      <c r="P124" s="6"/>
      <c r="Q124" s="5"/>
      <c r="R124" s="247"/>
      <c r="S124" s="3"/>
      <c r="T124" s="3"/>
      <c r="U124" s="3"/>
      <c r="V124" s="3"/>
      <c r="W124" s="3"/>
      <c r="X124" s="3"/>
      <c r="Y124" s="3"/>
      <c r="Z124" s="247"/>
      <c r="AA124" s="247"/>
      <c r="AB124" s="3"/>
      <c r="AD124" s="255"/>
      <c r="AE124" s="253"/>
      <c r="AF124" s="248">
        <f t="shared" si="56"/>
        <v>0</v>
      </c>
      <c r="AG124" s="248">
        <f t="shared" si="56"/>
        <v>0</v>
      </c>
      <c r="AH124" s="5"/>
      <c r="AI124" s="253"/>
    </row>
    <row r="125" spans="1:35" x14ac:dyDescent="0.2">
      <c r="A125" s="9" t="s">
        <v>627</v>
      </c>
      <c r="B125" s="249">
        <v>382</v>
      </c>
      <c r="C125" s="247">
        <f>355069/B125</f>
        <v>929.5</v>
      </c>
      <c r="D125" s="3"/>
      <c r="E125" s="3"/>
      <c r="F125" s="3"/>
      <c r="G125" s="3"/>
      <c r="H125" s="3"/>
      <c r="I125" s="3"/>
      <c r="J125" s="3"/>
      <c r="K125" s="250">
        <f t="shared" ref="K125" si="90">SUM(C125:J125)</f>
        <v>929.5</v>
      </c>
      <c r="L125" s="250">
        <v>1000</v>
      </c>
      <c r="M125" s="3"/>
      <c r="N125" s="251">
        <f t="shared" ref="N125" si="91">SUM(L125:M125)</f>
        <v>1000</v>
      </c>
      <c r="O125" s="252">
        <f t="shared" ref="O125" si="92">(K125*12)+N125</f>
        <v>12154</v>
      </c>
      <c r="P125" s="253">
        <f t="shared" ref="P125" si="93">+O125*B125</f>
        <v>4642828</v>
      </c>
      <c r="Q125" s="5">
        <v>382</v>
      </c>
      <c r="R125" s="247">
        <f>355069/Q125</f>
        <v>929.5</v>
      </c>
      <c r="S125" s="3"/>
      <c r="T125" s="3"/>
      <c r="U125" s="3"/>
      <c r="V125" s="3"/>
      <c r="W125" s="3"/>
      <c r="X125" s="3"/>
      <c r="Y125" s="3"/>
      <c r="Z125" s="247">
        <f t="shared" si="60"/>
        <v>929.5</v>
      </c>
      <c r="AA125" s="247">
        <f>382000/Q125</f>
        <v>1000</v>
      </c>
      <c r="AB125" s="3"/>
      <c r="AC125" s="254">
        <f t="shared" ref="AC125" si="94">SUM(AA125:AB125)</f>
        <v>1000</v>
      </c>
      <c r="AD125" s="255">
        <f>+(Z125*12)+AC125</f>
        <v>12154</v>
      </c>
      <c r="AE125" s="253">
        <f>+AD125*Q125</f>
        <v>4642828</v>
      </c>
      <c r="AF125" s="248">
        <f t="shared" si="56"/>
        <v>0</v>
      </c>
      <c r="AG125" s="248">
        <f t="shared" si="56"/>
        <v>0</v>
      </c>
      <c r="AH125" s="5">
        <v>382</v>
      </c>
      <c r="AI125" s="253">
        <v>4642828</v>
      </c>
    </row>
    <row r="126" spans="1:35" x14ac:dyDescent="0.2">
      <c r="A126" s="9"/>
      <c r="B126" s="5"/>
      <c r="C126" s="3"/>
      <c r="D126" s="3"/>
      <c r="E126" s="3"/>
      <c r="F126" s="3"/>
      <c r="G126" s="3"/>
      <c r="H126" s="3"/>
      <c r="I126" s="3"/>
      <c r="J126" s="3"/>
      <c r="K126" s="3"/>
      <c r="L126" s="3"/>
      <c r="M126" s="3"/>
      <c r="O126" s="23"/>
      <c r="P126" s="6"/>
      <c r="Q126" s="5"/>
      <c r="R126" s="247"/>
      <c r="S126" s="3"/>
      <c r="T126" s="3"/>
      <c r="U126" s="3"/>
      <c r="V126" s="3"/>
      <c r="W126" s="3"/>
      <c r="X126" s="3"/>
      <c r="Y126" s="3"/>
      <c r="Z126" s="247"/>
      <c r="AA126" s="247"/>
      <c r="AB126" s="3"/>
      <c r="AD126" s="255"/>
      <c r="AE126" s="253"/>
      <c r="AF126" s="248">
        <f t="shared" si="56"/>
        <v>0</v>
      </c>
      <c r="AG126" s="248">
        <f t="shared" si="56"/>
        <v>0</v>
      </c>
      <c r="AH126" s="5"/>
      <c r="AI126" s="253"/>
    </row>
    <row r="127" spans="1:35" x14ac:dyDescent="0.2">
      <c r="A127" s="10" t="s">
        <v>628</v>
      </c>
      <c r="B127" s="244">
        <f>SUM(B129:B131)</f>
        <v>844</v>
      </c>
      <c r="C127" s="245">
        <f t="shared" ref="C127:AE127" si="95">SUM(C129:C131)</f>
        <v>6522.9567441860472</v>
      </c>
      <c r="D127" s="245">
        <f t="shared" si="95"/>
        <v>0</v>
      </c>
      <c r="E127" s="245">
        <f t="shared" si="95"/>
        <v>0</v>
      </c>
      <c r="F127" s="245">
        <f t="shared" si="95"/>
        <v>0</v>
      </c>
      <c r="G127" s="245">
        <f t="shared" si="95"/>
        <v>0</v>
      </c>
      <c r="H127" s="245">
        <f t="shared" si="95"/>
        <v>0</v>
      </c>
      <c r="I127" s="245">
        <f t="shared" si="95"/>
        <v>0</v>
      </c>
      <c r="J127" s="245">
        <f t="shared" si="95"/>
        <v>0</v>
      </c>
      <c r="K127" s="245">
        <f t="shared" si="95"/>
        <v>6522.9567441860472</v>
      </c>
      <c r="L127" s="245">
        <f t="shared" si="95"/>
        <v>3000</v>
      </c>
      <c r="M127" s="245">
        <f t="shared" si="95"/>
        <v>0</v>
      </c>
      <c r="N127" s="245">
        <f t="shared" si="95"/>
        <v>3000</v>
      </c>
      <c r="O127" s="245">
        <f t="shared" si="95"/>
        <v>81275.480930232574</v>
      </c>
      <c r="P127" s="245">
        <f t="shared" si="95"/>
        <v>22312332.517209303</v>
      </c>
      <c r="Q127" s="244">
        <f>SUM(Q129:Q131)</f>
        <v>196</v>
      </c>
      <c r="R127" s="245">
        <f t="shared" si="95"/>
        <v>9591.4877441860481</v>
      </c>
      <c r="S127" s="245">
        <f t="shared" si="95"/>
        <v>0</v>
      </c>
      <c r="T127" s="245">
        <f t="shared" si="95"/>
        <v>0</v>
      </c>
      <c r="U127" s="245">
        <f t="shared" si="95"/>
        <v>0</v>
      </c>
      <c r="V127" s="245">
        <f t="shared" si="95"/>
        <v>0</v>
      </c>
      <c r="W127" s="245">
        <f t="shared" si="95"/>
        <v>0</v>
      </c>
      <c r="X127" s="245">
        <f t="shared" si="95"/>
        <v>0</v>
      </c>
      <c r="Y127" s="245">
        <f t="shared" si="95"/>
        <v>0</v>
      </c>
      <c r="Z127" s="245">
        <f t="shared" si="95"/>
        <v>9591.4877441860481</v>
      </c>
      <c r="AA127" s="245">
        <f t="shared" si="95"/>
        <v>2680</v>
      </c>
      <c r="AB127" s="245">
        <f t="shared" si="95"/>
        <v>0</v>
      </c>
      <c r="AC127" s="245">
        <f t="shared" si="95"/>
        <v>2680</v>
      </c>
      <c r="AD127" s="245">
        <f t="shared" si="95"/>
        <v>117777.85293023256</v>
      </c>
      <c r="AE127" s="245">
        <f t="shared" si="95"/>
        <v>7065833.4399999995</v>
      </c>
      <c r="AF127" s="246">
        <f t="shared" si="56"/>
        <v>-36502.371999999988</v>
      </c>
      <c r="AG127" s="246">
        <f t="shared" si="56"/>
        <v>15246499.077209303</v>
      </c>
      <c r="AH127" s="244">
        <f>SUM(AH129:AH131)</f>
        <v>196</v>
      </c>
      <c r="AI127" s="245">
        <v>7065833.4399999995</v>
      </c>
    </row>
    <row r="128" spans="1:35" x14ac:dyDescent="0.2">
      <c r="A128" s="9"/>
      <c r="B128" s="5"/>
      <c r="C128" s="3"/>
      <c r="D128" s="3"/>
      <c r="E128" s="3"/>
      <c r="F128" s="3"/>
      <c r="G128" s="3"/>
      <c r="H128" s="3"/>
      <c r="I128" s="3"/>
      <c r="J128" s="3"/>
      <c r="K128" s="3"/>
      <c r="L128" s="3"/>
      <c r="M128" s="3"/>
      <c r="O128" s="23"/>
      <c r="P128" s="6"/>
      <c r="Q128" s="5"/>
      <c r="R128" s="247"/>
      <c r="S128" s="3"/>
      <c r="T128" s="3"/>
      <c r="U128" s="3"/>
      <c r="V128" s="3"/>
      <c r="W128" s="3"/>
      <c r="X128" s="3"/>
      <c r="Y128" s="3"/>
      <c r="Z128" s="247"/>
      <c r="AA128" s="247"/>
      <c r="AB128" s="3"/>
      <c r="AD128" s="255"/>
      <c r="AE128" s="253"/>
      <c r="AF128" s="248">
        <f t="shared" si="56"/>
        <v>0</v>
      </c>
      <c r="AG128" s="248">
        <f t="shared" si="56"/>
        <v>0</v>
      </c>
      <c r="AH128" s="5"/>
      <c r="AI128" s="253"/>
    </row>
    <row r="129" spans="1:35" x14ac:dyDescent="0.2">
      <c r="A129" s="9" t="s">
        <v>606</v>
      </c>
      <c r="B129" s="249">
        <v>346</v>
      </c>
      <c r="C129" s="247">
        <f>748727.3/313</f>
        <v>2392.1000000000004</v>
      </c>
      <c r="D129" s="3"/>
      <c r="E129" s="3"/>
      <c r="F129" s="3"/>
      <c r="G129" s="3"/>
      <c r="H129" s="3"/>
      <c r="I129" s="3"/>
      <c r="J129" s="3"/>
      <c r="K129" s="250">
        <f t="shared" ref="K129:K130" si="96">SUM(C129:J129)</f>
        <v>2392.1000000000004</v>
      </c>
      <c r="L129" s="250">
        <v>1000</v>
      </c>
      <c r="M129" s="3"/>
      <c r="N129" s="251">
        <f t="shared" ref="N129:N131" si="97">SUM(L129:M129)</f>
        <v>1000</v>
      </c>
      <c r="O129" s="252">
        <f t="shared" ref="O129:O131" si="98">(K129*12)+N129</f>
        <v>29705.200000000004</v>
      </c>
      <c r="P129" s="253">
        <f t="shared" ref="P129:P131" si="99">+O129*B129</f>
        <v>10277999.200000001</v>
      </c>
      <c r="Q129" s="5">
        <v>33</v>
      </c>
      <c r="R129" s="247">
        <f>131357.82/Q129</f>
        <v>3980.5400000000004</v>
      </c>
      <c r="S129" s="3"/>
      <c r="T129" s="3"/>
      <c r="U129" s="3"/>
      <c r="V129" s="3"/>
      <c r="W129" s="3"/>
      <c r="X129" s="3"/>
      <c r="Y129" s="3"/>
      <c r="Z129" s="247">
        <f t="shared" si="60"/>
        <v>3980.5400000000004</v>
      </c>
      <c r="AA129" s="247">
        <v>1000</v>
      </c>
      <c r="AB129" s="3"/>
      <c r="AC129" s="254">
        <f t="shared" ref="AC129:AC131" si="100">SUM(AA129:AB129)</f>
        <v>1000</v>
      </c>
      <c r="AD129" s="255">
        <f>+(Z129*12)+AC129</f>
        <v>48766.48</v>
      </c>
      <c r="AE129" s="253">
        <f>+AD129*Q129</f>
        <v>1609293.84</v>
      </c>
      <c r="AF129" s="248">
        <f t="shared" si="56"/>
        <v>-19061.28</v>
      </c>
      <c r="AG129" s="248">
        <f t="shared" si="56"/>
        <v>8668705.3600000013</v>
      </c>
      <c r="AH129" s="5">
        <v>33</v>
      </c>
      <c r="AI129" s="253">
        <v>1609293.84</v>
      </c>
    </row>
    <row r="130" spans="1:35" x14ac:dyDescent="0.2">
      <c r="A130" s="9" t="s">
        <v>607</v>
      </c>
      <c r="B130" s="249">
        <v>212</v>
      </c>
      <c r="C130" s="247">
        <f>127874.98/43</f>
        <v>2973.8367441860464</v>
      </c>
      <c r="D130" s="3"/>
      <c r="E130" s="3"/>
      <c r="F130" s="3"/>
      <c r="G130" s="3"/>
      <c r="H130" s="3"/>
      <c r="I130" s="3"/>
      <c r="J130" s="3"/>
      <c r="K130" s="250">
        <f t="shared" si="96"/>
        <v>2973.8367441860464</v>
      </c>
      <c r="L130" s="250">
        <v>1000</v>
      </c>
      <c r="M130" s="3"/>
      <c r="N130" s="251">
        <f t="shared" si="97"/>
        <v>1000</v>
      </c>
      <c r="O130" s="252">
        <f t="shared" si="98"/>
        <v>36686.040930232557</v>
      </c>
      <c r="P130" s="253">
        <f t="shared" si="99"/>
        <v>7777440.6772093019</v>
      </c>
      <c r="Q130" s="5">
        <v>43</v>
      </c>
      <c r="R130" s="247">
        <f>127874.98/Q130</f>
        <v>2973.8367441860464</v>
      </c>
      <c r="S130" s="3"/>
      <c r="T130" s="3"/>
      <c r="U130" s="3"/>
      <c r="V130" s="3"/>
      <c r="W130" s="3"/>
      <c r="X130" s="3"/>
      <c r="Y130" s="3"/>
      <c r="Z130" s="247">
        <f t="shared" si="60"/>
        <v>2973.8367441860464</v>
      </c>
      <c r="AA130" s="247">
        <v>1000</v>
      </c>
      <c r="AB130" s="3"/>
      <c r="AC130" s="254">
        <f t="shared" si="100"/>
        <v>1000</v>
      </c>
      <c r="AD130" s="255">
        <f t="shared" ref="AD130:AD131" si="101">+(Z130*12)+AC130</f>
        <v>36686.040930232557</v>
      </c>
      <c r="AE130" s="253">
        <f t="shared" ref="AE130" si="102">+AD130*Q130</f>
        <v>1577499.76</v>
      </c>
      <c r="AF130" s="248">
        <f t="shared" si="56"/>
        <v>0</v>
      </c>
      <c r="AG130" s="248">
        <f t="shared" si="56"/>
        <v>6199940.9172093021</v>
      </c>
      <c r="AH130" s="5">
        <v>43</v>
      </c>
      <c r="AI130" s="253">
        <v>1577499.76</v>
      </c>
    </row>
    <row r="131" spans="1:35" x14ac:dyDescent="0.2">
      <c r="A131" s="9" t="s">
        <v>608</v>
      </c>
      <c r="B131" s="249">
        <v>286</v>
      </c>
      <c r="C131" s="247">
        <f>330907.72/B131</f>
        <v>1157.02</v>
      </c>
      <c r="D131" s="3"/>
      <c r="E131" s="3"/>
      <c r="F131" s="3"/>
      <c r="G131" s="3"/>
      <c r="H131" s="3"/>
      <c r="I131" s="3"/>
      <c r="J131" s="3"/>
      <c r="K131" s="250">
        <f t="shared" ref="K131" si="103">SUM(C131:J131)</f>
        <v>1157.02</v>
      </c>
      <c r="L131" s="250">
        <v>1000</v>
      </c>
      <c r="M131" s="3"/>
      <c r="N131" s="251">
        <f t="shared" si="97"/>
        <v>1000</v>
      </c>
      <c r="O131" s="252">
        <f t="shared" si="98"/>
        <v>14884.24</v>
      </c>
      <c r="P131" s="253">
        <f t="shared" si="99"/>
        <v>4256892.6399999997</v>
      </c>
      <c r="Q131" s="5">
        <v>120</v>
      </c>
      <c r="R131" s="247">
        <f>316453.32/Q131</f>
        <v>2637.1109999999999</v>
      </c>
      <c r="S131" s="3"/>
      <c r="T131" s="3"/>
      <c r="U131" s="3"/>
      <c r="V131" s="3"/>
      <c r="W131" s="3"/>
      <c r="X131" s="3"/>
      <c r="Y131" s="3"/>
      <c r="Z131" s="247">
        <f t="shared" si="60"/>
        <v>2637.1109999999999</v>
      </c>
      <c r="AA131" s="247">
        <f>81600/Q131</f>
        <v>680</v>
      </c>
      <c r="AB131" s="3"/>
      <c r="AC131" s="254">
        <f t="shared" si="100"/>
        <v>680</v>
      </c>
      <c r="AD131" s="255">
        <f t="shared" si="101"/>
        <v>32325.331999999999</v>
      </c>
      <c r="AE131" s="253">
        <f>+AD131*Q131</f>
        <v>3879039.84</v>
      </c>
      <c r="AF131" s="248">
        <f t="shared" si="56"/>
        <v>-17441.091999999997</v>
      </c>
      <c r="AG131" s="248">
        <f t="shared" si="56"/>
        <v>377852.79999999981</v>
      </c>
      <c r="AH131" s="5">
        <v>120</v>
      </c>
      <c r="AI131" s="253">
        <v>3879039.84</v>
      </c>
    </row>
    <row r="132" spans="1:35" x14ac:dyDescent="0.2">
      <c r="A132" s="9"/>
      <c r="B132" s="5"/>
      <c r="C132" s="3"/>
      <c r="D132" s="3"/>
      <c r="E132" s="3"/>
      <c r="F132" s="3"/>
      <c r="G132" s="3"/>
      <c r="H132" s="3"/>
      <c r="I132" s="3"/>
      <c r="J132" s="3"/>
      <c r="K132" s="3"/>
      <c r="L132" s="3"/>
      <c r="M132" s="3"/>
      <c r="O132" s="23"/>
      <c r="P132" s="6"/>
      <c r="Q132" s="5"/>
      <c r="R132" s="247"/>
      <c r="S132" s="3"/>
      <c r="T132" s="3"/>
      <c r="U132" s="3"/>
      <c r="V132" s="3"/>
      <c r="W132" s="3"/>
      <c r="X132" s="3"/>
      <c r="Y132" s="3"/>
      <c r="Z132" s="247"/>
      <c r="AA132" s="247"/>
      <c r="AB132" s="3"/>
      <c r="AD132" s="255"/>
      <c r="AE132" s="253"/>
      <c r="AF132" s="248">
        <f t="shared" si="56"/>
        <v>0</v>
      </c>
      <c r="AG132" s="248">
        <f t="shared" si="56"/>
        <v>0</v>
      </c>
      <c r="AH132" s="5"/>
      <c r="AI132" s="253"/>
    </row>
    <row r="133" spans="1:35" x14ac:dyDescent="0.2">
      <c r="A133" s="10" t="s">
        <v>31</v>
      </c>
      <c r="B133" s="244">
        <f>SUM(B135:B141)</f>
        <v>2048</v>
      </c>
      <c r="C133" s="245">
        <f t="shared" ref="C133:AE133" si="104">SUM(C135:C141)</f>
        <v>14100.097775452856</v>
      </c>
      <c r="D133" s="245">
        <f t="shared" si="104"/>
        <v>0</v>
      </c>
      <c r="E133" s="245">
        <f t="shared" si="104"/>
        <v>0</v>
      </c>
      <c r="F133" s="245">
        <f t="shared" si="104"/>
        <v>0</v>
      </c>
      <c r="G133" s="245">
        <f t="shared" si="104"/>
        <v>0</v>
      </c>
      <c r="H133" s="245">
        <f t="shared" si="104"/>
        <v>0</v>
      </c>
      <c r="I133" s="245">
        <f t="shared" si="104"/>
        <v>0</v>
      </c>
      <c r="J133" s="245">
        <f t="shared" si="104"/>
        <v>0</v>
      </c>
      <c r="K133" s="245">
        <f t="shared" si="104"/>
        <v>14100.097775452856</v>
      </c>
      <c r="L133" s="245">
        <f t="shared" si="104"/>
        <v>3073.8396401905475</v>
      </c>
      <c r="M133" s="245">
        <f t="shared" si="104"/>
        <v>0</v>
      </c>
      <c r="N133" s="245">
        <f t="shared" si="104"/>
        <v>3073.8396401905475</v>
      </c>
      <c r="O133" s="245">
        <f t="shared" si="104"/>
        <v>172275.0129456248</v>
      </c>
      <c r="P133" s="245">
        <f t="shared" si="104"/>
        <v>37242800.920000002</v>
      </c>
      <c r="Q133" s="244">
        <f>SUM(Q135:Q141)</f>
        <v>2509</v>
      </c>
      <c r="R133" s="245">
        <f t="shared" si="104"/>
        <v>9104.1549913695053</v>
      </c>
      <c r="S133" s="245">
        <f t="shared" si="104"/>
        <v>0</v>
      </c>
      <c r="T133" s="245">
        <f t="shared" si="104"/>
        <v>0</v>
      </c>
      <c r="U133" s="245">
        <f t="shared" si="104"/>
        <v>0</v>
      </c>
      <c r="V133" s="245">
        <f t="shared" si="104"/>
        <v>0</v>
      </c>
      <c r="W133" s="245">
        <f t="shared" si="104"/>
        <v>0</v>
      </c>
      <c r="X133" s="245">
        <f t="shared" si="104"/>
        <v>0</v>
      </c>
      <c r="Y133" s="245">
        <f t="shared" si="104"/>
        <v>0</v>
      </c>
      <c r="Z133" s="245">
        <f t="shared" si="104"/>
        <v>9104.1549913695053</v>
      </c>
      <c r="AA133" s="245">
        <f t="shared" si="104"/>
        <v>3060.3391559761358</v>
      </c>
      <c r="AB133" s="245">
        <f t="shared" si="104"/>
        <v>0</v>
      </c>
      <c r="AC133" s="245">
        <f t="shared" si="104"/>
        <v>3060.3391559761358</v>
      </c>
      <c r="AD133" s="245">
        <f t="shared" si="104"/>
        <v>112310.19905241021</v>
      </c>
      <c r="AE133" s="245">
        <f t="shared" si="104"/>
        <v>46110603.759999998</v>
      </c>
      <c r="AF133" s="246">
        <f t="shared" si="56"/>
        <v>59964.813893214581</v>
      </c>
      <c r="AG133" s="246">
        <f t="shared" si="56"/>
        <v>-8867802.8399999961</v>
      </c>
      <c r="AH133" s="244">
        <f>SUM(AH135:AH141)</f>
        <v>2509</v>
      </c>
      <c r="AI133" s="245">
        <v>46110603.759999998</v>
      </c>
    </row>
    <row r="134" spans="1:35" x14ac:dyDescent="0.2">
      <c r="A134" s="9"/>
      <c r="B134" s="5"/>
      <c r="C134" s="3"/>
      <c r="D134" s="3"/>
      <c r="E134" s="3"/>
      <c r="F134" s="3"/>
      <c r="G134" s="3"/>
      <c r="H134" s="3"/>
      <c r="I134" s="3"/>
      <c r="J134" s="3"/>
      <c r="K134" s="3"/>
      <c r="L134" s="3"/>
      <c r="M134" s="3"/>
      <c r="O134" s="23"/>
      <c r="P134" s="6"/>
      <c r="Q134" s="5"/>
      <c r="R134" s="247"/>
      <c r="S134" s="3"/>
      <c r="T134" s="3"/>
      <c r="U134" s="3"/>
      <c r="V134" s="3"/>
      <c r="W134" s="3"/>
      <c r="X134" s="3"/>
      <c r="Y134" s="3"/>
      <c r="Z134" s="247"/>
      <c r="AA134" s="247"/>
      <c r="AB134" s="3"/>
      <c r="AD134" s="255"/>
      <c r="AE134" s="253"/>
      <c r="AF134" s="248">
        <f t="shared" si="56"/>
        <v>0</v>
      </c>
      <c r="AG134" s="248">
        <f t="shared" si="56"/>
        <v>0</v>
      </c>
      <c r="AH134" s="5"/>
      <c r="AI134" s="253"/>
    </row>
    <row r="135" spans="1:35" x14ac:dyDescent="0.2">
      <c r="A135" s="9" t="s">
        <v>629</v>
      </c>
      <c r="B135" s="9">
        <v>22</v>
      </c>
      <c r="C135" s="256">
        <v>787.58</v>
      </c>
      <c r="D135" s="3"/>
      <c r="E135" s="3"/>
      <c r="F135" s="3"/>
      <c r="G135" s="3"/>
      <c r="H135" s="3"/>
      <c r="I135" s="3"/>
      <c r="J135" s="3"/>
      <c r="K135" s="250">
        <f t="shared" ref="K135" si="105">SUM(C135:J135)</f>
        <v>787.58</v>
      </c>
      <c r="L135" s="3"/>
      <c r="M135" s="3"/>
      <c r="N135" s="251">
        <f t="shared" ref="N135" si="106">SUM(L135:M135)</f>
        <v>0</v>
      </c>
      <c r="O135" s="252">
        <f t="shared" ref="O135:O138" si="107">(K135*12)+N135</f>
        <v>9450.9600000000009</v>
      </c>
      <c r="P135" s="253">
        <f t="shared" ref="P135:P140" si="108">+O135*B135</f>
        <v>207921.12000000002</v>
      </c>
      <c r="Q135" s="5">
        <v>19</v>
      </c>
      <c r="R135" s="247">
        <f>260/Q135</f>
        <v>13.684210526315789</v>
      </c>
      <c r="S135" s="3"/>
      <c r="T135" s="3"/>
      <c r="U135" s="3"/>
      <c r="V135" s="3"/>
      <c r="W135" s="3"/>
      <c r="X135" s="3"/>
      <c r="Y135" s="3"/>
      <c r="Z135" s="247">
        <f t="shared" si="60"/>
        <v>13.684210526315789</v>
      </c>
      <c r="AA135" s="247">
        <v>0</v>
      </c>
      <c r="AB135" s="3"/>
      <c r="AC135" s="254">
        <f t="shared" ref="AC135:AC141" si="109">SUM(AA135:AB135)</f>
        <v>0</v>
      </c>
      <c r="AD135" s="255">
        <f t="shared" ref="AD135:AD141" si="110">+(Z135*12)+AC135</f>
        <v>164.21052631578948</v>
      </c>
      <c r="AE135" s="253">
        <f>+AD135*Q135</f>
        <v>3120</v>
      </c>
      <c r="AF135" s="248">
        <f t="shared" si="56"/>
        <v>9286.7494736842109</v>
      </c>
      <c r="AG135" s="248">
        <f t="shared" si="56"/>
        <v>204801.12000000002</v>
      </c>
      <c r="AH135" s="5">
        <v>19</v>
      </c>
      <c r="AI135" s="253">
        <v>3120</v>
      </c>
    </row>
    <row r="136" spans="1:35" x14ac:dyDescent="0.2">
      <c r="A136" s="9" t="s">
        <v>630</v>
      </c>
      <c r="B136" s="249">
        <v>70</v>
      </c>
      <c r="C136" s="247">
        <f>191973.6/B136</f>
        <v>2742.48</v>
      </c>
      <c r="D136" s="3"/>
      <c r="E136" s="3"/>
      <c r="F136" s="3"/>
      <c r="G136" s="3"/>
      <c r="H136" s="3"/>
      <c r="I136" s="3"/>
      <c r="J136" s="3"/>
      <c r="K136" s="250">
        <f t="shared" ref="K136:K138" si="111">SUM(C136:J136)</f>
        <v>2742.48</v>
      </c>
      <c r="L136" s="250">
        <v>1000</v>
      </c>
      <c r="M136" s="3"/>
      <c r="N136" s="251">
        <f t="shared" ref="N136:N140" si="112">SUM(L136:M136)</f>
        <v>1000</v>
      </c>
      <c r="O136" s="252">
        <f t="shared" si="107"/>
        <v>33909.760000000002</v>
      </c>
      <c r="P136" s="253">
        <f t="shared" si="108"/>
        <v>2373683.2000000002</v>
      </c>
      <c r="Q136" s="5">
        <v>70</v>
      </c>
      <c r="R136" s="247">
        <f>191973.6/Q136</f>
        <v>2742.48</v>
      </c>
      <c r="S136" s="3"/>
      <c r="T136" s="3"/>
      <c r="U136" s="3"/>
      <c r="V136" s="3"/>
      <c r="W136" s="3"/>
      <c r="X136" s="3"/>
      <c r="Y136" s="3"/>
      <c r="Z136" s="247">
        <f t="shared" si="60"/>
        <v>2742.48</v>
      </c>
      <c r="AA136" s="247">
        <f>70000/Q136</f>
        <v>1000</v>
      </c>
      <c r="AB136" s="3"/>
      <c r="AC136" s="254">
        <f t="shared" si="109"/>
        <v>1000</v>
      </c>
      <c r="AD136" s="255">
        <f t="shared" si="110"/>
        <v>33909.760000000002</v>
      </c>
      <c r="AE136" s="253">
        <f t="shared" ref="AE136:AE141" si="113">+AD136*Q136</f>
        <v>2373683.2000000002</v>
      </c>
      <c r="AF136" s="248">
        <f t="shared" si="56"/>
        <v>0</v>
      </c>
      <c r="AG136" s="248">
        <f t="shared" si="56"/>
        <v>0</v>
      </c>
      <c r="AH136" s="5">
        <v>70</v>
      </c>
      <c r="AI136" s="253">
        <v>2373683.2000000002</v>
      </c>
    </row>
    <row r="137" spans="1:35" x14ac:dyDescent="0.2">
      <c r="A137" s="9" t="s">
        <v>631</v>
      </c>
      <c r="B137" s="249">
        <v>679</v>
      </c>
      <c r="C137" s="256">
        <f>758795.92/B137</f>
        <v>1117.5197643593519</v>
      </c>
      <c r="D137" s="3"/>
      <c r="E137" s="3"/>
      <c r="F137" s="3"/>
      <c r="G137" s="3"/>
      <c r="H137" s="3"/>
      <c r="I137" s="3"/>
      <c r="J137" s="3"/>
      <c r="K137" s="250">
        <f t="shared" si="111"/>
        <v>1117.5197643593519</v>
      </c>
      <c r="L137" s="257">
        <f>304520/679</f>
        <v>448.48306332842418</v>
      </c>
      <c r="M137" s="3"/>
      <c r="N137" s="251">
        <f t="shared" si="112"/>
        <v>448.48306332842418</v>
      </c>
      <c r="O137" s="252">
        <f t="shared" si="107"/>
        <v>13858.720235640647</v>
      </c>
      <c r="P137" s="253">
        <f t="shared" si="108"/>
        <v>9410071.0399999991</v>
      </c>
      <c r="Q137" s="5">
        <v>763</v>
      </c>
      <c r="R137" s="247">
        <f>861853.05/Q137</f>
        <v>1129.558387942333</v>
      </c>
      <c r="S137" s="3"/>
      <c r="T137" s="3"/>
      <c r="U137" s="3"/>
      <c r="V137" s="3"/>
      <c r="W137" s="3"/>
      <c r="X137" s="3"/>
      <c r="Y137" s="3"/>
      <c r="Z137" s="247">
        <f t="shared" si="60"/>
        <v>1129.558387942333</v>
      </c>
      <c r="AA137" s="247">
        <f>331440/Q137</f>
        <v>434.39056356487549</v>
      </c>
      <c r="AB137" s="3"/>
      <c r="AC137" s="254">
        <f t="shared" si="109"/>
        <v>434.39056356487549</v>
      </c>
      <c r="AD137" s="255">
        <f t="shared" si="110"/>
        <v>13989.091218872871</v>
      </c>
      <c r="AE137" s="253">
        <f t="shared" si="113"/>
        <v>10673676.6</v>
      </c>
      <c r="AF137" s="248">
        <f t="shared" ref="AF137:AG141" si="114">+O137-AD137</f>
        <v>-130.37098323222381</v>
      </c>
      <c r="AG137" s="248">
        <f t="shared" si="114"/>
        <v>-1263605.5600000005</v>
      </c>
      <c r="AH137" s="5">
        <v>763</v>
      </c>
      <c r="AI137" s="253">
        <v>10673676.6</v>
      </c>
    </row>
    <row r="138" spans="1:35" x14ac:dyDescent="0.2">
      <c r="A138" s="9" t="s">
        <v>632</v>
      </c>
      <c r="B138" s="249">
        <v>5</v>
      </c>
      <c r="C138" s="247">
        <f>17979/B138</f>
        <v>3595.8</v>
      </c>
      <c r="D138" s="3"/>
      <c r="E138" s="3"/>
      <c r="F138" s="3"/>
      <c r="G138" s="3"/>
      <c r="H138" s="3"/>
      <c r="I138" s="3"/>
      <c r="J138" s="3"/>
      <c r="K138" s="250">
        <f t="shared" si="111"/>
        <v>3595.8</v>
      </c>
      <c r="L138" s="250">
        <v>1000</v>
      </c>
      <c r="M138" s="3"/>
      <c r="N138" s="251">
        <f t="shared" si="112"/>
        <v>1000</v>
      </c>
      <c r="O138" s="252">
        <f t="shared" si="107"/>
        <v>44149.600000000006</v>
      </c>
      <c r="P138" s="253">
        <f t="shared" si="108"/>
        <v>220748.00000000003</v>
      </c>
      <c r="Q138" s="5">
        <v>5</v>
      </c>
      <c r="R138" s="247">
        <f>17979/Q138</f>
        <v>3595.8</v>
      </c>
      <c r="S138" s="3"/>
      <c r="T138" s="3"/>
      <c r="U138" s="3"/>
      <c r="V138" s="3"/>
      <c r="W138" s="3"/>
      <c r="X138" s="3"/>
      <c r="Y138" s="3"/>
      <c r="Z138" s="247">
        <f t="shared" si="60"/>
        <v>3595.8</v>
      </c>
      <c r="AA138" s="247">
        <f>5000/Q138</f>
        <v>1000</v>
      </c>
      <c r="AB138" s="3"/>
      <c r="AC138" s="254">
        <f t="shared" si="109"/>
        <v>1000</v>
      </c>
      <c r="AD138" s="255">
        <f t="shared" si="110"/>
        <v>44149.600000000006</v>
      </c>
      <c r="AE138" s="253">
        <f t="shared" si="113"/>
        <v>220748.00000000003</v>
      </c>
      <c r="AF138" s="248">
        <f t="shared" si="114"/>
        <v>0</v>
      </c>
      <c r="AG138" s="248">
        <f t="shared" si="114"/>
        <v>0</v>
      </c>
      <c r="AH138" s="5">
        <v>5</v>
      </c>
      <c r="AI138" s="253">
        <v>220748.00000000003</v>
      </c>
    </row>
    <row r="139" spans="1:35" x14ac:dyDescent="0.2">
      <c r="A139" s="9" t="s">
        <v>633</v>
      </c>
      <c r="B139" s="249">
        <v>10</v>
      </c>
      <c r="C139" s="247">
        <v>4290</v>
      </c>
      <c r="D139" s="3"/>
      <c r="E139" s="3"/>
      <c r="F139" s="3"/>
      <c r="G139" s="3"/>
      <c r="H139" s="3"/>
      <c r="I139" s="3"/>
      <c r="J139" s="3"/>
      <c r="K139" s="250">
        <f t="shared" ref="K139:K140" si="115">SUM(C139:J139)</f>
        <v>4290</v>
      </c>
      <c r="L139" s="3"/>
      <c r="M139" s="3"/>
      <c r="N139" s="251">
        <f t="shared" si="112"/>
        <v>0</v>
      </c>
      <c r="O139" s="252">
        <f>(K139*12)+N139</f>
        <v>51480</v>
      </c>
      <c r="P139" s="253">
        <f t="shared" si="108"/>
        <v>514800</v>
      </c>
      <c r="Q139" s="5">
        <v>10</v>
      </c>
      <c r="R139" s="247">
        <v>0</v>
      </c>
      <c r="S139" s="3"/>
      <c r="T139" s="3"/>
      <c r="U139" s="3"/>
      <c r="V139" s="3"/>
      <c r="W139" s="3"/>
      <c r="X139" s="3"/>
      <c r="Y139" s="3"/>
      <c r="Z139" s="247">
        <f t="shared" ref="Z139:Z140" si="116">SUM(R139:Y139)</f>
        <v>0</v>
      </c>
      <c r="AA139" s="247">
        <v>0</v>
      </c>
      <c r="AB139" s="3"/>
      <c r="AC139" s="254">
        <f t="shared" si="109"/>
        <v>0</v>
      </c>
      <c r="AD139" s="255">
        <f t="shared" si="110"/>
        <v>0</v>
      </c>
      <c r="AE139" s="253">
        <f t="shared" si="113"/>
        <v>0</v>
      </c>
      <c r="AF139" s="248">
        <f t="shared" si="114"/>
        <v>51480</v>
      </c>
      <c r="AG139" s="248">
        <f t="shared" si="114"/>
        <v>514800</v>
      </c>
      <c r="AH139" s="5">
        <v>10</v>
      </c>
      <c r="AI139" s="253">
        <v>0</v>
      </c>
    </row>
    <row r="140" spans="1:35" x14ac:dyDescent="0.2">
      <c r="A140" s="9" t="s">
        <v>634</v>
      </c>
      <c r="B140" s="249">
        <v>1262</v>
      </c>
      <c r="C140" s="256">
        <f>1977198.13/B140</f>
        <v>1566.7180110935024</v>
      </c>
      <c r="D140" s="3"/>
      <c r="E140" s="3"/>
      <c r="F140" s="3"/>
      <c r="G140" s="3"/>
      <c r="H140" s="3"/>
      <c r="I140" s="3"/>
      <c r="J140" s="3"/>
      <c r="K140" s="250">
        <f t="shared" si="115"/>
        <v>1566.7180110935024</v>
      </c>
      <c r="L140" s="257">
        <f>789200/1262</f>
        <v>625.35657686212357</v>
      </c>
      <c r="M140" s="3"/>
      <c r="N140" s="251">
        <f t="shared" si="112"/>
        <v>625.35657686212357</v>
      </c>
      <c r="O140" s="252">
        <f t="shared" ref="O140" si="117">(K140*12)+N140</f>
        <v>19425.972709984151</v>
      </c>
      <c r="P140" s="253">
        <f t="shared" si="108"/>
        <v>24515577.559999999</v>
      </c>
      <c r="Q140" s="5">
        <v>1634</v>
      </c>
      <c r="R140" s="247">
        <f>2651381.33/Q140</f>
        <v>1622.6323929008568</v>
      </c>
      <c r="S140" s="3"/>
      <c r="T140" s="3"/>
      <c r="U140" s="3"/>
      <c r="V140" s="3"/>
      <c r="W140" s="3"/>
      <c r="X140" s="3"/>
      <c r="Y140" s="3"/>
      <c r="Z140" s="247">
        <f t="shared" si="116"/>
        <v>1622.6323929008568</v>
      </c>
      <c r="AA140" s="247">
        <f>1022800/Q140</f>
        <v>625.94859241126073</v>
      </c>
      <c r="AB140" s="3"/>
      <c r="AC140" s="254">
        <f t="shared" si="109"/>
        <v>625.94859241126073</v>
      </c>
      <c r="AD140" s="255">
        <f t="shared" si="110"/>
        <v>20097.537307221541</v>
      </c>
      <c r="AE140" s="253">
        <f t="shared" si="113"/>
        <v>32839375.959999997</v>
      </c>
      <c r="AF140" s="248">
        <f t="shared" si="114"/>
        <v>-671.56459723738953</v>
      </c>
      <c r="AG140" s="248">
        <f t="shared" si="114"/>
        <v>-8323798.3999999985</v>
      </c>
      <c r="AH140" s="5">
        <v>1634</v>
      </c>
      <c r="AI140" s="253">
        <v>32839375.959999997</v>
      </c>
    </row>
    <row r="141" spans="1:35" x14ac:dyDescent="0.2">
      <c r="A141" s="9" t="s">
        <v>635</v>
      </c>
      <c r="B141" s="5"/>
      <c r="C141" s="3"/>
      <c r="D141" s="3"/>
      <c r="E141" s="3"/>
      <c r="F141" s="3"/>
      <c r="G141" s="3"/>
      <c r="H141" s="3"/>
      <c r="I141" s="3"/>
      <c r="J141" s="3"/>
      <c r="K141" s="3"/>
      <c r="L141" s="3"/>
      <c r="M141" s="3"/>
      <c r="O141" s="23"/>
      <c r="P141" s="6"/>
      <c r="Q141" s="5">
        <v>8</v>
      </c>
      <c r="R141" s="247">
        <v>0</v>
      </c>
      <c r="S141" s="3"/>
      <c r="T141" s="3"/>
      <c r="U141" s="3"/>
      <c r="V141" s="3"/>
      <c r="W141" s="3"/>
      <c r="X141" s="3"/>
      <c r="Y141" s="3"/>
      <c r="Z141" s="247">
        <v>0</v>
      </c>
      <c r="AA141" s="247">
        <v>0</v>
      </c>
      <c r="AB141" s="3"/>
      <c r="AC141" s="254">
        <f t="shared" si="109"/>
        <v>0</v>
      </c>
      <c r="AD141" s="255">
        <f t="shared" si="110"/>
        <v>0</v>
      </c>
      <c r="AE141" s="253">
        <f t="shared" si="113"/>
        <v>0</v>
      </c>
      <c r="AF141" s="248">
        <f t="shared" si="114"/>
        <v>0</v>
      </c>
      <c r="AG141" s="248">
        <f t="shared" si="114"/>
        <v>0</v>
      </c>
      <c r="AH141" s="5">
        <v>8</v>
      </c>
      <c r="AI141" s="253">
        <v>0</v>
      </c>
    </row>
    <row r="142" spans="1:35" ht="12.75" thickBot="1" x14ac:dyDescent="0.25">
      <c r="A142" s="5"/>
      <c r="B142" s="5"/>
      <c r="C142" s="3"/>
      <c r="D142" s="3"/>
      <c r="E142" s="3"/>
      <c r="F142" s="3"/>
      <c r="G142" s="3"/>
      <c r="H142" s="3"/>
      <c r="I142" s="3"/>
      <c r="J142" s="3"/>
      <c r="K142" s="3"/>
      <c r="L142" s="3"/>
      <c r="M142" s="3"/>
      <c r="O142" s="23"/>
      <c r="P142" s="6"/>
      <c r="Q142" s="5"/>
      <c r="R142" s="3"/>
      <c r="S142" s="3"/>
      <c r="T142" s="3"/>
      <c r="U142" s="3"/>
      <c r="V142" s="3"/>
      <c r="W142" s="3"/>
      <c r="X142" s="3"/>
      <c r="Y142" s="3"/>
      <c r="Z142" s="3"/>
      <c r="AA142" s="3"/>
      <c r="AB142" s="3"/>
      <c r="AD142" s="23"/>
      <c r="AE142" s="6"/>
      <c r="AF142" s="5"/>
      <c r="AG142" s="5"/>
      <c r="AH142" s="6"/>
      <c r="AI142" s="5"/>
    </row>
    <row r="143" spans="1:35" ht="12.75" thickBot="1" x14ac:dyDescent="0.25">
      <c r="A143" s="258" t="s">
        <v>2</v>
      </c>
      <c r="B143" s="259">
        <f>+B133+B127+B123+B118+B94+B61+B45+B36+B27+B18+B8</f>
        <v>14534</v>
      </c>
      <c r="C143" s="259">
        <f t="shared" ref="C143:AG143" si="118">+C133+C127+C123+C118+C94+C61+C45+C36+C27+C18+C8</f>
        <v>230948.64714102185</v>
      </c>
      <c r="D143" s="259">
        <f t="shared" si="118"/>
        <v>27694</v>
      </c>
      <c r="E143" s="259">
        <f t="shared" si="118"/>
        <v>0</v>
      </c>
      <c r="F143" s="259">
        <f t="shared" si="118"/>
        <v>0</v>
      </c>
      <c r="G143" s="259">
        <f t="shared" si="118"/>
        <v>0</v>
      </c>
      <c r="H143" s="259">
        <f t="shared" si="118"/>
        <v>0</v>
      </c>
      <c r="I143" s="259">
        <f t="shared" si="118"/>
        <v>0</v>
      </c>
      <c r="J143" s="259">
        <f t="shared" si="118"/>
        <v>0</v>
      </c>
      <c r="K143" s="259">
        <f t="shared" si="118"/>
        <v>258642.64714102185</v>
      </c>
      <c r="L143" s="259">
        <f t="shared" si="118"/>
        <v>96073.839640190548</v>
      </c>
      <c r="M143" s="259">
        <f t="shared" si="118"/>
        <v>0</v>
      </c>
      <c r="N143" s="259">
        <f t="shared" si="118"/>
        <v>96073.839640190548</v>
      </c>
      <c r="O143" s="259">
        <f t="shared" si="118"/>
        <v>3199785.6053324528</v>
      </c>
      <c r="P143" s="259">
        <f t="shared" si="118"/>
        <v>317732418.42620432</v>
      </c>
      <c r="Q143" s="259">
        <f t="shared" si="118"/>
        <v>14284</v>
      </c>
      <c r="R143" s="259">
        <f t="shared" si="118"/>
        <v>195304.60203080738</v>
      </c>
      <c r="S143" s="259">
        <f>+S133+S127+S123+S118+S94+S61+S45+S36+S27+S18+S8</f>
        <v>33322</v>
      </c>
      <c r="T143" s="259">
        <f t="shared" si="118"/>
        <v>0</v>
      </c>
      <c r="U143" s="259">
        <f t="shared" si="118"/>
        <v>0</v>
      </c>
      <c r="V143" s="259">
        <f t="shared" si="118"/>
        <v>0</v>
      </c>
      <c r="W143" s="259">
        <f t="shared" si="118"/>
        <v>0</v>
      </c>
      <c r="X143" s="259">
        <f t="shared" si="118"/>
        <v>0</v>
      </c>
      <c r="Y143" s="259">
        <f t="shared" si="118"/>
        <v>0</v>
      </c>
      <c r="Z143" s="259">
        <f t="shared" si="118"/>
        <v>226903.92203080739</v>
      </c>
      <c r="AA143" s="259">
        <f t="shared" si="118"/>
        <v>94940.339155976137</v>
      </c>
      <c r="AB143" s="259">
        <f t="shared" si="118"/>
        <v>0</v>
      </c>
      <c r="AC143" s="259">
        <f t="shared" si="118"/>
        <v>94940.339155976137</v>
      </c>
      <c r="AD143" s="259">
        <f t="shared" si="118"/>
        <v>2817787.4035256654</v>
      </c>
      <c r="AE143" s="259">
        <f t="shared" si="118"/>
        <v>311992351.56</v>
      </c>
      <c r="AF143" s="259">
        <f t="shared" si="118"/>
        <v>381998.20180678775</v>
      </c>
      <c r="AG143" s="259">
        <f t="shared" si="118"/>
        <v>5740066.8662043121</v>
      </c>
      <c r="AH143" s="259">
        <f>+AH133+AH127+AH123+AH118+AH94+AH61+AH45+AH36+AH27+AH18+AH8</f>
        <v>14283</v>
      </c>
      <c r="AI143" s="260">
        <f>+AI133+AI127+AI123+AI118+AI94+AI61+AI45+AI36+AI27+AI18+AI8</f>
        <v>293969407.56000006</v>
      </c>
    </row>
    <row r="144" spans="1:35" x14ac:dyDescent="0.2">
      <c r="A144" s="50" t="s">
        <v>74</v>
      </c>
    </row>
    <row r="145" spans="1:19" x14ac:dyDescent="0.2">
      <c r="A145" s="50" t="s">
        <v>75</v>
      </c>
      <c r="B145" s="50" t="s">
        <v>171</v>
      </c>
      <c r="S145" s="254"/>
    </row>
    <row r="146" spans="1:19" x14ac:dyDescent="0.2">
      <c r="A146" s="50" t="s">
        <v>76</v>
      </c>
      <c r="B146" s="50" t="s">
        <v>77</v>
      </c>
    </row>
    <row r="147" spans="1:19" x14ac:dyDescent="0.2">
      <c r="A147" s="50" t="s">
        <v>78</v>
      </c>
      <c r="B147" s="50" t="s">
        <v>79</v>
      </c>
    </row>
    <row r="148" spans="1:19" x14ac:dyDescent="0.2">
      <c r="A148" s="50" t="s">
        <v>80</v>
      </c>
      <c r="B148" s="50" t="s">
        <v>81</v>
      </c>
    </row>
    <row r="149" spans="1:19" x14ac:dyDescent="0.2">
      <c r="B149" s="50" t="s">
        <v>82</v>
      </c>
    </row>
    <row r="150" spans="1:19" x14ac:dyDescent="0.2">
      <c r="A150" s="50" t="s">
        <v>83</v>
      </c>
      <c r="B150" s="50" t="s">
        <v>162</v>
      </c>
    </row>
    <row r="151" spans="1:19" x14ac:dyDescent="0.2">
      <c r="B151" s="50" t="s">
        <v>84</v>
      </c>
    </row>
    <row r="152" spans="1:19" x14ac:dyDescent="0.2">
      <c r="B152" s="50" t="s">
        <v>85</v>
      </c>
    </row>
    <row r="153" spans="1:19" x14ac:dyDescent="0.2">
      <c r="B153" s="50" t="s">
        <v>86</v>
      </c>
    </row>
    <row r="154" spans="1:19" x14ac:dyDescent="0.2">
      <c r="A154" s="50" t="s">
        <v>197</v>
      </c>
      <c r="B154" s="50" t="s">
        <v>198</v>
      </c>
    </row>
    <row r="155" spans="1:19" x14ac:dyDescent="0.2">
      <c r="A155" s="50" t="s">
        <v>199</v>
      </c>
      <c r="B155" s="50" t="s">
        <v>167</v>
      </c>
    </row>
    <row r="156" spans="1:19" x14ac:dyDescent="0.2">
      <c r="A156" s="50" t="s">
        <v>200</v>
      </c>
      <c r="B156" s="50" t="s">
        <v>163</v>
      </c>
    </row>
    <row r="157" spans="1:19" x14ac:dyDescent="0.2">
      <c r="B157" s="50" t="s">
        <v>84</v>
      </c>
    </row>
    <row r="158" spans="1:19" x14ac:dyDescent="0.2">
      <c r="B158" s="50" t="s">
        <v>85</v>
      </c>
    </row>
    <row r="159" spans="1:19" x14ac:dyDescent="0.2">
      <c r="B159" s="50" t="s">
        <v>126</v>
      </c>
    </row>
    <row r="160" spans="1:19" x14ac:dyDescent="0.2">
      <c r="A160" s="50" t="s">
        <v>209</v>
      </c>
      <c r="B160" s="50" t="s">
        <v>210</v>
      </c>
    </row>
    <row r="161" spans="1:2" x14ac:dyDescent="0.2">
      <c r="A161" s="50" t="s">
        <v>207</v>
      </c>
      <c r="B161" s="50" t="s">
        <v>203</v>
      </c>
    </row>
    <row r="162" spans="1:2" x14ac:dyDescent="0.2">
      <c r="A162" s="50" t="s">
        <v>208</v>
      </c>
      <c r="B162" s="50" t="s">
        <v>211</v>
      </c>
    </row>
  </sheetData>
  <mergeCells count="5">
    <mergeCell ref="A4:A6"/>
    <mergeCell ref="B4:P4"/>
    <mergeCell ref="Q4:AE4"/>
    <mergeCell ref="AF4:AG4"/>
    <mergeCell ref="AH4:AI4"/>
  </mergeCells>
  <phoneticPr fontId="13" type="noConversion"/>
  <printOptions horizontalCentered="1"/>
  <pageMargins left="0.23622047244094491" right="0.23622047244094491" top="0.74803149606299213" bottom="0.74803149606299213" header="0.31496062992125984" footer="0.31496062992125984"/>
  <pageSetup paperSize="9" scale="41"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7">
    <tabColor theme="9" tint="-0.249977111117893"/>
    <pageSetUpPr fitToPage="1"/>
  </sheetPr>
  <dimension ref="A1:U43"/>
  <sheetViews>
    <sheetView zoomScaleNormal="100" zoomScaleSheetLayoutView="80" zoomScalePageLayoutView="85" workbookViewId="0">
      <selection activeCell="H29" sqref="H29"/>
    </sheetView>
  </sheetViews>
  <sheetFormatPr baseColWidth="10" defaultColWidth="11.42578125" defaultRowHeight="12" x14ac:dyDescent="0.2"/>
  <cols>
    <col min="1" max="1" width="57.140625" style="50" customWidth="1"/>
    <col min="2" max="2" width="13.28515625" style="50" bestFit="1" customWidth="1"/>
    <col min="3" max="4" width="12.7109375" style="50" customWidth="1"/>
    <col min="5" max="5" width="13.140625" style="50" customWidth="1"/>
    <col min="6" max="6" width="12.7109375" style="50" customWidth="1"/>
    <col min="7" max="7" width="14.28515625" style="50" customWidth="1"/>
    <col min="8" max="8" width="12.7109375" style="50" customWidth="1"/>
    <col min="9" max="9" width="15" style="50" customWidth="1"/>
    <col min="10" max="10" width="12.7109375" style="50" customWidth="1"/>
    <col min="11" max="16384" width="11.42578125" style="50"/>
  </cols>
  <sheetData>
    <row r="1" spans="1:21" s="4" customFormat="1" x14ac:dyDescent="0.2">
      <c r="A1" s="230" t="s">
        <v>439</v>
      </c>
      <c r="B1" s="230"/>
      <c r="C1" s="230"/>
      <c r="D1" s="230"/>
      <c r="E1" s="230"/>
      <c r="F1" s="230"/>
      <c r="G1" s="230"/>
      <c r="H1" s="230"/>
      <c r="I1" s="230"/>
    </row>
    <row r="2" spans="1:21" x14ac:dyDescent="0.2">
      <c r="A2" s="230" t="s">
        <v>642</v>
      </c>
      <c r="B2" s="230"/>
      <c r="C2" s="230"/>
      <c r="D2" s="230"/>
      <c r="E2" s="230"/>
      <c r="F2" s="230"/>
      <c r="G2" s="230"/>
      <c r="H2" s="230"/>
      <c r="I2" s="230"/>
      <c r="J2" s="230"/>
      <c r="K2" s="230"/>
      <c r="L2" s="230"/>
      <c r="M2" s="230"/>
      <c r="N2" s="230"/>
      <c r="O2" s="230"/>
      <c r="P2" s="230"/>
      <c r="Q2" s="230"/>
      <c r="R2" s="230"/>
      <c r="S2" s="230"/>
      <c r="T2" s="230"/>
      <c r="U2" s="230"/>
    </row>
    <row r="3" spans="1:21" ht="12.75" thickBot="1" x14ac:dyDescent="0.25">
      <c r="B3" s="2"/>
      <c r="E3" s="2"/>
    </row>
    <row r="4" spans="1:21" ht="12" customHeight="1" thickBot="1" x14ac:dyDescent="0.25">
      <c r="A4" s="1098" t="s">
        <v>41</v>
      </c>
      <c r="B4" s="1108" t="s">
        <v>438</v>
      </c>
      <c r="C4" s="1104" t="s">
        <v>440</v>
      </c>
      <c r="D4" s="1109" t="s">
        <v>441</v>
      </c>
      <c r="E4" s="1102" t="s">
        <v>442</v>
      </c>
      <c r="F4" s="1106" t="s">
        <v>443</v>
      </c>
      <c r="G4" s="1100" t="s">
        <v>410</v>
      </c>
      <c r="H4" s="1102" t="s">
        <v>409</v>
      </c>
      <c r="I4" s="1100" t="s">
        <v>444</v>
      </c>
      <c r="J4" s="1104" t="s">
        <v>643</v>
      </c>
    </row>
    <row r="5" spans="1:21" ht="31.5" customHeight="1" thickBot="1" x14ac:dyDescent="0.25">
      <c r="A5" s="1099"/>
      <c r="B5" s="1099"/>
      <c r="C5" s="1105"/>
      <c r="D5" s="1110"/>
      <c r="E5" s="1103"/>
      <c r="F5" s="1107"/>
      <c r="G5" s="1101"/>
      <c r="H5" s="1103"/>
      <c r="I5" s="1101"/>
      <c r="J5" s="1105"/>
      <c r="K5" s="261"/>
    </row>
    <row r="6" spans="1:21" ht="12.75" thickBot="1" x14ac:dyDescent="0.25">
      <c r="A6" s="815" t="s">
        <v>44</v>
      </c>
      <c r="B6" s="816">
        <v>933631</v>
      </c>
      <c r="C6" s="817">
        <v>1770921</v>
      </c>
      <c r="D6" s="816">
        <v>1047721</v>
      </c>
      <c r="E6" s="818">
        <v>1564598</v>
      </c>
      <c r="F6" s="819">
        <v>1030402</v>
      </c>
      <c r="G6" s="262">
        <f>B6-D6</f>
        <v>-114090</v>
      </c>
      <c r="H6" s="263">
        <f>(D6-B6)/B6</f>
        <v>0.12220031254317819</v>
      </c>
      <c r="I6" s="264">
        <f>D6-F6</f>
        <v>17319</v>
      </c>
      <c r="J6" s="265">
        <f>(F6-D6)/D6</f>
        <v>-1.6530164041763027E-2</v>
      </c>
    </row>
    <row r="7" spans="1:21" ht="12.75" thickBot="1" x14ac:dyDescent="0.25">
      <c r="A7" s="815" t="s">
        <v>288</v>
      </c>
      <c r="B7" s="816">
        <v>839772</v>
      </c>
      <c r="C7" s="820">
        <v>2298717</v>
      </c>
      <c r="D7" s="816">
        <v>1823210</v>
      </c>
      <c r="E7" s="821">
        <v>2474207</v>
      </c>
      <c r="F7" s="819">
        <v>2501692</v>
      </c>
      <c r="G7" s="262">
        <f t="shared" ref="G7:G35" si="0">B7-D7</f>
        <v>-983438</v>
      </c>
      <c r="H7" s="266">
        <f t="shared" ref="H7:H35" si="1">(D7-B7)/B7</f>
        <v>1.1710773876718918</v>
      </c>
      <c r="I7" s="264">
        <f t="shared" ref="I7:I36" si="2">D7-F7</f>
        <v>-678482</v>
      </c>
      <c r="J7" s="265">
        <f t="shared" ref="J7:J35" si="3">(F7-D7)/D7</f>
        <v>0.37213595800812854</v>
      </c>
      <c r="K7" s="267"/>
    </row>
    <row r="8" spans="1:21" x14ac:dyDescent="0.2">
      <c r="A8" s="815" t="s">
        <v>43</v>
      </c>
      <c r="B8" s="816">
        <v>0</v>
      </c>
      <c r="C8" s="822"/>
      <c r="D8" s="816"/>
      <c r="E8" s="823"/>
      <c r="F8" s="824"/>
      <c r="G8" s="262"/>
      <c r="H8" s="266"/>
      <c r="I8" s="264">
        <f t="shared" si="2"/>
        <v>0</v>
      </c>
      <c r="J8" s="265"/>
    </row>
    <row r="9" spans="1:21" ht="12.75" thickBot="1" x14ac:dyDescent="0.25">
      <c r="A9" s="815" t="s">
        <v>37</v>
      </c>
      <c r="B9" s="816">
        <v>0</v>
      </c>
      <c r="C9" s="822"/>
      <c r="D9" s="816"/>
      <c r="E9" s="823"/>
      <c r="F9" s="824"/>
      <c r="G9" s="262"/>
      <c r="H9" s="266"/>
      <c r="I9" s="264">
        <f t="shared" si="2"/>
        <v>0</v>
      </c>
      <c r="J9" s="265"/>
    </row>
    <row r="10" spans="1:21" ht="12.75" thickBot="1" x14ac:dyDescent="0.25">
      <c r="A10" s="815" t="s">
        <v>35</v>
      </c>
      <c r="B10" s="816">
        <v>0</v>
      </c>
      <c r="C10" s="820"/>
      <c r="D10" s="816"/>
      <c r="E10" s="823"/>
      <c r="F10" s="824"/>
      <c r="G10" s="262"/>
      <c r="H10" s="266"/>
      <c r="I10" s="264">
        <f t="shared" si="2"/>
        <v>0</v>
      </c>
      <c r="J10" s="265"/>
    </row>
    <row r="11" spans="1:21" ht="12.75" thickBot="1" x14ac:dyDescent="0.25">
      <c r="A11" s="815" t="s">
        <v>285</v>
      </c>
      <c r="B11" s="816">
        <v>2605358</v>
      </c>
      <c r="C11" s="822">
        <v>3111683</v>
      </c>
      <c r="D11" s="816">
        <v>3057754</v>
      </c>
      <c r="E11" s="821">
        <v>3125837</v>
      </c>
      <c r="F11" s="819">
        <v>2143338</v>
      </c>
      <c r="G11" s="262">
        <f t="shared" si="0"/>
        <v>-452396</v>
      </c>
      <c r="H11" s="266">
        <f t="shared" si="1"/>
        <v>0.173640628274502</v>
      </c>
      <c r="I11" s="264">
        <f t="shared" si="2"/>
        <v>914416</v>
      </c>
      <c r="J11" s="265">
        <f t="shared" si="3"/>
        <v>-0.2990482556804766</v>
      </c>
    </row>
    <row r="12" spans="1:21" ht="12.75" thickBot="1" x14ac:dyDescent="0.25">
      <c r="A12" s="815" t="s">
        <v>298</v>
      </c>
      <c r="B12" s="816">
        <v>1563709</v>
      </c>
      <c r="C12" s="820">
        <v>1466147</v>
      </c>
      <c r="D12" s="816">
        <v>1105766</v>
      </c>
      <c r="E12" s="821">
        <v>1919207</v>
      </c>
      <c r="F12" s="819">
        <v>742509</v>
      </c>
      <c r="G12" s="262">
        <f t="shared" si="0"/>
        <v>457943</v>
      </c>
      <c r="H12" s="266">
        <f t="shared" si="1"/>
        <v>-0.29285691903033106</v>
      </c>
      <c r="I12" s="264">
        <f t="shared" si="2"/>
        <v>363257</v>
      </c>
      <c r="J12" s="265">
        <f t="shared" si="3"/>
        <v>-0.32851163808617734</v>
      </c>
    </row>
    <row r="13" spans="1:21" ht="12.75" thickBot="1" x14ac:dyDescent="0.25">
      <c r="A13" s="815" t="s">
        <v>39</v>
      </c>
      <c r="B13" s="816">
        <v>0</v>
      </c>
      <c r="C13" s="822"/>
      <c r="D13" s="816"/>
      <c r="E13" s="821"/>
      <c r="F13" s="824"/>
      <c r="G13" s="262"/>
      <c r="H13" s="266"/>
      <c r="I13" s="264">
        <f t="shared" si="2"/>
        <v>0</v>
      </c>
      <c r="J13" s="265"/>
    </row>
    <row r="14" spans="1:21" ht="12.75" thickBot="1" x14ac:dyDescent="0.25">
      <c r="A14" s="815" t="s">
        <v>294</v>
      </c>
      <c r="B14" s="816">
        <v>53650601</v>
      </c>
      <c r="C14" s="820">
        <v>92842347</v>
      </c>
      <c r="D14" s="816">
        <v>45002170</v>
      </c>
      <c r="E14" s="821">
        <v>68986196</v>
      </c>
      <c r="F14" s="819">
        <v>41818427</v>
      </c>
      <c r="G14" s="262">
        <f t="shared" si="0"/>
        <v>8648431</v>
      </c>
      <c r="H14" s="266">
        <f t="shared" si="1"/>
        <v>-0.16119914481479899</v>
      </c>
      <c r="I14" s="264">
        <f t="shared" si="2"/>
        <v>3183743</v>
      </c>
      <c r="J14" s="265">
        <f t="shared" si="3"/>
        <v>-7.0746432894235989E-2</v>
      </c>
    </row>
    <row r="15" spans="1:21" ht="12.75" thickBot="1" x14ac:dyDescent="0.25">
      <c r="A15" s="815" t="s">
        <v>292</v>
      </c>
      <c r="B15" s="816">
        <v>280139</v>
      </c>
      <c r="C15" s="820">
        <v>170829</v>
      </c>
      <c r="D15" s="816">
        <v>308665</v>
      </c>
      <c r="E15" s="821">
        <v>213616</v>
      </c>
      <c r="F15" s="819">
        <v>141290</v>
      </c>
      <c r="G15" s="262">
        <f t="shared" si="0"/>
        <v>-28526</v>
      </c>
      <c r="H15" s="266">
        <f t="shared" si="1"/>
        <v>0.10182802108953055</v>
      </c>
      <c r="I15" s="264">
        <f t="shared" si="2"/>
        <v>167375</v>
      </c>
      <c r="J15" s="265">
        <f t="shared" si="3"/>
        <v>-0.54225454781073334</v>
      </c>
    </row>
    <row r="16" spans="1:21" x14ac:dyDescent="0.2">
      <c r="A16" s="815" t="s">
        <v>289</v>
      </c>
      <c r="B16" s="825">
        <v>3637769</v>
      </c>
      <c r="C16" s="826">
        <v>4861860</v>
      </c>
      <c r="D16" s="825">
        <v>3955571</v>
      </c>
      <c r="E16" s="821">
        <v>4832134</v>
      </c>
      <c r="F16" s="819">
        <v>4000238</v>
      </c>
      <c r="G16" s="262">
        <f t="shared" si="0"/>
        <v>-317802</v>
      </c>
      <c r="H16" s="266">
        <f t="shared" si="1"/>
        <v>8.7361786853425827E-2</v>
      </c>
      <c r="I16" s="264">
        <f t="shared" si="2"/>
        <v>-44667</v>
      </c>
      <c r="J16" s="265">
        <f t="shared" si="3"/>
        <v>1.1292175010889704E-2</v>
      </c>
    </row>
    <row r="17" spans="1:10" x14ac:dyDescent="0.2">
      <c r="A17" s="815" t="s">
        <v>296</v>
      </c>
      <c r="B17" s="825">
        <v>4062400</v>
      </c>
      <c r="C17" s="826">
        <v>880116</v>
      </c>
      <c r="D17" s="825">
        <v>416548</v>
      </c>
      <c r="E17" s="821">
        <v>917758</v>
      </c>
      <c r="F17" s="819">
        <v>378292</v>
      </c>
      <c r="G17" s="262">
        <f t="shared" si="0"/>
        <v>3645852</v>
      </c>
      <c r="H17" s="266">
        <f t="shared" si="1"/>
        <v>-0.89746258369436782</v>
      </c>
      <c r="I17" s="264">
        <f t="shared" si="2"/>
        <v>38256</v>
      </c>
      <c r="J17" s="265">
        <f t="shared" si="3"/>
        <v>-9.184055619040303E-2</v>
      </c>
    </row>
    <row r="18" spans="1:10" x14ac:dyDescent="0.2">
      <c r="A18" s="815" t="s">
        <v>644</v>
      </c>
      <c r="B18" s="816">
        <v>891888</v>
      </c>
      <c r="C18" s="826">
        <v>631999</v>
      </c>
      <c r="D18" s="825">
        <v>573445</v>
      </c>
      <c r="E18" s="821">
        <v>542897</v>
      </c>
      <c r="F18" s="819">
        <v>472760</v>
      </c>
      <c r="G18" s="262">
        <f t="shared" si="0"/>
        <v>318443</v>
      </c>
      <c r="H18" s="266">
        <f t="shared" si="1"/>
        <v>-0.35704370952406578</v>
      </c>
      <c r="I18" s="264">
        <f t="shared" si="2"/>
        <v>100685</v>
      </c>
      <c r="J18" s="265">
        <f t="shared" si="3"/>
        <v>-0.17557917498626721</v>
      </c>
    </row>
    <row r="19" spans="1:10" x14ac:dyDescent="0.2">
      <c r="A19" s="815" t="s">
        <v>42</v>
      </c>
      <c r="B19" s="816"/>
      <c r="C19" s="822"/>
      <c r="D19" s="816"/>
      <c r="E19" s="823"/>
      <c r="F19" s="824"/>
      <c r="G19" s="262"/>
      <c r="H19" s="266"/>
      <c r="I19" s="264">
        <f t="shared" si="2"/>
        <v>0</v>
      </c>
      <c r="J19" s="265"/>
    </row>
    <row r="20" spans="1:10" x14ac:dyDescent="0.2">
      <c r="A20" s="815" t="s">
        <v>38</v>
      </c>
      <c r="B20" s="816"/>
      <c r="C20" s="822"/>
      <c r="D20" s="816"/>
      <c r="E20" s="823"/>
      <c r="F20" s="824"/>
      <c r="G20" s="262"/>
      <c r="H20" s="266"/>
      <c r="I20" s="264">
        <f t="shared" si="2"/>
        <v>0</v>
      </c>
      <c r="J20" s="265"/>
    </row>
    <row r="21" spans="1:10" x14ac:dyDescent="0.2">
      <c r="A21" s="815" t="s">
        <v>36</v>
      </c>
      <c r="B21" s="816"/>
      <c r="C21" s="822"/>
      <c r="D21" s="816"/>
      <c r="E21" s="823"/>
      <c r="F21" s="824"/>
      <c r="G21" s="262"/>
      <c r="H21" s="266"/>
      <c r="I21" s="264">
        <f t="shared" si="2"/>
        <v>0</v>
      </c>
      <c r="J21" s="265"/>
    </row>
    <row r="22" spans="1:10" x14ac:dyDescent="0.2">
      <c r="A22" s="815" t="s">
        <v>290</v>
      </c>
      <c r="B22" s="816">
        <v>236036</v>
      </c>
      <c r="C22" s="826">
        <v>725340</v>
      </c>
      <c r="D22" s="825">
        <v>459941</v>
      </c>
      <c r="E22" s="821">
        <v>684798</v>
      </c>
      <c r="F22" s="819">
        <v>422221</v>
      </c>
      <c r="G22" s="262">
        <f t="shared" si="0"/>
        <v>-223905</v>
      </c>
      <c r="H22" s="266">
        <f t="shared" si="1"/>
        <v>0.94860529749699196</v>
      </c>
      <c r="I22" s="264">
        <f t="shared" si="2"/>
        <v>37720</v>
      </c>
      <c r="J22" s="265">
        <f t="shared" si="3"/>
        <v>-8.2010518740447139E-2</v>
      </c>
    </row>
    <row r="23" spans="1:10" x14ac:dyDescent="0.2">
      <c r="A23" s="815" t="s">
        <v>46</v>
      </c>
      <c r="B23" s="816"/>
      <c r="C23" s="822"/>
      <c r="D23" s="816"/>
      <c r="E23" s="823"/>
      <c r="F23" s="824"/>
      <c r="G23" s="262"/>
      <c r="H23" s="266"/>
      <c r="I23" s="264">
        <f t="shared" si="2"/>
        <v>0</v>
      </c>
      <c r="J23" s="265"/>
    </row>
    <row r="24" spans="1:10" x14ac:dyDescent="0.2">
      <c r="A24" s="815" t="s">
        <v>49</v>
      </c>
      <c r="B24" s="816"/>
      <c r="C24" s="822"/>
      <c r="D24" s="816"/>
      <c r="E24" s="823"/>
      <c r="F24" s="824"/>
      <c r="G24" s="262"/>
      <c r="H24" s="266"/>
      <c r="I24" s="264">
        <f t="shared" si="2"/>
        <v>0</v>
      </c>
      <c r="J24" s="265"/>
    </row>
    <row r="25" spans="1:10" x14ac:dyDescent="0.2">
      <c r="A25" s="815" t="s">
        <v>287</v>
      </c>
      <c r="B25" s="816">
        <v>12580131</v>
      </c>
      <c r="C25" s="826">
        <v>3669137</v>
      </c>
      <c r="D25" s="825">
        <v>714283</v>
      </c>
      <c r="E25" s="821">
        <v>2309129</v>
      </c>
      <c r="F25" s="819">
        <v>23860938</v>
      </c>
      <c r="G25" s="262">
        <f t="shared" si="0"/>
        <v>11865848</v>
      </c>
      <c r="H25" s="266">
        <f t="shared" si="1"/>
        <v>-0.94322133847413836</v>
      </c>
      <c r="I25" s="264">
        <f t="shared" si="2"/>
        <v>-23146655</v>
      </c>
      <c r="J25" s="265">
        <f t="shared" si="3"/>
        <v>32.405440140672532</v>
      </c>
    </row>
    <row r="26" spans="1:10" x14ac:dyDescent="0.2">
      <c r="A26" s="815" t="s">
        <v>291</v>
      </c>
      <c r="B26" s="816">
        <v>1243477</v>
      </c>
      <c r="C26" s="826">
        <v>760476</v>
      </c>
      <c r="D26" s="825">
        <v>359080</v>
      </c>
      <c r="E26" s="821">
        <v>657697</v>
      </c>
      <c r="F26" s="819">
        <v>1810714</v>
      </c>
      <c r="G26" s="262">
        <f t="shared" si="0"/>
        <v>884397</v>
      </c>
      <c r="H26" s="266">
        <f t="shared" si="1"/>
        <v>-0.71122907781969424</v>
      </c>
      <c r="I26" s="264">
        <f t="shared" si="2"/>
        <v>-1451634</v>
      </c>
      <c r="J26" s="265">
        <f t="shared" si="3"/>
        <v>4.0426478779102153</v>
      </c>
    </row>
    <row r="27" spans="1:10" x14ac:dyDescent="0.2">
      <c r="A27" s="815" t="s">
        <v>284</v>
      </c>
      <c r="B27" s="816">
        <v>5416345</v>
      </c>
      <c r="C27" s="826">
        <v>6984170</v>
      </c>
      <c r="D27" s="825">
        <v>6083739</v>
      </c>
      <c r="E27" s="821">
        <v>6874727</v>
      </c>
      <c r="F27" s="819">
        <v>6802274</v>
      </c>
      <c r="G27" s="262">
        <f t="shared" si="0"/>
        <v>-667394</v>
      </c>
      <c r="H27" s="266">
        <f t="shared" si="1"/>
        <v>0.12321851728425719</v>
      </c>
      <c r="I27" s="264">
        <f t="shared" si="2"/>
        <v>-718535</v>
      </c>
      <c r="J27" s="265">
        <f t="shared" si="3"/>
        <v>0.11810746647744093</v>
      </c>
    </row>
    <row r="28" spans="1:10" x14ac:dyDescent="0.2">
      <c r="A28" s="815" t="s">
        <v>286</v>
      </c>
      <c r="B28" s="816">
        <v>167862</v>
      </c>
      <c r="C28" s="826">
        <v>118070</v>
      </c>
      <c r="D28" s="825">
        <v>34222</v>
      </c>
      <c r="E28" s="821">
        <v>107380</v>
      </c>
      <c r="F28" s="819">
        <v>44166</v>
      </c>
      <c r="G28" s="262">
        <f t="shared" si="0"/>
        <v>133640</v>
      </c>
      <c r="H28" s="266">
        <f>(D28-B28)/B28</f>
        <v>-0.79613015453169866</v>
      </c>
      <c r="I28" s="264">
        <f t="shared" si="2"/>
        <v>-9944</v>
      </c>
      <c r="J28" s="265">
        <f t="shared" si="3"/>
        <v>0.29057331541113901</v>
      </c>
    </row>
    <row r="29" spans="1:10" x14ac:dyDescent="0.2">
      <c r="A29" s="815" t="s">
        <v>645</v>
      </c>
      <c r="B29" s="816">
        <v>0</v>
      </c>
      <c r="C29" s="826">
        <v>4250877</v>
      </c>
      <c r="D29" s="825">
        <v>856285</v>
      </c>
      <c r="E29" s="821">
        <v>3715440</v>
      </c>
      <c r="F29" s="819">
        <v>1950078</v>
      </c>
      <c r="G29" s="262">
        <f t="shared" si="0"/>
        <v>-856285</v>
      </c>
      <c r="H29" s="266" t="e">
        <f>(D29-B29)/B29</f>
        <v>#DIV/0!</v>
      </c>
      <c r="I29" s="264">
        <f t="shared" si="2"/>
        <v>-1093793</v>
      </c>
      <c r="J29" s="265">
        <f t="shared" si="3"/>
        <v>1.2773702680766335</v>
      </c>
    </row>
    <row r="30" spans="1:10" x14ac:dyDescent="0.2">
      <c r="A30" s="815" t="s">
        <v>293</v>
      </c>
      <c r="B30" s="816">
        <v>16911800</v>
      </c>
      <c r="C30" s="826">
        <v>27587355</v>
      </c>
      <c r="D30" s="825">
        <v>11011224</v>
      </c>
      <c r="E30" s="821">
        <v>19028812</v>
      </c>
      <c r="F30" s="819">
        <v>12651346</v>
      </c>
      <c r="G30" s="262">
        <f t="shared" si="0"/>
        <v>5900576</v>
      </c>
      <c r="H30" s="266">
        <f t="shared" si="1"/>
        <v>-0.34890289620265141</v>
      </c>
      <c r="I30" s="264">
        <f t="shared" si="2"/>
        <v>-1640122</v>
      </c>
      <c r="J30" s="265">
        <f t="shared" si="3"/>
        <v>0.14895001681920195</v>
      </c>
    </row>
    <row r="31" spans="1:10" x14ac:dyDescent="0.2">
      <c r="A31" s="815" t="s">
        <v>295</v>
      </c>
      <c r="B31" s="816">
        <v>3691357</v>
      </c>
      <c r="C31" s="826">
        <v>15353259</v>
      </c>
      <c r="D31" s="825">
        <v>6504837</v>
      </c>
      <c r="E31" s="821">
        <v>13160470</v>
      </c>
      <c r="F31" s="819">
        <v>5021330</v>
      </c>
      <c r="G31" s="262">
        <f t="shared" si="0"/>
        <v>-2813480</v>
      </c>
      <c r="H31" s="266">
        <f t="shared" si="1"/>
        <v>0.76218041224406097</v>
      </c>
      <c r="I31" s="264">
        <f t="shared" si="2"/>
        <v>1483507</v>
      </c>
      <c r="J31" s="265">
        <f t="shared" si="3"/>
        <v>-0.22806213284053081</v>
      </c>
    </row>
    <row r="32" spans="1:10" x14ac:dyDescent="0.2">
      <c r="A32" s="815" t="s">
        <v>283</v>
      </c>
      <c r="B32" s="816">
        <v>166686</v>
      </c>
      <c r="C32" s="826">
        <v>179400</v>
      </c>
      <c r="D32" s="825">
        <v>131402</v>
      </c>
      <c r="E32" s="821">
        <v>162257</v>
      </c>
      <c r="F32" s="819">
        <v>64707</v>
      </c>
      <c r="G32" s="262">
        <f t="shared" si="0"/>
        <v>35284</v>
      </c>
      <c r="H32" s="266">
        <f t="shared" si="1"/>
        <v>-0.21167944518435861</v>
      </c>
      <c r="I32" s="264">
        <f t="shared" si="2"/>
        <v>66695</v>
      </c>
      <c r="J32" s="265">
        <f t="shared" si="3"/>
        <v>-0.50756457283755196</v>
      </c>
    </row>
    <row r="33" spans="1:12" x14ac:dyDescent="0.2">
      <c r="A33" s="815" t="s">
        <v>297</v>
      </c>
      <c r="B33" s="816">
        <v>144806</v>
      </c>
      <c r="C33" s="826">
        <v>54839</v>
      </c>
      <c r="D33" s="825">
        <v>68947</v>
      </c>
      <c r="E33" s="821">
        <v>53471</v>
      </c>
      <c r="F33" s="819">
        <v>65609</v>
      </c>
      <c r="G33" s="262">
        <f t="shared" si="0"/>
        <v>75859</v>
      </c>
      <c r="H33" s="266">
        <f t="shared" si="1"/>
        <v>-0.52386641437509496</v>
      </c>
      <c r="I33" s="264">
        <f t="shared" si="2"/>
        <v>3338</v>
      </c>
      <c r="J33" s="265">
        <f t="shared" si="3"/>
        <v>-4.8413999158774132E-2</v>
      </c>
    </row>
    <row r="34" spans="1:12" x14ac:dyDescent="0.2">
      <c r="A34" s="815" t="s">
        <v>45</v>
      </c>
      <c r="B34" s="816"/>
      <c r="C34" s="822"/>
      <c r="D34" s="816"/>
      <c r="E34" s="823"/>
      <c r="F34" s="824"/>
      <c r="G34" s="262"/>
      <c r="H34" s="266"/>
      <c r="I34" s="264">
        <f t="shared" si="2"/>
        <v>0</v>
      </c>
      <c r="J34" s="265"/>
    </row>
    <row r="35" spans="1:12" x14ac:dyDescent="0.2">
      <c r="A35" s="815" t="s">
        <v>282</v>
      </c>
      <c r="B35" s="825">
        <v>7541765</v>
      </c>
      <c r="C35" s="826">
        <v>4580078</v>
      </c>
      <c r="D35" s="825">
        <v>2775936</v>
      </c>
      <c r="E35" s="821">
        <v>4414391</v>
      </c>
      <c r="F35" s="819">
        <v>3376954</v>
      </c>
      <c r="G35" s="262">
        <f t="shared" si="0"/>
        <v>4765829</v>
      </c>
      <c r="H35" s="266">
        <f t="shared" si="1"/>
        <v>-0.63192488760920018</v>
      </c>
      <c r="I35" s="264">
        <f t="shared" si="2"/>
        <v>-601018</v>
      </c>
      <c r="J35" s="265">
        <f t="shared" si="3"/>
        <v>0.21651003481348274</v>
      </c>
    </row>
    <row r="36" spans="1:12" x14ac:dyDescent="0.2">
      <c r="A36" s="815" t="s">
        <v>47</v>
      </c>
      <c r="B36" s="827"/>
      <c r="C36" s="823"/>
      <c r="D36" s="828"/>
      <c r="E36" s="823"/>
      <c r="F36" s="824"/>
      <c r="G36" s="262"/>
      <c r="H36" s="266"/>
      <c r="I36" s="264">
        <f t="shared" si="2"/>
        <v>0</v>
      </c>
      <c r="J36" s="265"/>
      <c r="L36" s="269">
        <v>4893404</v>
      </c>
    </row>
    <row r="37" spans="1:12" ht="12.75" thickBot="1" x14ac:dyDescent="0.25">
      <c r="A37" s="240"/>
      <c r="B37" s="268"/>
      <c r="C37" s="270"/>
      <c r="D37" s="8"/>
      <c r="E37" s="270"/>
      <c r="F37" s="13"/>
      <c r="G37" s="12"/>
      <c r="H37" s="14"/>
      <c r="I37" s="11"/>
      <c r="J37" s="13"/>
    </row>
    <row r="38" spans="1:12" ht="12.75" thickBot="1" x14ac:dyDescent="0.25">
      <c r="A38" s="33" t="s">
        <v>62</v>
      </c>
      <c r="B38" s="271">
        <f t="shared" ref="B38:G38" si="4">SUM(B6:B37)</f>
        <v>116565532</v>
      </c>
      <c r="C38" s="272">
        <f t="shared" si="4"/>
        <v>172297620</v>
      </c>
      <c r="D38" s="272">
        <f t="shared" si="4"/>
        <v>86290746</v>
      </c>
      <c r="E38" s="272">
        <f t="shared" si="4"/>
        <v>135745022</v>
      </c>
      <c r="F38" s="272">
        <f t="shared" si="4"/>
        <v>109299285</v>
      </c>
      <c r="G38" s="273">
        <f t="shared" si="4"/>
        <v>30274786</v>
      </c>
      <c r="H38" s="19"/>
      <c r="I38" s="16"/>
      <c r="J38" s="18"/>
    </row>
    <row r="39" spans="1:12" x14ac:dyDescent="0.2">
      <c r="A39" s="229" t="s">
        <v>64</v>
      </c>
      <c r="B39" s="230"/>
      <c r="C39" s="230"/>
      <c r="D39" s="230"/>
      <c r="E39" s="230"/>
      <c r="F39" s="230"/>
      <c r="G39" s="230"/>
      <c r="H39" s="230"/>
      <c r="I39" s="230"/>
    </row>
    <row r="40" spans="1:12" x14ac:dyDescent="0.2">
      <c r="A40" s="229" t="s">
        <v>371</v>
      </c>
      <c r="B40" s="8"/>
      <c r="C40" s="8"/>
      <c r="D40" s="8"/>
      <c r="E40" s="8"/>
      <c r="F40" s="8"/>
      <c r="G40" s="8"/>
      <c r="H40" s="8"/>
      <c r="I40" s="8"/>
    </row>
    <row r="41" spans="1:12" x14ac:dyDescent="0.2">
      <c r="A41" s="229" t="s">
        <v>172</v>
      </c>
      <c r="B41" s="230"/>
      <c r="C41" s="230"/>
      <c r="D41" s="230"/>
      <c r="E41" s="230"/>
      <c r="F41" s="230"/>
      <c r="G41" s="230"/>
      <c r="H41" s="230"/>
      <c r="I41" s="230"/>
    </row>
    <row r="42" spans="1:12" x14ac:dyDescent="0.2">
      <c r="A42" s="229"/>
      <c r="B42" s="230"/>
      <c r="C42" s="230"/>
      <c r="D42" s="230"/>
      <c r="E42" s="230"/>
      <c r="F42" s="230"/>
      <c r="G42" s="230"/>
      <c r="H42" s="230"/>
      <c r="I42" s="230"/>
    </row>
    <row r="43" spans="1:12" x14ac:dyDescent="0.2">
      <c r="F43" s="267"/>
    </row>
  </sheetData>
  <sortState xmlns:xlrd2="http://schemas.microsoft.com/office/spreadsheetml/2017/richdata2" ref="A8:K42">
    <sortCondition ref="A8:A42"/>
  </sortState>
  <mergeCells count="10">
    <mergeCell ref="A4:A5"/>
    <mergeCell ref="G4:G5"/>
    <mergeCell ref="I4:I5"/>
    <mergeCell ref="H4:H5"/>
    <mergeCell ref="J4:J5"/>
    <mergeCell ref="C4:C5"/>
    <mergeCell ref="E4:E5"/>
    <mergeCell ref="F4:F5"/>
    <mergeCell ref="B4:B5"/>
    <mergeCell ref="D4:D5"/>
  </mergeCells>
  <phoneticPr fontId="0" type="noConversion"/>
  <printOptions horizontalCentered="1"/>
  <pageMargins left="0.23622047244094491" right="0.23622047244094491" top="0.74803149606299213" bottom="0.74803149606299213" header="0.31496062992125984" footer="0.31496062992125984"/>
  <pageSetup paperSize="9" scale="82"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9">
    <tabColor theme="9" tint="-0.249977111117893"/>
    <pageSetUpPr fitToPage="1"/>
  </sheetPr>
  <dimension ref="A1:Y65"/>
  <sheetViews>
    <sheetView topLeftCell="A49" zoomScaleNormal="100" zoomScaleSheetLayoutView="90" zoomScalePageLayoutView="85" workbookViewId="0">
      <selection activeCell="A57" sqref="A57"/>
    </sheetView>
  </sheetViews>
  <sheetFormatPr baseColWidth="10" defaultRowHeight="12" x14ac:dyDescent="0.2"/>
  <cols>
    <col min="1" max="1" width="80" style="50" customWidth="1"/>
    <col min="2" max="2" width="11.7109375" style="278" bestFit="1" customWidth="1"/>
    <col min="3" max="3" width="13.85546875" style="50" customWidth="1"/>
    <col min="4" max="4" width="15.5703125" style="50" customWidth="1"/>
    <col min="5" max="5" width="27.140625" style="50" customWidth="1"/>
    <col min="6" max="6" width="15.5703125" style="499" customWidth="1"/>
    <col min="7" max="7" width="15.7109375" style="50" customWidth="1"/>
    <col min="8" max="8" width="50.85546875" style="50" customWidth="1"/>
    <col min="9" max="9" width="20.42578125" style="50" customWidth="1"/>
    <col min="10" max="10" width="16.7109375" style="50" customWidth="1"/>
    <col min="11" max="11" width="13" style="50" customWidth="1"/>
    <col min="12" max="12" width="14" style="50" customWidth="1"/>
    <col min="13" max="13" width="13.7109375" style="50" customWidth="1"/>
    <col min="14" max="14" width="13.85546875" style="50" customWidth="1"/>
    <col min="15" max="256" width="11.42578125" style="50"/>
    <col min="257" max="257" width="80" style="50" customWidth="1"/>
    <col min="258" max="258" width="11.7109375" style="50" bestFit="1" customWidth="1"/>
    <col min="259" max="259" width="13.85546875" style="50" customWidth="1"/>
    <col min="260" max="260" width="15.5703125" style="50" customWidth="1"/>
    <col min="261" max="261" width="27.140625" style="50" customWidth="1"/>
    <col min="262" max="262" width="15.5703125" style="50" customWidth="1"/>
    <col min="263" max="263" width="15.7109375" style="50" customWidth="1"/>
    <col min="264" max="264" width="50.85546875" style="50" customWidth="1"/>
    <col min="265" max="265" width="20.42578125" style="50" customWidth="1"/>
    <col min="266" max="266" width="16.7109375" style="50" customWidth="1"/>
    <col min="267" max="267" width="13" style="50" customWidth="1"/>
    <col min="268" max="268" width="14" style="50" customWidth="1"/>
    <col min="269" max="269" width="13.7109375" style="50" customWidth="1"/>
    <col min="270" max="270" width="13.85546875" style="50" customWidth="1"/>
    <col min="271" max="512" width="11.42578125" style="50"/>
    <col min="513" max="513" width="80" style="50" customWidth="1"/>
    <col min="514" max="514" width="11.7109375" style="50" bestFit="1" customWidth="1"/>
    <col min="515" max="515" width="13.85546875" style="50" customWidth="1"/>
    <col min="516" max="516" width="15.5703125" style="50" customWidth="1"/>
    <col min="517" max="517" width="27.140625" style="50" customWidth="1"/>
    <col min="518" max="518" width="15.5703125" style="50" customWidth="1"/>
    <col min="519" max="519" width="15.7109375" style="50" customWidth="1"/>
    <col min="520" max="520" width="50.85546875" style="50" customWidth="1"/>
    <col min="521" max="521" width="20.42578125" style="50" customWidth="1"/>
    <col min="522" max="522" width="16.7109375" style="50" customWidth="1"/>
    <col min="523" max="523" width="13" style="50" customWidth="1"/>
    <col min="524" max="524" width="14" style="50" customWidth="1"/>
    <col min="525" max="525" width="13.7109375" style="50" customWidth="1"/>
    <col min="526" max="526" width="13.85546875" style="50" customWidth="1"/>
    <col min="527" max="768" width="11.42578125" style="50"/>
    <col min="769" max="769" width="80" style="50" customWidth="1"/>
    <col min="770" max="770" width="11.7109375" style="50" bestFit="1" customWidth="1"/>
    <col min="771" max="771" width="13.85546875" style="50" customWidth="1"/>
    <col min="772" max="772" width="15.5703125" style="50" customWidth="1"/>
    <col min="773" max="773" width="27.140625" style="50" customWidth="1"/>
    <col min="774" max="774" width="15.5703125" style="50" customWidth="1"/>
    <col min="775" max="775" width="15.7109375" style="50" customWidth="1"/>
    <col min="776" max="776" width="50.85546875" style="50" customWidth="1"/>
    <col min="777" max="777" width="20.42578125" style="50" customWidth="1"/>
    <col min="778" max="778" width="16.7109375" style="50" customWidth="1"/>
    <col min="779" max="779" width="13" style="50" customWidth="1"/>
    <col min="780" max="780" width="14" style="50" customWidth="1"/>
    <col min="781" max="781" width="13.7109375" style="50" customWidth="1"/>
    <col min="782" max="782" width="13.85546875" style="50" customWidth="1"/>
    <col min="783" max="1024" width="11.42578125" style="50"/>
    <col min="1025" max="1025" width="80" style="50" customWidth="1"/>
    <col min="1026" max="1026" width="11.7109375" style="50" bestFit="1" customWidth="1"/>
    <col min="1027" max="1027" width="13.85546875" style="50" customWidth="1"/>
    <col min="1028" max="1028" width="15.5703125" style="50" customWidth="1"/>
    <col min="1029" max="1029" width="27.140625" style="50" customWidth="1"/>
    <col min="1030" max="1030" width="15.5703125" style="50" customWidth="1"/>
    <col min="1031" max="1031" width="15.7109375" style="50" customWidth="1"/>
    <col min="1032" max="1032" width="50.85546875" style="50" customWidth="1"/>
    <col min="1033" max="1033" width="20.42578125" style="50" customWidth="1"/>
    <col min="1034" max="1034" width="16.7109375" style="50" customWidth="1"/>
    <col min="1035" max="1035" width="13" style="50" customWidth="1"/>
    <col min="1036" max="1036" width="14" style="50" customWidth="1"/>
    <col min="1037" max="1037" width="13.7109375" style="50" customWidth="1"/>
    <col min="1038" max="1038" width="13.85546875" style="50" customWidth="1"/>
    <col min="1039" max="1280" width="11.42578125" style="50"/>
    <col min="1281" max="1281" width="80" style="50" customWidth="1"/>
    <col min="1282" max="1282" width="11.7109375" style="50" bestFit="1" customWidth="1"/>
    <col min="1283" max="1283" width="13.85546875" style="50" customWidth="1"/>
    <col min="1284" max="1284" width="15.5703125" style="50" customWidth="1"/>
    <col min="1285" max="1285" width="27.140625" style="50" customWidth="1"/>
    <col min="1286" max="1286" width="15.5703125" style="50" customWidth="1"/>
    <col min="1287" max="1287" width="15.7109375" style="50" customWidth="1"/>
    <col min="1288" max="1288" width="50.85546875" style="50" customWidth="1"/>
    <col min="1289" max="1289" width="20.42578125" style="50" customWidth="1"/>
    <col min="1290" max="1290" width="16.7109375" style="50" customWidth="1"/>
    <col min="1291" max="1291" width="13" style="50" customWidth="1"/>
    <col min="1292" max="1292" width="14" style="50" customWidth="1"/>
    <col min="1293" max="1293" width="13.7109375" style="50" customWidth="1"/>
    <col min="1294" max="1294" width="13.85546875" style="50" customWidth="1"/>
    <col min="1295" max="1536" width="11.42578125" style="50"/>
    <col min="1537" max="1537" width="80" style="50" customWidth="1"/>
    <col min="1538" max="1538" width="11.7109375" style="50" bestFit="1" customWidth="1"/>
    <col min="1539" max="1539" width="13.85546875" style="50" customWidth="1"/>
    <col min="1540" max="1540" width="15.5703125" style="50" customWidth="1"/>
    <col min="1541" max="1541" width="27.140625" style="50" customWidth="1"/>
    <col min="1542" max="1542" width="15.5703125" style="50" customWidth="1"/>
    <col min="1543" max="1543" width="15.7109375" style="50" customWidth="1"/>
    <col min="1544" max="1544" width="50.85546875" style="50" customWidth="1"/>
    <col min="1545" max="1545" width="20.42578125" style="50" customWidth="1"/>
    <col min="1546" max="1546" width="16.7109375" style="50" customWidth="1"/>
    <col min="1547" max="1547" width="13" style="50" customWidth="1"/>
    <col min="1548" max="1548" width="14" style="50" customWidth="1"/>
    <col min="1549" max="1549" width="13.7109375" style="50" customWidth="1"/>
    <col min="1550" max="1550" width="13.85546875" style="50" customWidth="1"/>
    <col min="1551" max="1792" width="11.42578125" style="50"/>
    <col min="1793" max="1793" width="80" style="50" customWidth="1"/>
    <col min="1794" max="1794" width="11.7109375" style="50" bestFit="1" customWidth="1"/>
    <col min="1795" max="1795" width="13.85546875" style="50" customWidth="1"/>
    <col min="1796" max="1796" width="15.5703125" style="50" customWidth="1"/>
    <col min="1797" max="1797" width="27.140625" style="50" customWidth="1"/>
    <col min="1798" max="1798" width="15.5703125" style="50" customWidth="1"/>
    <col min="1799" max="1799" width="15.7109375" style="50" customWidth="1"/>
    <col min="1800" max="1800" width="50.85546875" style="50" customWidth="1"/>
    <col min="1801" max="1801" width="20.42578125" style="50" customWidth="1"/>
    <col min="1802" max="1802" width="16.7109375" style="50" customWidth="1"/>
    <col min="1803" max="1803" width="13" style="50" customWidth="1"/>
    <col min="1804" max="1804" width="14" style="50" customWidth="1"/>
    <col min="1805" max="1805" width="13.7109375" style="50" customWidth="1"/>
    <col min="1806" max="1806" width="13.85546875" style="50" customWidth="1"/>
    <col min="1807" max="2048" width="11.42578125" style="50"/>
    <col min="2049" max="2049" width="80" style="50" customWidth="1"/>
    <col min="2050" max="2050" width="11.7109375" style="50" bestFit="1" customWidth="1"/>
    <col min="2051" max="2051" width="13.85546875" style="50" customWidth="1"/>
    <col min="2052" max="2052" width="15.5703125" style="50" customWidth="1"/>
    <col min="2053" max="2053" width="27.140625" style="50" customWidth="1"/>
    <col min="2054" max="2054" width="15.5703125" style="50" customWidth="1"/>
    <col min="2055" max="2055" width="15.7109375" style="50" customWidth="1"/>
    <col min="2056" max="2056" width="50.85546875" style="50" customWidth="1"/>
    <col min="2057" max="2057" width="20.42578125" style="50" customWidth="1"/>
    <col min="2058" max="2058" width="16.7109375" style="50" customWidth="1"/>
    <col min="2059" max="2059" width="13" style="50" customWidth="1"/>
    <col min="2060" max="2060" width="14" style="50" customWidth="1"/>
    <col min="2061" max="2061" width="13.7109375" style="50" customWidth="1"/>
    <col min="2062" max="2062" width="13.85546875" style="50" customWidth="1"/>
    <col min="2063" max="2304" width="11.42578125" style="50"/>
    <col min="2305" max="2305" width="80" style="50" customWidth="1"/>
    <col min="2306" max="2306" width="11.7109375" style="50" bestFit="1" customWidth="1"/>
    <col min="2307" max="2307" width="13.85546875" style="50" customWidth="1"/>
    <col min="2308" max="2308" width="15.5703125" style="50" customWidth="1"/>
    <col min="2309" max="2309" width="27.140625" style="50" customWidth="1"/>
    <col min="2310" max="2310" width="15.5703125" style="50" customWidth="1"/>
    <col min="2311" max="2311" width="15.7109375" style="50" customWidth="1"/>
    <col min="2312" max="2312" width="50.85546875" style="50" customWidth="1"/>
    <col min="2313" max="2313" width="20.42578125" style="50" customWidth="1"/>
    <col min="2314" max="2314" width="16.7109375" style="50" customWidth="1"/>
    <col min="2315" max="2315" width="13" style="50" customWidth="1"/>
    <col min="2316" max="2316" width="14" style="50" customWidth="1"/>
    <col min="2317" max="2317" width="13.7109375" style="50" customWidth="1"/>
    <col min="2318" max="2318" width="13.85546875" style="50" customWidth="1"/>
    <col min="2319" max="2560" width="11.42578125" style="50"/>
    <col min="2561" max="2561" width="80" style="50" customWidth="1"/>
    <col min="2562" max="2562" width="11.7109375" style="50" bestFit="1" customWidth="1"/>
    <col min="2563" max="2563" width="13.85546875" style="50" customWidth="1"/>
    <col min="2564" max="2564" width="15.5703125" style="50" customWidth="1"/>
    <col min="2565" max="2565" width="27.140625" style="50" customWidth="1"/>
    <col min="2566" max="2566" width="15.5703125" style="50" customWidth="1"/>
    <col min="2567" max="2567" width="15.7109375" style="50" customWidth="1"/>
    <col min="2568" max="2568" width="50.85546875" style="50" customWidth="1"/>
    <col min="2569" max="2569" width="20.42578125" style="50" customWidth="1"/>
    <col min="2570" max="2570" width="16.7109375" style="50" customWidth="1"/>
    <col min="2571" max="2571" width="13" style="50" customWidth="1"/>
    <col min="2572" max="2572" width="14" style="50" customWidth="1"/>
    <col min="2573" max="2573" width="13.7109375" style="50" customWidth="1"/>
    <col min="2574" max="2574" width="13.85546875" style="50" customWidth="1"/>
    <col min="2575" max="2816" width="11.42578125" style="50"/>
    <col min="2817" max="2817" width="80" style="50" customWidth="1"/>
    <col min="2818" max="2818" width="11.7109375" style="50" bestFit="1" customWidth="1"/>
    <col min="2819" max="2819" width="13.85546875" style="50" customWidth="1"/>
    <col min="2820" max="2820" width="15.5703125" style="50" customWidth="1"/>
    <col min="2821" max="2821" width="27.140625" style="50" customWidth="1"/>
    <col min="2822" max="2822" width="15.5703125" style="50" customWidth="1"/>
    <col min="2823" max="2823" width="15.7109375" style="50" customWidth="1"/>
    <col min="2824" max="2824" width="50.85546875" style="50" customWidth="1"/>
    <col min="2825" max="2825" width="20.42578125" style="50" customWidth="1"/>
    <col min="2826" max="2826" width="16.7109375" style="50" customWidth="1"/>
    <col min="2827" max="2827" width="13" style="50" customWidth="1"/>
    <col min="2828" max="2828" width="14" style="50" customWidth="1"/>
    <col min="2829" max="2829" width="13.7109375" style="50" customWidth="1"/>
    <col min="2830" max="2830" width="13.85546875" style="50" customWidth="1"/>
    <col min="2831" max="3072" width="11.42578125" style="50"/>
    <col min="3073" max="3073" width="80" style="50" customWidth="1"/>
    <col min="3074" max="3074" width="11.7109375" style="50" bestFit="1" customWidth="1"/>
    <col min="3075" max="3075" width="13.85546875" style="50" customWidth="1"/>
    <col min="3076" max="3076" width="15.5703125" style="50" customWidth="1"/>
    <col min="3077" max="3077" width="27.140625" style="50" customWidth="1"/>
    <col min="3078" max="3078" width="15.5703125" style="50" customWidth="1"/>
    <col min="3079" max="3079" width="15.7109375" style="50" customWidth="1"/>
    <col min="3080" max="3080" width="50.85546875" style="50" customWidth="1"/>
    <col min="3081" max="3081" width="20.42578125" style="50" customWidth="1"/>
    <col min="3082" max="3082" width="16.7109375" style="50" customWidth="1"/>
    <col min="3083" max="3083" width="13" style="50" customWidth="1"/>
    <col min="3084" max="3084" width="14" style="50" customWidth="1"/>
    <col min="3085" max="3085" width="13.7109375" style="50" customWidth="1"/>
    <col min="3086" max="3086" width="13.85546875" style="50" customWidth="1"/>
    <col min="3087" max="3328" width="11.42578125" style="50"/>
    <col min="3329" max="3329" width="80" style="50" customWidth="1"/>
    <col min="3330" max="3330" width="11.7109375" style="50" bestFit="1" customWidth="1"/>
    <col min="3331" max="3331" width="13.85546875" style="50" customWidth="1"/>
    <col min="3332" max="3332" width="15.5703125" style="50" customWidth="1"/>
    <col min="3333" max="3333" width="27.140625" style="50" customWidth="1"/>
    <col min="3334" max="3334" width="15.5703125" style="50" customWidth="1"/>
    <col min="3335" max="3335" width="15.7109375" style="50" customWidth="1"/>
    <col min="3336" max="3336" width="50.85546875" style="50" customWidth="1"/>
    <col min="3337" max="3337" width="20.42578125" style="50" customWidth="1"/>
    <col min="3338" max="3338" width="16.7109375" style="50" customWidth="1"/>
    <col min="3339" max="3339" width="13" style="50" customWidth="1"/>
    <col min="3340" max="3340" width="14" style="50" customWidth="1"/>
    <col min="3341" max="3341" width="13.7109375" style="50" customWidth="1"/>
    <col min="3342" max="3342" width="13.85546875" style="50" customWidth="1"/>
    <col min="3343" max="3584" width="11.42578125" style="50"/>
    <col min="3585" max="3585" width="80" style="50" customWidth="1"/>
    <col min="3586" max="3586" width="11.7109375" style="50" bestFit="1" customWidth="1"/>
    <col min="3587" max="3587" width="13.85546875" style="50" customWidth="1"/>
    <col min="3588" max="3588" width="15.5703125" style="50" customWidth="1"/>
    <col min="3589" max="3589" width="27.140625" style="50" customWidth="1"/>
    <col min="3590" max="3590" width="15.5703125" style="50" customWidth="1"/>
    <col min="3591" max="3591" width="15.7109375" style="50" customWidth="1"/>
    <col min="3592" max="3592" width="50.85546875" style="50" customWidth="1"/>
    <col min="3593" max="3593" width="20.42578125" style="50" customWidth="1"/>
    <col min="3594" max="3594" width="16.7109375" style="50" customWidth="1"/>
    <col min="3595" max="3595" width="13" style="50" customWidth="1"/>
    <col min="3596" max="3596" width="14" style="50" customWidth="1"/>
    <col min="3597" max="3597" width="13.7109375" style="50" customWidth="1"/>
    <col min="3598" max="3598" width="13.85546875" style="50" customWidth="1"/>
    <col min="3599" max="3840" width="11.42578125" style="50"/>
    <col min="3841" max="3841" width="80" style="50" customWidth="1"/>
    <col min="3842" max="3842" width="11.7109375" style="50" bestFit="1" customWidth="1"/>
    <col min="3843" max="3843" width="13.85546875" style="50" customWidth="1"/>
    <col min="3844" max="3844" width="15.5703125" style="50" customWidth="1"/>
    <col min="3845" max="3845" width="27.140625" style="50" customWidth="1"/>
    <col min="3846" max="3846" width="15.5703125" style="50" customWidth="1"/>
    <col min="3847" max="3847" width="15.7109375" style="50" customWidth="1"/>
    <col min="3848" max="3848" width="50.85546875" style="50" customWidth="1"/>
    <col min="3849" max="3849" width="20.42578125" style="50" customWidth="1"/>
    <col min="3850" max="3850" width="16.7109375" style="50" customWidth="1"/>
    <col min="3851" max="3851" width="13" style="50" customWidth="1"/>
    <col min="3852" max="3852" width="14" style="50" customWidth="1"/>
    <col min="3853" max="3853" width="13.7109375" style="50" customWidth="1"/>
    <col min="3854" max="3854" width="13.85546875" style="50" customWidth="1"/>
    <col min="3855" max="4096" width="11.42578125" style="50"/>
    <col min="4097" max="4097" width="80" style="50" customWidth="1"/>
    <col min="4098" max="4098" width="11.7109375" style="50" bestFit="1" customWidth="1"/>
    <col min="4099" max="4099" width="13.85546875" style="50" customWidth="1"/>
    <col min="4100" max="4100" width="15.5703125" style="50" customWidth="1"/>
    <col min="4101" max="4101" width="27.140625" style="50" customWidth="1"/>
    <col min="4102" max="4102" width="15.5703125" style="50" customWidth="1"/>
    <col min="4103" max="4103" width="15.7109375" style="50" customWidth="1"/>
    <col min="4104" max="4104" width="50.85546875" style="50" customWidth="1"/>
    <col min="4105" max="4105" width="20.42578125" style="50" customWidth="1"/>
    <col min="4106" max="4106" width="16.7109375" style="50" customWidth="1"/>
    <col min="4107" max="4107" width="13" style="50" customWidth="1"/>
    <col min="4108" max="4108" width="14" style="50" customWidth="1"/>
    <col min="4109" max="4109" width="13.7109375" style="50" customWidth="1"/>
    <col min="4110" max="4110" width="13.85546875" style="50" customWidth="1"/>
    <col min="4111" max="4352" width="11.42578125" style="50"/>
    <col min="4353" max="4353" width="80" style="50" customWidth="1"/>
    <col min="4354" max="4354" width="11.7109375" style="50" bestFit="1" customWidth="1"/>
    <col min="4355" max="4355" width="13.85546875" style="50" customWidth="1"/>
    <col min="4356" max="4356" width="15.5703125" style="50" customWidth="1"/>
    <col min="4357" max="4357" width="27.140625" style="50" customWidth="1"/>
    <col min="4358" max="4358" width="15.5703125" style="50" customWidth="1"/>
    <col min="4359" max="4359" width="15.7109375" style="50" customWidth="1"/>
    <col min="4360" max="4360" width="50.85546875" style="50" customWidth="1"/>
    <col min="4361" max="4361" width="20.42578125" style="50" customWidth="1"/>
    <col min="4362" max="4362" width="16.7109375" style="50" customWidth="1"/>
    <col min="4363" max="4363" width="13" style="50" customWidth="1"/>
    <col min="4364" max="4364" width="14" style="50" customWidth="1"/>
    <col min="4365" max="4365" width="13.7109375" style="50" customWidth="1"/>
    <col min="4366" max="4366" width="13.85546875" style="50" customWidth="1"/>
    <col min="4367" max="4608" width="11.42578125" style="50"/>
    <col min="4609" max="4609" width="80" style="50" customWidth="1"/>
    <col min="4610" max="4610" width="11.7109375" style="50" bestFit="1" customWidth="1"/>
    <col min="4611" max="4611" width="13.85546875" style="50" customWidth="1"/>
    <col min="4612" max="4612" width="15.5703125" style="50" customWidth="1"/>
    <col min="4613" max="4613" width="27.140625" style="50" customWidth="1"/>
    <col min="4614" max="4614" width="15.5703125" style="50" customWidth="1"/>
    <col min="4615" max="4615" width="15.7109375" style="50" customWidth="1"/>
    <col min="4616" max="4616" width="50.85546875" style="50" customWidth="1"/>
    <col min="4617" max="4617" width="20.42578125" style="50" customWidth="1"/>
    <col min="4618" max="4618" width="16.7109375" style="50" customWidth="1"/>
    <col min="4619" max="4619" width="13" style="50" customWidth="1"/>
    <col min="4620" max="4620" width="14" style="50" customWidth="1"/>
    <col min="4621" max="4621" width="13.7109375" style="50" customWidth="1"/>
    <col min="4622" max="4622" width="13.85546875" style="50" customWidth="1"/>
    <col min="4623" max="4864" width="11.42578125" style="50"/>
    <col min="4865" max="4865" width="80" style="50" customWidth="1"/>
    <col min="4866" max="4866" width="11.7109375" style="50" bestFit="1" customWidth="1"/>
    <col min="4867" max="4867" width="13.85546875" style="50" customWidth="1"/>
    <col min="4868" max="4868" width="15.5703125" style="50" customWidth="1"/>
    <col min="4869" max="4869" width="27.140625" style="50" customWidth="1"/>
    <col min="4870" max="4870" width="15.5703125" style="50" customWidth="1"/>
    <col min="4871" max="4871" width="15.7109375" style="50" customWidth="1"/>
    <col min="4872" max="4872" width="50.85546875" style="50" customWidth="1"/>
    <col min="4873" max="4873" width="20.42578125" style="50" customWidth="1"/>
    <col min="4874" max="4874" width="16.7109375" style="50" customWidth="1"/>
    <col min="4875" max="4875" width="13" style="50" customWidth="1"/>
    <col min="4876" max="4876" width="14" style="50" customWidth="1"/>
    <col min="4877" max="4877" width="13.7109375" style="50" customWidth="1"/>
    <col min="4878" max="4878" width="13.85546875" style="50" customWidth="1"/>
    <col min="4879" max="5120" width="11.42578125" style="50"/>
    <col min="5121" max="5121" width="80" style="50" customWidth="1"/>
    <col min="5122" max="5122" width="11.7109375" style="50" bestFit="1" customWidth="1"/>
    <col min="5123" max="5123" width="13.85546875" style="50" customWidth="1"/>
    <col min="5124" max="5124" width="15.5703125" style="50" customWidth="1"/>
    <col min="5125" max="5125" width="27.140625" style="50" customWidth="1"/>
    <col min="5126" max="5126" width="15.5703125" style="50" customWidth="1"/>
    <col min="5127" max="5127" width="15.7109375" style="50" customWidth="1"/>
    <col min="5128" max="5128" width="50.85546875" style="50" customWidth="1"/>
    <col min="5129" max="5129" width="20.42578125" style="50" customWidth="1"/>
    <col min="5130" max="5130" width="16.7109375" style="50" customWidth="1"/>
    <col min="5131" max="5131" width="13" style="50" customWidth="1"/>
    <col min="5132" max="5132" width="14" style="50" customWidth="1"/>
    <col min="5133" max="5133" width="13.7109375" style="50" customWidth="1"/>
    <col min="5134" max="5134" width="13.85546875" style="50" customWidth="1"/>
    <col min="5135" max="5376" width="11.42578125" style="50"/>
    <col min="5377" max="5377" width="80" style="50" customWidth="1"/>
    <col min="5378" max="5378" width="11.7109375" style="50" bestFit="1" customWidth="1"/>
    <col min="5379" max="5379" width="13.85546875" style="50" customWidth="1"/>
    <col min="5380" max="5380" width="15.5703125" style="50" customWidth="1"/>
    <col min="5381" max="5381" width="27.140625" style="50" customWidth="1"/>
    <col min="5382" max="5382" width="15.5703125" style="50" customWidth="1"/>
    <col min="5383" max="5383" width="15.7109375" style="50" customWidth="1"/>
    <col min="5384" max="5384" width="50.85546875" style="50" customWidth="1"/>
    <col min="5385" max="5385" width="20.42578125" style="50" customWidth="1"/>
    <col min="5386" max="5386" width="16.7109375" style="50" customWidth="1"/>
    <col min="5387" max="5387" width="13" style="50" customWidth="1"/>
    <col min="5388" max="5388" width="14" style="50" customWidth="1"/>
    <col min="5389" max="5389" width="13.7109375" style="50" customWidth="1"/>
    <col min="5390" max="5390" width="13.85546875" style="50" customWidth="1"/>
    <col min="5391" max="5632" width="11.42578125" style="50"/>
    <col min="5633" max="5633" width="80" style="50" customWidth="1"/>
    <col min="5634" max="5634" width="11.7109375" style="50" bestFit="1" customWidth="1"/>
    <col min="5635" max="5635" width="13.85546875" style="50" customWidth="1"/>
    <col min="5636" max="5636" width="15.5703125" style="50" customWidth="1"/>
    <col min="5637" max="5637" width="27.140625" style="50" customWidth="1"/>
    <col min="5638" max="5638" width="15.5703125" style="50" customWidth="1"/>
    <col min="5639" max="5639" width="15.7109375" style="50" customWidth="1"/>
    <col min="5640" max="5640" width="50.85546875" style="50" customWidth="1"/>
    <col min="5641" max="5641" width="20.42578125" style="50" customWidth="1"/>
    <col min="5642" max="5642" width="16.7109375" style="50" customWidth="1"/>
    <col min="5643" max="5643" width="13" style="50" customWidth="1"/>
    <col min="5644" max="5644" width="14" style="50" customWidth="1"/>
    <col min="5645" max="5645" width="13.7109375" style="50" customWidth="1"/>
    <col min="5646" max="5646" width="13.85546875" style="50" customWidth="1"/>
    <col min="5647" max="5888" width="11.42578125" style="50"/>
    <col min="5889" max="5889" width="80" style="50" customWidth="1"/>
    <col min="5890" max="5890" width="11.7109375" style="50" bestFit="1" customWidth="1"/>
    <col min="5891" max="5891" width="13.85546875" style="50" customWidth="1"/>
    <col min="5892" max="5892" width="15.5703125" style="50" customWidth="1"/>
    <col min="5893" max="5893" width="27.140625" style="50" customWidth="1"/>
    <col min="5894" max="5894" width="15.5703125" style="50" customWidth="1"/>
    <col min="5895" max="5895" width="15.7109375" style="50" customWidth="1"/>
    <col min="5896" max="5896" width="50.85546875" style="50" customWidth="1"/>
    <col min="5897" max="5897" width="20.42578125" style="50" customWidth="1"/>
    <col min="5898" max="5898" width="16.7109375" style="50" customWidth="1"/>
    <col min="5899" max="5899" width="13" style="50" customWidth="1"/>
    <col min="5900" max="5900" width="14" style="50" customWidth="1"/>
    <col min="5901" max="5901" width="13.7109375" style="50" customWidth="1"/>
    <col min="5902" max="5902" width="13.85546875" style="50" customWidth="1"/>
    <col min="5903" max="6144" width="11.42578125" style="50"/>
    <col min="6145" max="6145" width="80" style="50" customWidth="1"/>
    <col min="6146" max="6146" width="11.7109375" style="50" bestFit="1" customWidth="1"/>
    <col min="6147" max="6147" width="13.85546875" style="50" customWidth="1"/>
    <col min="6148" max="6148" width="15.5703125" style="50" customWidth="1"/>
    <col min="6149" max="6149" width="27.140625" style="50" customWidth="1"/>
    <col min="6150" max="6150" width="15.5703125" style="50" customWidth="1"/>
    <col min="6151" max="6151" width="15.7109375" style="50" customWidth="1"/>
    <col min="6152" max="6152" width="50.85546875" style="50" customWidth="1"/>
    <col min="6153" max="6153" width="20.42578125" style="50" customWidth="1"/>
    <col min="6154" max="6154" width="16.7109375" style="50" customWidth="1"/>
    <col min="6155" max="6155" width="13" style="50" customWidth="1"/>
    <col min="6156" max="6156" width="14" style="50" customWidth="1"/>
    <col min="6157" max="6157" width="13.7109375" style="50" customWidth="1"/>
    <col min="6158" max="6158" width="13.85546875" style="50" customWidth="1"/>
    <col min="6159" max="6400" width="11.42578125" style="50"/>
    <col min="6401" max="6401" width="80" style="50" customWidth="1"/>
    <col min="6402" max="6402" width="11.7109375" style="50" bestFit="1" customWidth="1"/>
    <col min="6403" max="6403" width="13.85546875" style="50" customWidth="1"/>
    <col min="6404" max="6404" width="15.5703125" style="50" customWidth="1"/>
    <col min="6405" max="6405" width="27.140625" style="50" customWidth="1"/>
    <col min="6406" max="6406" width="15.5703125" style="50" customWidth="1"/>
    <col min="6407" max="6407" width="15.7109375" style="50" customWidth="1"/>
    <col min="6408" max="6408" width="50.85546875" style="50" customWidth="1"/>
    <col min="6409" max="6409" width="20.42578125" style="50" customWidth="1"/>
    <col min="6410" max="6410" width="16.7109375" style="50" customWidth="1"/>
    <col min="6411" max="6411" width="13" style="50" customWidth="1"/>
    <col min="6412" max="6412" width="14" style="50" customWidth="1"/>
    <col min="6413" max="6413" width="13.7109375" style="50" customWidth="1"/>
    <col min="6414" max="6414" width="13.85546875" style="50" customWidth="1"/>
    <col min="6415" max="6656" width="11.42578125" style="50"/>
    <col min="6657" max="6657" width="80" style="50" customWidth="1"/>
    <col min="6658" max="6658" width="11.7109375" style="50" bestFit="1" customWidth="1"/>
    <col min="6659" max="6659" width="13.85546875" style="50" customWidth="1"/>
    <col min="6660" max="6660" width="15.5703125" style="50" customWidth="1"/>
    <col min="6661" max="6661" width="27.140625" style="50" customWidth="1"/>
    <col min="6662" max="6662" width="15.5703125" style="50" customWidth="1"/>
    <col min="6663" max="6663" width="15.7109375" style="50" customWidth="1"/>
    <col min="6664" max="6664" width="50.85546875" style="50" customWidth="1"/>
    <col min="6665" max="6665" width="20.42578125" style="50" customWidth="1"/>
    <col min="6666" max="6666" width="16.7109375" style="50" customWidth="1"/>
    <col min="6667" max="6667" width="13" style="50" customWidth="1"/>
    <col min="6668" max="6668" width="14" style="50" customWidth="1"/>
    <col min="6669" max="6669" width="13.7109375" style="50" customWidth="1"/>
    <col min="6670" max="6670" width="13.85546875" style="50" customWidth="1"/>
    <col min="6671" max="6912" width="11.42578125" style="50"/>
    <col min="6913" max="6913" width="80" style="50" customWidth="1"/>
    <col min="6914" max="6914" width="11.7109375" style="50" bestFit="1" customWidth="1"/>
    <col min="6915" max="6915" width="13.85546875" style="50" customWidth="1"/>
    <col min="6916" max="6916" width="15.5703125" style="50" customWidth="1"/>
    <col min="6917" max="6917" width="27.140625" style="50" customWidth="1"/>
    <col min="6918" max="6918" width="15.5703125" style="50" customWidth="1"/>
    <col min="6919" max="6919" width="15.7109375" style="50" customWidth="1"/>
    <col min="6920" max="6920" width="50.85546875" style="50" customWidth="1"/>
    <col min="6921" max="6921" width="20.42578125" style="50" customWidth="1"/>
    <col min="6922" max="6922" width="16.7109375" style="50" customWidth="1"/>
    <col min="6923" max="6923" width="13" style="50" customWidth="1"/>
    <col min="6924" max="6924" width="14" style="50" customWidth="1"/>
    <col min="6925" max="6925" width="13.7109375" style="50" customWidth="1"/>
    <col min="6926" max="6926" width="13.85546875" style="50" customWidth="1"/>
    <col min="6927" max="7168" width="11.42578125" style="50"/>
    <col min="7169" max="7169" width="80" style="50" customWidth="1"/>
    <col min="7170" max="7170" width="11.7109375" style="50" bestFit="1" customWidth="1"/>
    <col min="7171" max="7171" width="13.85546875" style="50" customWidth="1"/>
    <col min="7172" max="7172" width="15.5703125" style="50" customWidth="1"/>
    <col min="7173" max="7173" width="27.140625" style="50" customWidth="1"/>
    <col min="7174" max="7174" width="15.5703125" style="50" customWidth="1"/>
    <col min="7175" max="7175" width="15.7109375" style="50" customWidth="1"/>
    <col min="7176" max="7176" width="50.85546875" style="50" customWidth="1"/>
    <col min="7177" max="7177" width="20.42578125" style="50" customWidth="1"/>
    <col min="7178" max="7178" width="16.7109375" style="50" customWidth="1"/>
    <col min="7179" max="7179" width="13" style="50" customWidth="1"/>
    <col min="7180" max="7180" width="14" style="50" customWidth="1"/>
    <col min="7181" max="7181" width="13.7109375" style="50" customWidth="1"/>
    <col min="7182" max="7182" width="13.85546875" style="50" customWidth="1"/>
    <col min="7183" max="7424" width="11.42578125" style="50"/>
    <col min="7425" max="7425" width="80" style="50" customWidth="1"/>
    <col min="7426" max="7426" width="11.7109375" style="50" bestFit="1" customWidth="1"/>
    <col min="7427" max="7427" width="13.85546875" style="50" customWidth="1"/>
    <col min="7428" max="7428" width="15.5703125" style="50" customWidth="1"/>
    <col min="7429" max="7429" width="27.140625" style="50" customWidth="1"/>
    <col min="7430" max="7430" width="15.5703125" style="50" customWidth="1"/>
    <col min="7431" max="7431" width="15.7109375" style="50" customWidth="1"/>
    <col min="7432" max="7432" width="50.85546875" style="50" customWidth="1"/>
    <col min="7433" max="7433" width="20.42578125" style="50" customWidth="1"/>
    <col min="7434" max="7434" width="16.7109375" style="50" customWidth="1"/>
    <col min="7435" max="7435" width="13" style="50" customWidth="1"/>
    <col min="7436" max="7436" width="14" style="50" customWidth="1"/>
    <col min="7437" max="7437" width="13.7109375" style="50" customWidth="1"/>
    <col min="7438" max="7438" width="13.85546875" style="50" customWidth="1"/>
    <col min="7439" max="7680" width="11.42578125" style="50"/>
    <col min="7681" max="7681" width="80" style="50" customWidth="1"/>
    <col min="7682" max="7682" width="11.7109375" style="50" bestFit="1" customWidth="1"/>
    <col min="7683" max="7683" width="13.85546875" style="50" customWidth="1"/>
    <col min="7684" max="7684" width="15.5703125" style="50" customWidth="1"/>
    <col min="7685" max="7685" width="27.140625" style="50" customWidth="1"/>
    <col min="7686" max="7686" width="15.5703125" style="50" customWidth="1"/>
    <col min="7687" max="7687" width="15.7109375" style="50" customWidth="1"/>
    <col min="7688" max="7688" width="50.85546875" style="50" customWidth="1"/>
    <col min="7689" max="7689" width="20.42578125" style="50" customWidth="1"/>
    <col min="7690" max="7690" width="16.7109375" style="50" customWidth="1"/>
    <col min="7691" max="7691" width="13" style="50" customWidth="1"/>
    <col min="7692" max="7692" width="14" style="50" customWidth="1"/>
    <col min="7693" max="7693" width="13.7109375" style="50" customWidth="1"/>
    <col min="7694" max="7694" width="13.85546875" style="50" customWidth="1"/>
    <col min="7695" max="7936" width="11.42578125" style="50"/>
    <col min="7937" max="7937" width="80" style="50" customWidth="1"/>
    <col min="7938" max="7938" width="11.7109375" style="50" bestFit="1" customWidth="1"/>
    <col min="7939" max="7939" width="13.85546875" style="50" customWidth="1"/>
    <col min="7940" max="7940" width="15.5703125" style="50" customWidth="1"/>
    <col min="7941" max="7941" width="27.140625" style="50" customWidth="1"/>
    <col min="7942" max="7942" width="15.5703125" style="50" customWidth="1"/>
    <col min="7943" max="7943" width="15.7109375" style="50" customWidth="1"/>
    <col min="7944" max="7944" width="50.85546875" style="50" customWidth="1"/>
    <col min="7945" max="7945" width="20.42578125" style="50" customWidth="1"/>
    <col min="7946" max="7946" width="16.7109375" style="50" customWidth="1"/>
    <col min="7947" max="7947" width="13" style="50" customWidth="1"/>
    <col min="7948" max="7948" width="14" style="50" customWidth="1"/>
    <col min="7949" max="7949" width="13.7109375" style="50" customWidth="1"/>
    <col min="7950" max="7950" width="13.85546875" style="50" customWidth="1"/>
    <col min="7951" max="8192" width="11.42578125" style="50"/>
    <col min="8193" max="8193" width="80" style="50" customWidth="1"/>
    <col min="8194" max="8194" width="11.7109375" style="50" bestFit="1" customWidth="1"/>
    <col min="8195" max="8195" width="13.85546875" style="50" customWidth="1"/>
    <col min="8196" max="8196" width="15.5703125" style="50" customWidth="1"/>
    <col min="8197" max="8197" width="27.140625" style="50" customWidth="1"/>
    <col min="8198" max="8198" width="15.5703125" style="50" customWidth="1"/>
    <col min="8199" max="8199" width="15.7109375" style="50" customWidth="1"/>
    <col min="8200" max="8200" width="50.85546875" style="50" customWidth="1"/>
    <col min="8201" max="8201" width="20.42578125" style="50" customWidth="1"/>
    <col min="8202" max="8202" width="16.7109375" style="50" customWidth="1"/>
    <col min="8203" max="8203" width="13" style="50" customWidth="1"/>
    <col min="8204" max="8204" width="14" style="50" customWidth="1"/>
    <col min="8205" max="8205" width="13.7109375" style="50" customWidth="1"/>
    <col min="8206" max="8206" width="13.85546875" style="50" customWidth="1"/>
    <col min="8207" max="8448" width="11.42578125" style="50"/>
    <col min="8449" max="8449" width="80" style="50" customWidth="1"/>
    <col min="8450" max="8450" width="11.7109375" style="50" bestFit="1" customWidth="1"/>
    <col min="8451" max="8451" width="13.85546875" style="50" customWidth="1"/>
    <col min="8452" max="8452" width="15.5703125" style="50" customWidth="1"/>
    <col min="8453" max="8453" width="27.140625" style="50" customWidth="1"/>
    <col min="8454" max="8454" width="15.5703125" style="50" customWidth="1"/>
    <col min="8455" max="8455" width="15.7109375" style="50" customWidth="1"/>
    <col min="8456" max="8456" width="50.85546875" style="50" customWidth="1"/>
    <col min="8457" max="8457" width="20.42578125" style="50" customWidth="1"/>
    <col min="8458" max="8458" width="16.7109375" style="50" customWidth="1"/>
    <col min="8459" max="8459" width="13" style="50" customWidth="1"/>
    <col min="8460" max="8460" width="14" style="50" customWidth="1"/>
    <col min="8461" max="8461" width="13.7109375" style="50" customWidth="1"/>
    <col min="8462" max="8462" width="13.85546875" style="50" customWidth="1"/>
    <col min="8463" max="8704" width="11.42578125" style="50"/>
    <col min="8705" max="8705" width="80" style="50" customWidth="1"/>
    <col min="8706" max="8706" width="11.7109375" style="50" bestFit="1" customWidth="1"/>
    <col min="8707" max="8707" width="13.85546875" style="50" customWidth="1"/>
    <col min="8708" max="8708" width="15.5703125" style="50" customWidth="1"/>
    <col min="8709" max="8709" width="27.140625" style="50" customWidth="1"/>
    <col min="8710" max="8710" width="15.5703125" style="50" customWidth="1"/>
    <col min="8711" max="8711" width="15.7109375" style="50" customWidth="1"/>
    <col min="8712" max="8712" width="50.85546875" style="50" customWidth="1"/>
    <col min="8713" max="8713" width="20.42578125" style="50" customWidth="1"/>
    <col min="8714" max="8714" width="16.7109375" style="50" customWidth="1"/>
    <col min="8715" max="8715" width="13" style="50" customWidth="1"/>
    <col min="8716" max="8716" width="14" style="50" customWidth="1"/>
    <col min="8717" max="8717" width="13.7109375" style="50" customWidth="1"/>
    <col min="8718" max="8718" width="13.85546875" style="50" customWidth="1"/>
    <col min="8719" max="8960" width="11.42578125" style="50"/>
    <col min="8961" max="8961" width="80" style="50" customWidth="1"/>
    <col min="8962" max="8962" width="11.7109375" style="50" bestFit="1" customWidth="1"/>
    <col min="8963" max="8963" width="13.85546875" style="50" customWidth="1"/>
    <col min="8964" max="8964" width="15.5703125" style="50" customWidth="1"/>
    <col min="8965" max="8965" width="27.140625" style="50" customWidth="1"/>
    <col min="8966" max="8966" width="15.5703125" style="50" customWidth="1"/>
    <col min="8967" max="8967" width="15.7109375" style="50" customWidth="1"/>
    <col min="8968" max="8968" width="50.85546875" style="50" customWidth="1"/>
    <col min="8969" max="8969" width="20.42578125" style="50" customWidth="1"/>
    <col min="8970" max="8970" width="16.7109375" style="50" customWidth="1"/>
    <col min="8971" max="8971" width="13" style="50" customWidth="1"/>
    <col min="8972" max="8972" width="14" style="50" customWidth="1"/>
    <col min="8973" max="8973" width="13.7109375" style="50" customWidth="1"/>
    <col min="8974" max="8974" width="13.85546875" style="50" customWidth="1"/>
    <col min="8975" max="9216" width="11.42578125" style="50"/>
    <col min="9217" max="9217" width="80" style="50" customWidth="1"/>
    <col min="9218" max="9218" width="11.7109375" style="50" bestFit="1" customWidth="1"/>
    <col min="9219" max="9219" width="13.85546875" style="50" customWidth="1"/>
    <col min="9220" max="9220" width="15.5703125" style="50" customWidth="1"/>
    <col min="9221" max="9221" width="27.140625" style="50" customWidth="1"/>
    <col min="9222" max="9222" width="15.5703125" style="50" customWidth="1"/>
    <col min="9223" max="9223" width="15.7109375" style="50" customWidth="1"/>
    <col min="9224" max="9224" width="50.85546875" style="50" customWidth="1"/>
    <col min="9225" max="9225" width="20.42578125" style="50" customWidth="1"/>
    <col min="9226" max="9226" width="16.7109375" style="50" customWidth="1"/>
    <col min="9227" max="9227" width="13" style="50" customWidth="1"/>
    <col min="9228" max="9228" width="14" style="50" customWidth="1"/>
    <col min="9229" max="9229" width="13.7109375" style="50" customWidth="1"/>
    <col min="9230" max="9230" width="13.85546875" style="50" customWidth="1"/>
    <col min="9231" max="9472" width="11.42578125" style="50"/>
    <col min="9473" max="9473" width="80" style="50" customWidth="1"/>
    <col min="9474" max="9474" width="11.7109375" style="50" bestFit="1" customWidth="1"/>
    <col min="9475" max="9475" width="13.85546875" style="50" customWidth="1"/>
    <col min="9476" max="9476" width="15.5703125" style="50" customWidth="1"/>
    <col min="9477" max="9477" width="27.140625" style="50" customWidth="1"/>
    <col min="9478" max="9478" width="15.5703125" style="50" customWidth="1"/>
    <col min="9479" max="9479" width="15.7109375" style="50" customWidth="1"/>
    <col min="9480" max="9480" width="50.85546875" style="50" customWidth="1"/>
    <col min="9481" max="9481" width="20.42578125" style="50" customWidth="1"/>
    <col min="9482" max="9482" width="16.7109375" style="50" customWidth="1"/>
    <col min="9483" max="9483" width="13" style="50" customWidth="1"/>
    <col min="9484" max="9484" width="14" style="50" customWidth="1"/>
    <col min="9485" max="9485" width="13.7109375" style="50" customWidth="1"/>
    <col min="9486" max="9486" width="13.85546875" style="50" customWidth="1"/>
    <col min="9487" max="9728" width="11.42578125" style="50"/>
    <col min="9729" max="9729" width="80" style="50" customWidth="1"/>
    <col min="9730" max="9730" width="11.7109375" style="50" bestFit="1" customWidth="1"/>
    <col min="9731" max="9731" width="13.85546875" style="50" customWidth="1"/>
    <col min="9732" max="9732" width="15.5703125" style="50" customWidth="1"/>
    <col min="9733" max="9733" width="27.140625" style="50" customWidth="1"/>
    <col min="9734" max="9734" width="15.5703125" style="50" customWidth="1"/>
    <col min="9735" max="9735" width="15.7109375" style="50" customWidth="1"/>
    <col min="9736" max="9736" width="50.85546875" style="50" customWidth="1"/>
    <col min="9737" max="9737" width="20.42578125" style="50" customWidth="1"/>
    <col min="9738" max="9738" width="16.7109375" style="50" customWidth="1"/>
    <col min="9739" max="9739" width="13" style="50" customWidth="1"/>
    <col min="9740" max="9740" width="14" style="50" customWidth="1"/>
    <col min="9741" max="9741" width="13.7109375" style="50" customWidth="1"/>
    <col min="9742" max="9742" width="13.85546875" style="50" customWidth="1"/>
    <col min="9743" max="9984" width="11.42578125" style="50"/>
    <col min="9985" max="9985" width="80" style="50" customWidth="1"/>
    <col min="9986" max="9986" width="11.7109375" style="50" bestFit="1" customWidth="1"/>
    <col min="9987" max="9987" width="13.85546875" style="50" customWidth="1"/>
    <col min="9988" max="9988" width="15.5703125" style="50" customWidth="1"/>
    <col min="9989" max="9989" width="27.140625" style="50" customWidth="1"/>
    <col min="9990" max="9990" width="15.5703125" style="50" customWidth="1"/>
    <col min="9991" max="9991" width="15.7109375" style="50" customWidth="1"/>
    <col min="9992" max="9992" width="50.85546875" style="50" customWidth="1"/>
    <col min="9993" max="9993" width="20.42578125" style="50" customWidth="1"/>
    <col min="9994" max="9994" width="16.7109375" style="50" customWidth="1"/>
    <col min="9995" max="9995" width="13" style="50" customWidth="1"/>
    <col min="9996" max="9996" width="14" style="50" customWidth="1"/>
    <col min="9997" max="9997" width="13.7109375" style="50" customWidth="1"/>
    <col min="9998" max="9998" width="13.85546875" style="50" customWidth="1"/>
    <col min="9999" max="10240" width="11.42578125" style="50"/>
    <col min="10241" max="10241" width="80" style="50" customWidth="1"/>
    <col min="10242" max="10242" width="11.7109375" style="50" bestFit="1" customWidth="1"/>
    <col min="10243" max="10243" width="13.85546875" style="50" customWidth="1"/>
    <col min="10244" max="10244" width="15.5703125" style="50" customWidth="1"/>
    <col min="10245" max="10245" width="27.140625" style="50" customWidth="1"/>
    <col min="10246" max="10246" width="15.5703125" style="50" customWidth="1"/>
    <col min="10247" max="10247" width="15.7109375" style="50" customWidth="1"/>
    <col min="10248" max="10248" width="50.85546875" style="50" customWidth="1"/>
    <col min="10249" max="10249" width="20.42578125" style="50" customWidth="1"/>
    <col min="10250" max="10250" width="16.7109375" style="50" customWidth="1"/>
    <col min="10251" max="10251" width="13" style="50" customWidth="1"/>
    <col min="10252" max="10252" width="14" style="50" customWidth="1"/>
    <col min="10253" max="10253" width="13.7109375" style="50" customWidth="1"/>
    <col min="10254" max="10254" width="13.85546875" style="50" customWidth="1"/>
    <col min="10255" max="10496" width="11.42578125" style="50"/>
    <col min="10497" max="10497" width="80" style="50" customWidth="1"/>
    <col min="10498" max="10498" width="11.7109375" style="50" bestFit="1" customWidth="1"/>
    <col min="10499" max="10499" width="13.85546875" style="50" customWidth="1"/>
    <col min="10500" max="10500" width="15.5703125" style="50" customWidth="1"/>
    <col min="10501" max="10501" width="27.140625" style="50" customWidth="1"/>
    <col min="10502" max="10502" width="15.5703125" style="50" customWidth="1"/>
    <col min="10503" max="10503" width="15.7109375" style="50" customWidth="1"/>
    <col min="10504" max="10504" width="50.85546875" style="50" customWidth="1"/>
    <col min="10505" max="10505" width="20.42578125" style="50" customWidth="1"/>
    <col min="10506" max="10506" width="16.7109375" style="50" customWidth="1"/>
    <col min="10507" max="10507" width="13" style="50" customWidth="1"/>
    <col min="10508" max="10508" width="14" style="50" customWidth="1"/>
    <col min="10509" max="10509" width="13.7109375" style="50" customWidth="1"/>
    <col min="10510" max="10510" width="13.85546875" style="50" customWidth="1"/>
    <col min="10511" max="10752" width="11.42578125" style="50"/>
    <col min="10753" max="10753" width="80" style="50" customWidth="1"/>
    <col min="10754" max="10754" width="11.7109375" style="50" bestFit="1" customWidth="1"/>
    <col min="10755" max="10755" width="13.85546875" style="50" customWidth="1"/>
    <col min="10756" max="10756" width="15.5703125" style="50" customWidth="1"/>
    <col min="10757" max="10757" width="27.140625" style="50" customWidth="1"/>
    <col min="10758" max="10758" width="15.5703125" style="50" customWidth="1"/>
    <col min="10759" max="10759" width="15.7109375" style="50" customWidth="1"/>
    <col min="10760" max="10760" width="50.85546875" style="50" customWidth="1"/>
    <col min="10761" max="10761" width="20.42578125" style="50" customWidth="1"/>
    <col min="10762" max="10762" width="16.7109375" style="50" customWidth="1"/>
    <col min="10763" max="10763" width="13" style="50" customWidth="1"/>
    <col min="10764" max="10764" width="14" style="50" customWidth="1"/>
    <col min="10765" max="10765" width="13.7109375" style="50" customWidth="1"/>
    <col min="10766" max="10766" width="13.85546875" style="50" customWidth="1"/>
    <col min="10767" max="11008" width="11.42578125" style="50"/>
    <col min="11009" max="11009" width="80" style="50" customWidth="1"/>
    <col min="11010" max="11010" width="11.7109375" style="50" bestFit="1" customWidth="1"/>
    <col min="11011" max="11011" width="13.85546875" style="50" customWidth="1"/>
    <col min="11012" max="11012" width="15.5703125" style="50" customWidth="1"/>
    <col min="11013" max="11013" width="27.140625" style="50" customWidth="1"/>
    <col min="11014" max="11014" width="15.5703125" style="50" customWidth="1"/>
    <col min="11015" max="11015" width="15.7109375" style="50" customWidth="1"/>
    <col min="11016" max="11016" width="50.85546875" style="50" customWidth="1"/>
    <col min="11017" max="11017" width="20.42578125" style="50" customWidth="1"/>
    <col min="11018" max="11018" width="16.7109375" style="50" customWidth="1"/>
    <col min="11019" max="11019" width="13" style="50" customWidth="1"/>
    <col min="11020" max="11020" width="14" style="50" customWidth="1"/>
    <col min="11021" max="11021" width="13.7109375" style="50" customWidth="1"/>
    <col min="11022" max="11022" width="13.85546875" style="50" customWidth="1"/>
    <col min="11023" max="11264" width="11.42578125" style="50"/>
    <col min="11265" max="11265" width="80" style="50" customWidth="1"/>
    <col min="11266" max="11266" width="11.7109375" style="50" bestFit="1" customWidth="1"/>
    <col min="11267" max="11267" width="13.85546875" style="50" customWidth="1"/>
    <col min="11268" max="11268" width="15.5703125" style="50" customWidth="1"/>
    <col min="11269" max="11269" width="27.140625" style="50" customWidth="1"/>
    <col min="11270" max="11270" width="15.5703125" style="50" customWidth="1"/>
    <col min="11271" max="11271" width="15.7109375" style="50" customWidth="1"/>
    <col min="11272" max="11272" width="50.85546875" style="50" customWidth="1"/>
    <col min="11273" max="11273" width="20.42578125" style="50" customWidth="1"/>
    <col min="11274" max="11274" width="16.7109375" style="50" customWidth="1"/>
    <col min="11275" max="11275" width="13" style="50" customWidth="1"/>
    <col min="11276" max="11276" width="14" style="50" customWidth="1"/>
    <col min="11277" max="11277" width="13.7109375" style="50" customWidth="1"/>
    <col min="11278" max="11278" width="13.85546875" style="50" customWidth="1"/>
    <col min="11279" max="11520" width="11.42578125" style="50"/>
    <col min="11521" max="11521" width="80" style="50" customWidth="1"/>
    <col min="11522" max="11522" width="11.7109375" style="50" bestFit="1" customWidth="1"/>
    <col min="11523" max="11523" width="13.85546875" style="50" customWidth="1"/>
    <col min="11524" max="11524" width="15.5703125" style="50" customWidth="1"/>
    <col min="11525" max="11525" width="27.140625" style="50" customWidth="1"/>
    <col min="11526" max="11526" width="15.5703125" style="50" customWidth="1"/>
    <col min="11527" max="11527" width="15.7109375" style="50" customWidth="1"/>
    <col min="11528" max="11528" width="50.85546875" style="50" customWidth="1"/>
    <col min="11529" max="11529" width="20.42578125" style="50" customWidth="1"/>
    <col min="11530" max="11530" width="16.7109375" style="50" customWidth="1"/>
    <col min="11531" max="11531" width="13" style="50" customWidth="1"/>
    <col min="11532" max="11532" width="14" style="50" customWidth="1"/>
    <col min="11533" max="11533" width="13.7109375" style="50" customWidth="1"/>
    <col min="11534" max="11534" width="13.85546875" style="50" customWidth="1"/>
    <col min="11535" max="11776" width="11.42578125" style="50"/>
    <col min="11777" max="11777" width="80" style="50" customWidth="1"/>
    <col min="11778" max="11778" width="11.7109375" style="50" bestFit="1" customWidth="1"/>
    <col min="11779" max="11779" width="13.85546875" style="50" customWidth="1"/>
    <col min="11780" max="11780" width="15.5703125" style="50" customWidth="1"/>
    <col min="11781" max="11781" width="27.140625" style="50" customWidth="1"/>
    <col min="11782" max="11782" width="15.5703125" style="50" customWidth="1"/>
    <col min="11783" max="11783" width="15.7109375" style="50" customWidth="1"/>
    <col min="11784" max="11784" width="50.85546875" style="50" customWidth="1"/>
    <col min="11785" max="11785" width="20.42578125" style="50" customWidth="1"/>
    <col min="11786" max="11786" width="16.7109375" style="50" customWidth="1"/>
    <col min="11787" max="11787" width="13" style="50" customWidth="1"/>
    <col min="11788" max="11788" width="14" style="50" customWidth="1"/>
    <col min="11789" max="11789" width="13.7109375" style="50" customWidth="1"/>
    <col min="11790" max="11790" width="13.85546875" style="50" customWidth="1"/>
    <col min="11791" max="12032" width="11.42578125" style="50"/>
    <col min="12033" max="12033" width="80" style="50" customWidth="1"/>
    <col min="12034" max="12034" width="11.7109375" style="50" bestFit="1" customWidth="1"/>
    <col min="12035" max="12035" width="13.85546875" style="50" customWidth="1"/>
    <col min="12036" max="12036" width="15.5703125" style="50" customWidth="1"/>
    <col min="12037" max="12037" width="27.140625" style="50" customWidth="1"/>
    <col min="12038" max="12038" width="15.5703125" style="50" customWidth="1"/>
    <col min="12039" max="12039" width="15.7109375" style="50" customWidth="1"/>
    <col min="12040" max="12040" width="50.85546875" style="50" customWidth="1"/>
    <col min="12041" max="12041" width="20.42578125" style="50" customWidth="1"/>
    <col min="12042" max="12042" width="16.7109375" style="50" customWidth="1"/>
    <col min="12043" max="12043" width="13" style="50" customWidth="1"/>
    <col min="12044" max="12044" width="14" style="50" customWidth="1"/>
    <col min="12045" max="12045" width="13.7109375" style="50" customWidth="1"/>
    <col min="12046" max="12046" width="13.85546875" style="50" customWidth="1"/>
    <col min="12047" max="12288" width="11.42578125" style="50"/>
    <col min="12289" max="12289" width="80" style="50" customWidth="1"/>
    <col min="12290" max="12290" width="11.7109375" style="50" bestFit="1" customWidth="1"/>
    <col min="12291" max="12291" width="13.85546875" style="50" customWidth="1"/>
    <col min="12292" max="12292" width="15.5703125" style="50" customWidth="1"/>
    <col min="12293" max="12293" width="27.140625" style="50" customWidth="1"/>
    <col min="12294" max="12294" width="15.5703125" style="50" customWidth="1"/>
    <col min="12295" max="12295" width="15.7109375" style="50" customWidth="1"/>
    <col min="12296" max="12296" width="50.85546875" style="50" customWidth="1"/>
    <col min="12297" max="12297" width="20.42578125" style="50" customWidth="1"/>
    <col min="12298" max="12298" width="16.7109375" style="50" customWidth="1"/>
    <col min="12299" max="12299" width="13" style="50" customWidth="1"/>
    <col min="12300" max="12300" width="14" style="50" customWidth="1"/>
    <col min="12301" max="12301" width="13.7109375" style="50" customWidth="1"/>
    <col min="12302" max="12302" width="13.85546875" style="50" customWidth="1"/>
    <col min="12303" max="12544" width="11.42578125" style="50"/>
    <col min="12545" max="12545" width="80" style="50" customWidth="1"/>
    <col min="12546" max="12546" width="11.7109375" style="50" bestFit="1" customWidth="1"/>
    <col min="12547" max="12547" width="13.85546875" style="50" customWidth="1"/>
    <col min="12548" max="12548" width="15.5703125" style="50" customWidth="1"/>
    <col min="12549" max="12549" width="27.140625" style="50" customWidth="1"/>
    <col min="12550" max="12550" width="15.5703125" style="50" customWidth="1"/>
    <col min="12551" max="12551" width="15.7109375" style="50" customWidth="1"/>
    <col min="12552" max="12552" width="50.85546875" style="50" customWidth="1"/>
    <col min="12553" max="12553" width="20.42578125" style="50" customWidth="1"/>
    <col min="12554" max="12554" width="16.7109375" style="50" customWidth="1"/>
    <col min="12555" max="12555" width="13" style="50" customWidth="1"/>
    <col min="12556" max="12556" width="14" style="50" customWidth="1"/>
    <col min="12557" max="12557" width="13.7109375" style="50" customWidth="1"/>
    <col min="12558" max="12558" width="13.85546875" style="50" customWidth="1"/>
    <col min="12559" max="12800" width="11.42578125" style="50"/>
    <col min="12801" max="12801" width="80" style="50" customWidth="1"/>
    <col min="12802" max="12802" width="11.7109375" style="50" bestFit="1" customWidth="1"/>
    <col min="12803" max="12803" width="13.85546875" style="50" customWidth="1"/>
    <col min="12804" max="12804" width="15.5703125" style="50" customWidth="1"/>
    <col min="12805" max="12805" width="27.140625" style="50" customWidth="1"/>
    <col min="12806" max="12806" width="15.5703125" style="50" customWidth="1"/>
    <col min="12807" max="12807" width="15.7109375" style="50" customWidth="1"/>
    <col min="12808" max="12808" width="50.85546875" style="50" customWidth="1"/>
    <col min="12809" max="12809" width="20.42578125" style="50" customWidth="1"/>
    <col min="12810" max="12810" width="16.7109375" style="50" customWidth="1"/>
    <col min="12811" max="12811" width="13" style="50" customWidth="1"/>
    <col min="12812" max="12812" width="14" style="50" customWidth="1"/>
    <col min="12813" max="12813" width="13.7109375" style="50" customWidth="1"/>
    <col min="12814" max="12814" width="13.85546875" style="50" customWidth="1"/>
    <col min="12815" max="13056" width="11.42578125" style="50"/>
    <col min="13057" max="13057" width="80" style="50" customWidth="1"/>
    <col min="13058" max="13058" width="11.7109375" style="50" bestFit="1" customWidth="1"/>
    <col min="13059" max="13059" width="13.85546875" style="50" customWidth="1"/>
    <col min="13060" max="13060" width="15.5703125" style="50" customWidth="1"/>
    <col min="13061" max="13061" width="27.140625" style="50" customWidth="1"/>
    <col min="13062" max="13062" width="15.5703125" style="50" customWidth="1"/>
    <col min="13063" max="13063" width="15.7109375" style="50" customWidth="1"/>
    <col min="13064" max="13064" width="50.85546875" style="50" customWidth="1"/>
    <col min="13065" max="13065" width="20.42578125" style="50" customWidth="1"/>
    <col min="13066" max="13066" width="16.7109375" style="50" customWidth="1"/>
    <col min="13067" max="13067" width="13" style="50" customWidth="1"/>
    <col min="13068" max="13068" width="14" style="50" customWidth="1"/>
    <col min="13069" max="13069" width="13.7109375" style="50" customWidth="1"/>
    <col min="13070" max="13070" width="13.85546875" style="50" customWidth="1"/>
    <col min="13071" max="13312" width="11.42578125" style="50"/>
    <col min="13313" max="13313" width="80" style="50" customWidth="1"/>
    <col min="13314" max="13314" width="11.7109375" style="50" bestFit="1" customWidth="1"/>
    <col min="13315" max="13315" width="13.85546875" style="50" customWidth="1"/>
    <col min="13316" max="13316" width="15.5703125" style="50" customWidth="1"/>
    <col min="13317" max="13317" width="27.140625" style="50" customWidth="1"/>
    <col min="13318" max="13318" width="15.5703125" style="50" customWidth="1"/>
    <col min="13319" max="13319" width="15.7109375" style="50" customWidth="1"/>
    <col min="13320" max="13320" width="50.85546875" style="50" customWidth="1"/>
    <col min="13321" max="13321" width="20.42578125" style="50" customWidth="1"/>
    <col min="13322" max="13322" width="16.7109375" style="50" customWidth="1"/>
    <col min="13323" max="13323" width="13" style="50" customWidth="1"/>
    <col min="13324" max="13324" width="14" style="50" customWidth="1"/>
    <col min="13325" max="13325" width="13.7109375" style="50" customWidth="1"/>
    <col min="13326" max="13326" width="13.85546875" style="50" customWidth="1"/>
    <col min="13327" max="13568" width="11.42578125" style="50"/>
    <col min="13569" max="13569" width="80" style="50" customWidth="1"/>
    <col min="13570" max="13570" width="11.7109375" style="50" bestFit="1" customWidth="1"/>
    <col min="13571" max="13571" width="13.85546875" style="50" customWidth="1"/>
    <col min="13572" max="13572" width="15.5703125" style="50" customWidth="1"/>
    <col min="13573" max="13573" width="27.140625" style="50" customWidth="1"/>
    <col min="13574" max="13574" width="15.5703125" style="50" customWidth="1"/>
    <col min="13575" max="13575" width="15.7109375" style="50" customWidth="1"/>
    <col min="13576" max="13576" width="50.85546875" style="50" customWidth="1"/>
    <col min="13577" max="13577" width="20.42578125" style="50" customWidth="1"/>
    <col min="13578" max="13578" width="16.7109375" style="50" customWidth="1"/>
    <col min="13579" max="13579" width="13" style="50" customWidth="1"/>
    <col min="13580" max="13580" width="14" style="50" customWidth="1"/>
    <col min="13581" max="13581" width="13.7109375" style="50" customWidth="1"/>
    <col min="13582" max="13582" width="13.85546875" style="50" customWidth="1"/>
    <col min="13583" max="13824" width="11.42578125" style="50"/>
    <col min="13825" max="13825" width="80" style="50" customWidth="1"/>
    <col min="13826" max="13826" width="11.7109375" style="50" bestFit="1" customWidth="1"/>
    <col min="13827" max="13827" width="13.85546875" style="50" customWidth="1"/>
    <col min="13828" max="13828" width="15.5703125" style="50" customWidth="1"/>
    <col min="13829" max="13829" width="27.140625" style="50" customWidth="1"/>
    <col min="13830" max="13830" width="15.5703125" style="50" customWidth="1"/>
    <col min="13831" max="13831" width="15.7109375" style="50" customWidth="1"/>
    <col min="13832" max="13832" width="50.85546875" style="50" customWidth="1"/>
    <col min="13833" max="13833" width="20.42578125" style="50" customWidth="1"/>
    <col min="13834" max="13834" width="16.7109375" style="50" customWidth="1"/>
    <col min="13835" max="13835" width="13" style="50" customWidth="1"/>
    <col min="13836" max="13836" width="14" style="50" customWidth="1"/>
    <col min="13837" max="13837" width="13.7109375" style="50" customWidth="1"/>
    <col min="13838" max="13838" width="13.85546875" style="50" customWidth="1"/>
    <col min="13839" max="14080" width="11.42578125" style="50"/>
    <col min="14081" max="14081" width="80" style="50" customWidth="1"/>
    <col min="14082" max="14082" width="11.7109375" style="50" bestFit="1" customWidth="1"/>
    <col min="14083" max="14083" width="13.85546875" style="50" customWidth="1"/>
    <col min="14084" max="14084" width="15.5703125" style="50" customWidth="1"/>
    <col min="14085" max="14085" width="27.140625" style="50" customWidth="1"/>
    <col min="14086" max="14086" width="15.5703125" style="50" customWidth="1"/>
    <col min="14087" max="14087" width="15.7109375" style="50" customWidth="1"/>
    <col min="14088" max="14088" width="50.85546875" style="50" customWidth="1"/>
    <col min="14089" max="14089" width="20.42578125" style="50" customWidth="1"/>
    <col min="14090" max="14090" width="16.7109375" style="50" customWidth="1"/>
    <col min="14091" max="14091" width="13" style="50" customWidth="1"/>
    <col min="14092" max="14092" width="14" style="50" customWidth="1"/>
    <col min="14093" max="14093" width="13.7109375" style="50" customWidth="1"/>
    <col min="14094" max="14094" width="13.85546875" style="50" customWidth="1"/>
    <col min="14095" max="14336" width="11.42578125" style="50"/>
    <col min="14337" max="14337" width="80" style="50" customWidth="1"/>
    <col min="14338" max="14338" width="11.7109375" style="50" bestFit="1" customWidth="1"/>
    <col min="14339" max="14339" width="13.85546875" style="50" customWidth="1"/>
    <col min="14340" max="14340" width="15.5703125" style="50" customWidth="1"/>
    <col min="14341" max="14341" width="27.140625" style="50" customWidth="1"/>
    <col min="14342" max="14342" width="15.5703125" style="50" customWidth="1"/>
    <col min="14343" max="14343" width="15.7109375" style="50" customWidth="1"/>
    <col min="14344" max="14344" width="50.85546875" style="50" customWidth="1"/>
    <col min="14345" max="14345" width="20.42578125" style="50" customWidth="1"/>
    <col min="14346" max="14346" width="16.7109375" style="50" customWidth="1"/>
    <col min="14347" max="14347" width="13" style="50" customWidth="1"/>
    <col min="14348" max="14348" width="14" style="50" customWidth="1"/>
    <col min="14349" max="14349" width="13.7109375" style="50" customWidth="1"/>
    <col min="14350" max="14350" width="13.85546875" style="50" customWidth="1"/>
    <col min="14351" max="14592" width="11.42578125" style="50"/>
    <col min="14593" max="14593" width="80" style="50" customWidth="1"/>
    <col min="14594" max="14594" width="11.7109375" style="50" bestFit="1" customWidth="1"/>
    <col min="14595" max="14595" width="13.85546875" style="50" customWidth="1"/>
    <col min="14596" max="14596" width="15.5703125" style="50" customWidth="1"/>
    <col min="14597" max="14597" width="27.140625" style="50" customWidth="1"/>
    <col min="14598" max="14598" width="15.5703125" style="50" customWidth="1"/>
    <col min="14599" max="14599" width="15.7109375" style="50" customWidth="1"/>
    <col min="14600" max="14600" width="50.85546875" style="50" customWidth="1"/>
    <col min="14601" max="14601" width="20.42578125" style="50" customWidth="1"/>
    <col min="14602" max="14602" width="16.7109375" style="50" customWidth="1"/>
    <col min="14603" max="14603" width="13" style="50" customWidth="1"/>
    <col min="14604" max="14604" width="14" style="50" customWidth="1"/>
    <col min="14605" max="14605" width="13.7109375" style="50" customWidth="1"/>
    <col min="14606" max="14606" width="13.85546875" style="50" customWidth="1"/>
    <col min="14607" max="14848" width="11.42578125" style="50"/>
    <col min="14849" max="14849" width="80" style="50" customWidth="1"/>
    <col min="14850" max="14850" width="11.7109375" style="50" bestFit="1" customWidth="1"/>
    <col min="14851" max="14851" width="13.85546875" style="50" customWidth="1"/>
    <col min="14852" max="14852" width="15.5703125" style="50" customWidth="1"/>
    <col min="14853" max="14853" width="27.140625" style="50" customWidth="1"/>
    <col min="14854" max="14854" width="15.5703125" style="50" customWidth="1"/>
    <col min="14855" max="14855" width="15.7109375" style="50" customWidth="1"/>
    <col min="14856" max="14856" width="50.85546875" style="50" customWidth="1"/>
    <col min="14857" max="14857" width="20.42578125" style="50" customWidth="1"/>
    <col min="14858" max="14858" width="16.7109375" style="50" customWidth="1"/>
    <col min="14859" max="14859" width="13" style="50" customWidth="1"/>
    <col min="14860" max="14860" width="14" style="50" customWidth="1"/>
    <col min="14861" max="14861" width="13.7109375" style="50" customWidth="1"/>
    <col min="14862" max="14862" width="13.85546875" style="50" customWidth="1"/>
    <col min="14863" max="15104" width="11.42578125" style="50"/>
    <col min="15105" max="15105" width="80" style="50" customWidth="1"/>
    <col min="15106" max="15106" width="11.7109375" style="50" bestFit="1" customWidth="1"/>
    <col min="15107" max="15107" width="13.85546875" style="50" customWidth="1"/>
    <col min="15108" max="15108" width="15.5703125" style="50" customWidth="1"/>
    <col min="15109" max="15109" width="27.140625" style="50" customWidth="1"/>
    <col min="15110" max="15110" width="15.5703125" style="50" customWidth="1"/>
    <col min="15111" max="15111" width="15.7109375" style="50" customWidth="1"/>
    <col min="15112" max="15112" width="50.85546875" style="50" customWidth="1"/>
    <col min="15113" max="15113" width="20.42578125" style="50" customWidth="1"/>
    <col min="15114" max="15114" width="16.7109375" style="50" customWidth="1"/>
    <col min="15115" max="15115" width="13" style="50" customWidth="1"/>
    <col min="15116" max="15116" width="14" style="50" customWidth="1"/>
    <col min="15117" max="15117" width="13.7109375" style="50" customWidth="1"/>
    <col min="15118" max="15118" width="13.85546875" style="50" customWidth="1"/>
    <col min="15119" max="15360" width="11.42578125" style="50"/>
    <col min="15361" max="15361" width="80" style="50" customWidth="1"/>
    <col min="15362" max="15362" width="11.7109375" style="50" bestFit="1" customWidth="1"/>
    <col min="15363" max="15363" width="13.85546875" style="50" customWidth="1"/>
    <col min="15364" max="15364" width="15.5703125" style="50" customWidth="1"/>
    <col min="15365" max="15365" width="27.140625" style="50" customWidth="1"/>
    <col min="15366" max="15366" width="15.5703125" style="50" customWidth="1"/>
    <col min="15367" max="15367" width="15.7109375" style="50" customWidth="1"/>
    <col min="15368" max="15368" width="50.85546875" style="50" customWidth="1"/>
    <col min="15369" max="15369" width="20.42578125" style="50" customWidth="1"/>
    <col min="15370" max="15370" width="16.7109375" style="50" customWidth="1"/>
    <col min="15371" max="15371" width="13" style="50" customWidth="1"/>
    <col min="15372" max="15372" width="14" style="50" customWidth="1"/>
    <col min="15373" max="15373" width="13.7109375" style="50" customWidth="1"/>
    <col min="15374" max="15374" width="13.85546875" style="50" customWidth="1"/>
    <col min="15375" max="15616" width="11.42578125" style="50"/>
    <col min="15617" max="15617" width="80" style="50" customWidth="1"/>
    <col min="15618" max="15618" width="11.7109375" style="50" bestFit="1" customWidth="1"/>
    <col min="15619" max="15619" width="13.85546875" style="50" customWidth="1"/>
    <col min="15620" max="15620" width="15.5703125" style="50" customWidth="1"/>
    <col min="15621" max="15621" width="27.140625" style="50" customWidth="1"/>
    <col min="15622" max="15622" width="15.5703125" style="50" customWidth="1"/>
    <col min="15623" max="15623" width="15.7109375" style="50" customWidth="1"/>
    <col min="15624" max="15624" width="50.85546875" style="50" customWidth="1"/>
    <col min="15625" max="15625" width="20.42578125" style="50" customWidth="1"/>
    <col min="15626" max="15626" width="16.7109375" style="50" customWidth="1"/>
    <col min="15627" max="15627" width="13" style="50" customWidth="1"/>
    <col min="15628" max="15628" width="14" style="50" customWidth="1"/>
    <col min="15629" max="15629" width="13.7109375" style="50" customWidth="1"/>
    <col min="15630" max="15630" width="13.85546875" style="50" customWidth="1"/>
    <col min="15631" max="15872" width="11.42578125" style="50"/>
    <col min="15873" max="15873" width="80" style="50" customWidth="1"/>
    <col min="15874" max="15874" width="11.7109375" style="50" bestFit="1" customWidth="1"/>
    <col min="15875" max="15875" width="13.85546875" style="50" customWidth="1"/>
    <col min="15876" max="15876" width="15.5703125" style="50" customWidth="1"/>
    <col min="15877" max="15877" width="27.140625" style="50" customWidth="1"/>
    <col min="15878" max="15878" width="15.5703125" style="50" customWidth="1"/>
    <col min="15879" max="15879" width="15.7109375" style="50" customWidth="1"/>
    <col min="15880" max="15880" width="50.85546875" style="50" customWidth="1"/>
    <col min="15881" max="15881" width="20.42578125" style="50" customWidth="1"/>
    <col min="15882" max="15882" width="16.7109375" style="50" customWidth="1"/>
    <col min="15883" max="15883" width="13" style="50" customWidth="1"/>
    <col min="15884" max="15884" width="14" style="50" customWidth="1"/>
    <col min="15885" max="15885" width="13.7109375" style="50" customWidth="1"/>
    <col min="15886" max="15886" width="13.85546875" style="50" customWidth="1"/>
    <col min="15887" max="16128" width="11.42578125" style="50"/>
    <col min="16129" max="16129" width="80" style="50" customWidth="1"/>
    <col min="16130" max="16130" width="11.7109375" style="50" bestFit="1" customWidth="1"/>
    <col min="16131" max="16131" width="13.85546875" style="50" customWidth="1"/>
    <col min="16132" max="16132" width="15.5703125" style="50" customWidth="1"/>
    <col min="16133" max="16133" width="27.140625" style="50" customWidth="1"/>
    <col min="16134" max="16134" width="15.5703125" style="50" customWidth="1"/>
    <col min="16135" max="16135" width="15.7109375" style="50" customWidth="1"/>
    <col min="16136" max="16136" width="50.85546875" style="50" customWidth="1"/>
    <col min="16137" max="16137" width="20.42578125" style="50" customWidth="1"/>
    <col min="16138" max="16138" width="16.7109375" style="50" customWidth="1"/>
    <col min="16139" max="16139" width="13" style="50" customWidth="1"/>
    <col min="16140" max="16140" width="14" style="50" customWidth="1"/>
    <col min="16141" max="16141" width="13.7109375" style="50" customWidth="1"/>
    <col min="16142" max="16142" width="13.85546875" style="50" customWidth="1"/>
    <col min="16143" max="16384" width="11.42578125" style="50"/>
  </cols>
  <sheetData>
    <row r="1" spans="1:25" ht="15.75" customHeight="1" x14ac:dyDescent="0.2">
      <c r="A1" s="230" t="s">
        <v>445</v>
      </c>
      <c r="B1" s="223"/>
      <c r="C1" s="230"/>
      <c r="D1" s="230"/>
      <c r="E1" s="230"/>
      <c r="F1" s="497"/>
      <c r="G1" s="230"/>
      <c r="H1" s="230"/>
      <c r="I1" s="230"/>
      <c r="J1" s="230"/>
      <c r="K1" s="230"/>
      <c r="L1" s="230"/>
      <c r="M1" s="230"/>
      <c r="N1" s="230"/>
    </row>
    <row r="2" spans="1:25" x14ac:dyDescent="0.2">
      <c r="A2" s="230" t="s">
        <v>11139</v>
      </c>
      <c r="B2" s="223"/>
      <c r="C2" s="230"/>
      <c r="D2" s="230"/>
      <c r="E2" s="230"/>
      <c r="F2" s="497"/>
      <c r="G2" s="230"/>
      <c r="H2" s="230"/>
      <c r="I2" s="230"/>
      <c r="J2" s="230"/>
      <c r="K2" s="230"/>
      <c r="L2" s="230"/>
      <c r="M2" s="230"/>
      <c r="N2" s="230"/>
      <c r="O2" s="230"/>
      <c r="P2" s="230"/>
      <c r="Q2" s="230"/>
      <c r="R2" s="230"/>
      <c r="S2" s="230"/>
      <c r="T2" s="230"/>
      <c r="U2" s="230"/>
      <c r="V2" s="230"/>
      <c r="W2" s="230"/>
      <c r="X2" s="230"/>
      <c r="Y2" s="230"/>
    </row>
    <row r="3" spans="1:25" ht="12.75" thickBot="1" x14ac:dyDescent="0.25">
      <c r="B3" s="498"/>
      <c r="G3" s="2"/>
      <c r="H3" s="2"/>
    </row>
    <row r="4" spans="1:25" ht="13.5" hidden="1" customHeight="1" x14ac:dyDescent="0.2">
      <c r="A4" s="26" t="s">
        <v>88</v>
      </c>
      <c r="B4" s="25"/>
      <c r="C4" s="34"/>
      <c r="D4" s="34"/>
      <c r="E4" s="34"/>
      <c r="F4" s="500"/>
      <c r="G4" s="34"/>
      <c r="H4" s="34"/>
      <c r="I4" s="34"/>
      <c r="J4" s="34"/>
      <c r="K4" s="34"/>
      <c r="L4" s="34"/>
      <c r="M4" s="34"/>
      <c r="N4" s="34"/>
    </row>
    <row r="5" spans="1:25" ht="57" customHeight="1" thickBot="1" x14ac:dyDescent="0.25">
      <c r="A5" s="180" t="s">
        <v>92</v>
      </c>
      <c r="B5" s="106" t="s">
        <v>93</v>
      </c>
      <c r="C5" s="105" t="s">
        <v>94</v>
      </c>
      <c r="D5" s="105" t="s">
        <v>213</v>
      </c>
      <c r="E5" s="105" t="s">
        <v>214</v>
      </c>
      <c r="F5" s="501" t="s">
        <v>250</v>
      </c>
      <c r="G5" s="105" t="s">
        <v>174</v>
      </c>
      <c r="H5" s="105" t="s">
        <v>212</v>
      </c>
      <c r="I5" s="105" t="s">
        <v>176</v>
      </c>
      <c r="J5" s="105" t="s">
        <v>175</v>
      </c>
      <c r="K5" s="105" t="s">
        <v>177</v>
      </c>
      <c r="L5" s="105" t="s">
        <v>178</v>
      </c>
      <c r="M5" s="105" t="s">
        <v>179</v>
      </c>
      <c r="N5" s="105" t="s">
        <v>180</v>
      </c>
    </row>
    <row r="6" spans="1:25" ht="36" x14ac:dyDescent="0.2">
      <c r="A6" s="829" t="s">
        <v>1532</v>
      </c>
      <c r="B6" s="830">
        <v>2195952</v>
      </c>
      <c r="C6" s="830" t="s">
        <v>768</v>
      </c>
      <c r="D6" s="830" t="s">
        <v>1533</v>
      </c>
      <c r="E6" s="830" t="s">
        <v>1534</v>
      </c>
      <c r="F6" s="831">
        <v>82168819.239999995</v>
      </c>
      <c r="G6" s="832">
        <v>44070</v>
      </c>
      <c r="H6" s="833" t="s">
        <v>1535</v>
      </c>
      <c r="I6" s="830" t="s">
        <v>1536</v>
      </c>
      <c r="J6" s="832">
        <v>44715</v>
      </c>
      <c r="K6" s="830">
        <v>1</v>
      </c>
      <c r="L6" s="830">
        <v>44983</v>
      </c>
      <c r="M6" s="830" t="s">
        <v>1537</v>
      </c>
      <c r="N6" s="502" t="s">
        <v>1537</v>
      </c>
    </row>
    <row r="7" spans="1:25" ht="48" x14ac:dyDescent="0.2">
      <c r="A7" s="829" t="s">
        <v>1538</v>
      </c>
      <c r="B7" s="830">
        <v>2196451</v>
      </c>
      <c r="C7" s="830" t="s">
        <v>816</v>
      </c>
      <c r="D7" s="830" t="s">
        <v>1533</v>
      </c>
      <c r="E7" s="830" t="s">
        <v>1539</v>
      </c>
      <c r="F7" s="831">
        <v>223133642.43000001</v>
      </c>
      <c r="G7" s="832">
        <v>44141</v>
      </c>
      <c r="H7" s="833" t="s">
        <v>1540</v>
      </c>
      <c r="I7" s="830" t="s">
        <v>1541</v>
      </c>
      <c r="J7" s="832">
        <v>44681</v>
      </c>
      <c r="K7" s="830">
        <v>2</v>
      </c>
      <c r="L7" s="830">
        <v>45279</v>
      </c>
      <c r="M7" s="830" t="s">
        <v>1537</v>
      </c>
      <c r="N7" s="502" t="s">
        <v>1537</v>
      </c>
    </row>
    <row r="8" spans="1:25" ht="36" x14ac:dyDescent="0.2">
      <c r="A8" s="829" t="s">
        <v>1542</v>
      </c>
      <c r="B8" s="830">
        <v>2129041</v>
      </c>
      <c r="C8" s="830" t="s">
        <v>768</v>
      </c>
      <c r="D8" s="830" t="s">
        <v>1533</v>
      </c>
      <c r="E8" s="830" t="s">
        <v>1543</v>
      </c>
      <c r="F8" s="831">
        <v>5004937.29</v>
      </c>
      <c r="G8" s="832">
        <v>44071</v>
      </c>
      <c r="H8" s="833" t="s">
        <v>1544</v>
      </c>
      <c r="I8" s="830" t="s">
        <v>1545</v>
      </c>
      <c r="J8" s="832">
        <v>44211</v>
      </c>
      <c r="K8" s="830">
        <v>1</v>
      </c>
      <c r="L8" s="830">
        <v>44499</v>
      </c>
      <c r="M8" s="830" t="s">
        <v>1537</v>
      </c>
      <c r="N8" s="502" t="s">
        <v>1537</v>
      </c>
    </row>
    <row r="9" spans="1:25" ht="24" x14ac:dyDescent="0.2">
      <c r="A9" s="829" t="s">
        <v>1546</v>
      </c>
      <c r="B9" s="830">
        <v>2058512</v>
      </c>
      <c r="C9" s="830" t="s">
        <v>768</v>
      </c>
      <c r="D9" s="830" t="s">
        <v>1533</v>
      </c>
      <c r="E9" s="830" t="s">
        <v>1547</v>
      </c>
      <c r="F9" s="831">
        <v>562199.96</v>
      </c>
      <c r="G9" s="832">
        <v>44477</v>
      </c>
      <c r="H9" s="833" t="s">
        <v>1548</v>
      </c>
      <c r="I9" s="830" t="s">
        <v>1549</v>
      </c>
      <c r="J9" s="832">
        <v>44552</v>
      </c>
      <c r="K9" s="830" t="s">
        <v>1550</v>
      </c>
      <c r="L9" s="830">
        <v>44552</v>
      </c>
      <c r="M9" s="830" t="s">
        <v>1537</v>
      </c>
      <c r="N9" s="502" t="s">
        <v>1537</v>
      </c>
    </row>
    <row r="10" spans="1:25" ht="36" x14ac:dyDescent="0.2">
      <c r="A10" s="829" t="s">
        <v>1551</v>
      </c>
      <c r="B10" s="830">
        <v>2449158</v>
      </c>
      <c r="C10" s="830" t="s">
        <v>768</v>
      </c>
      <c r="D10" s="830" t="s">
        <v>1533</v>
      </c>
      <c r="E10" s="830" t="s">
        <v>1552</v>
      </c>
      <c r="F10" s="831">
        <v>357535.31</v>
      </c>
      <c r="G10" s="832">
        <v>44168</v>
      </c>
      <c r="H10" s="833" t="s">
        <v>1553</v>
      </c>
      <c r="I10" s="830" t="s">
        <v>1554</v>
      </c>
      <c r="J10" s="832" t="s">
        <v>1555</v>
      </c>
      <c r="K10" s="830" t="s">
        <v>1550</v>
      </c>
      <c r="L10" s="830" t="s">
        <v>1556</v>
      </c>
      <c r="M10" s="832">
        <v>44379</v>
      </c>
      <c r="N10" s="502" t="s">
        <v>1537</v>
      </c>
    </row>
    <row r="11" spans="1:25" ht="36" x14ac:dyDescent="0.2">
      <c r="A11" s="829" t="s">
        <v>1557</v>
      </c>
      <c r="B11" s="830">
        <v>2449247</v>
      </c>
      <c r="C11" s="830" t="s">
        <v>768</v>
      </c>
      <c r="D11" s="830" t="s">
        <v>1533</v>
      </c>
      <c r="E11" s="830" t="s">
        <v>1558</v>
      </c>
      <c r="F11" s="831">
        <v>471854.8</v>
      </c>
      <c r="G11" s="832">
        <v>44162</v>
      </c>
      <c r="H11" s="833" t="s">
        <v>1559</v>
      </c>
      <c r="I11" s="830" t="s">
        <v>1560</v>
      </c>
      <c r="J11" s="832">
        <v>44222</v>
      </c>
      <c r="K11" s="830" t="s">
        <v>1550</v>
      </c>
      <c r="L11" s="830" t="s">
        <v>1556</v>
      </c>
      <c r="M11" s="832">
        <v>44341</v>
      </c>
      <c r="N11" s="502" t="s">
        <v>1537</v>
      </c>
    </row>
    <row r="12" spans="1:25" ht="36" x14ac:dyDescent="0.2">
      <c r="A12" s="829" t="s">
        <v>1561</v>
      </c>
      <c r="B12" s="830">
        <v>2449345</v>
      </c>
      <c r="C12" s="830" t="s">
        <v>768</v>
      </c>
      <c r="D12" s="830" t="s">
        <v>1533</v>
      </c>
      <c r="E12" s="830" t="s">
        <v>1562</v>
      </c>
      <c r="F12" s="831">
        <v>270197.19</v>
      </c>
      <c r="G12" s="832">
        <v>44168</v>
      </c>
      <c r="H12" s="833" t="s">
        <v>1563</v>
      </c>
      <c r="I12" s="830" t="s">
        <v>1554</v>
      </c>
      <c r="J12" s="832">
        <v>44231</v>
      </c>
      <c r="K12" s="830" t="s">
        <v>1550</v>
      </c>
      <c r="L12" s="830" t="s">
        <v>1556</v>
      </c>
      <c r="M12" s="832">
        <v>44343</v>
      </c>
      <c r="N12" s="502" t="s">
        <v>1537</v>
      </c>
    </row>
    <row r="13" spans="1:25" ht="36" x14ac:dyDescent="0.2">
      <c r="A13" s="829" t="s">
        <v>1564</v>
      </c>
      <c r="B13" s="830">
        <v>2449260</v>
      </c>
      <c r="C13" s="830" t="s">
        <v>768</v>
      </c>
      <c r="D13" s="830" t="s">
        <v>1533</v>
      </c>
      <c r="E13" s="830" t="s">
        <v>1565</v>
      </c>
      <c r="F13" s="831">
        <v>932472.16</v>
      </c>
      <c r="G13" s="832">
        <v>44158</v>
      </c>
      <c r="H13" s="833" t="s">
        <v>1566</v>
      </c>
      <c r="I13" s="830" t="s">
        <v>1567</v>
      </c>
      <c r="J13" s="832">
        <v>44278</v>
      </c>
      <c r="K13" s="830">
        <v>3</v>
      </c>
      <c r="L13" s="830">
        <v>44481</v>
      </c>
      <c r="M13" s="830" t="s">
        <v>1537</v>
      </c>
      <c r="N13" s="502" t="s">
        <v>1537</v>
      </c>
    </row>
    <row r="14" spans="1:25" ht="30" customHeight="1" x14ac:dyDescent="0.2">
      <c r="A14" s="829" t="s">
        <v>1568</v>
      </c>
      <c r="B14" s="830">
        <v>2249722</v>
      </c>
      <c r="C14" s="830" t="s">
        <v>768</v>
      </c>
      <c r="D14" s="830" t="s">
        <v>1533</v>
      </c>
      <c r="E14" s="830" t="s">
        <v>1569</v>
      </c>
      <c r="F14" s="831">
        <v>241494.14</v>
      </c>
      <c r="G14" s="832">
        <v>44273</v>
      </c>
      <c r="H14" s="833" t="s">
        <v>1570</v>
      </c>
      <c r="I14" s="830" t="s">
        <v>1560</v>
      </c>
      <c r="J14" s="832">
        <v>44333</v>
      </c>
      <c r="K14" s="830" t="s">
        <v>1550</v>
      </c>
      <c r="L14" s="830" t="s">
        <v>1556</v>
      </c>
      <c r="M14" s="832">
        <v>44440</v>
      </c>
      <c r="N14" s="502" t="s">
        <v>1537</v>
      </c>
    </row>
    <row r="15" spans="1:25" ht="36" x14ac:dyDescent="0.2">
      <c r="A15" s="829" t="s">
        <v>1571</v>
      </c>
      <c r="B15" s="830">
        <v>2308875</v>
      </c>
      <c r="C15" s="830" t="s">
        <v>816</v>
      </c>
      <c r="D15" s="830" t="s">
        <v>1533</v>
      </c>
      <c r="E15" s="830" t="s">
        <v>1572</v>
      </c>
      <c r="F15" s="831">
        <v>1606886.41</v>
      </c>
      <c r="G15" s="832">
        <v>44155</v>
      </c>
      <c r="H15" s="833" t="s">
        <v>1573</v>
      </c>
      <c r="I15" s="830" t="s">
        <v>1574</v>
      </c>
      <c r="J15" s="832">
        <v>44334</v>
      </c>
      <c r="K15" s="830">
        <v>1</v>
      </c>
      <c r="L15" s="830">
        <v>44530</v>
      </c>
      <c r="M15" s="830" t="s">
        <v>1537</v>
      </c>
      <c r="N15" s="502" t="s">
        <v>1537</v>
      </c>
    </row>
    <row r="16" spans="1:25" ht="36" x14ac:dyDescent="0.2">
      <c r="A16" s="829" t="s">
        <v>1575</v>
      </c>
      <c r="B16" s="830">
        <v>2491149</v>
      </c>
      <c r="C16" s="830" t="s">
        <v>768</v>
      </c>
      <c r="D16" s="830" t="s">
        <v>1533</v>
      </c>
      <c r="E16" s="830" t="s">
        <v>1576</v>
      </c>
      <c r="F16" s="831">
        <v>187575.89</v>
      </c>
      <c r="G16" s="832">
        <v>44158</v>
      </c>
      <c r="H16" s="833" t="s">
        <v>1577</v>
      </c>
      <c r="I16" s="830" t="s">
        <v>1578</v>
      </c>
      <c r="J16" s="832">
        <v>44203</v>
      </c>
      <c r="K16" s="830" t="s">
        <v>1550</v>
      </c>
      <c r="L16" s="830" t="s">
        <v>1556</v>
      </c>
      <c r="M16" s="832">
        <v>44263</v>
      </c>
      <c r="N16" s="502" t="s">
        <v>1537</v>
      </c>
    </row>
    <row r="17" spans="1:14" ht="36" x14ac:dyDescent="0.2">
      <c r="A17" s="829" t="s">
        <v>1579</v>
      </c>
      <c r="B17" s="830">
        <v>2501281</v>
      </c>
      <c r="C17" s="830" t="s">
        <v>768</v>
      </c>
      <c r="D17" s="830" t="s">
        <v>1533</v>
      </c>
      <c r="E17" s="830" t="s">
        <v>1580</v>
      </c>
      <c r="F17" s="831">
        <v>707991.02</v>
      </c>
      <c r="G17" s="832">
        <v>44214</v>
      </c>
      <c r="H17" s="833" t="s">
        <v>1581</v>
      </c>
      <c r="I17" s="830" t="s">
        <v>1578</v>
      </c>
      <c r="J17" s="832">
        <v>44274</v>
      </c>
      <c r="K17" s="830" t="s">
        <v>1550</v>
      </c>
      <c r="L17" s="830" t="s">
        <v>1556</v>
      </c>
      <c r="M17" s="832">
        <v>44356</v>
      </c>
      <c r="N17" s="502" t="s">
        <v>1537</v>
      </c>
    </row>
    <row r="18" spans="1:14" ht="48" x14ac:dyDescent="0.2">
      <c r="A18" s="829" t="s">
        <v>1582</v>
      </c>
      <c r="B18" s="830">
        <v>2499848</v>
      </c>
      <c r="C18" s="830" t="s">
        <v>768</v>
      </c>
      <c r="D18" s="830" t="s">
        <v>1533</v>
      </c>
      <c r="E18" s="830" t="s">
        <v>1583</v>
      </c>
      <c r="F18" s="831">
        <v>207657.55</v>
      </c>
      <c r="G18" s="832">
        <v>44194</v>
      </c>
      <c r="H18" s="833" t="s">
        <v>1584</v>
      </c>
      <c r="I18" s="830" t="s">
        <v>1560</v>
      </c>
      <c r="J18" s="832">
        <v>44274</v>
      </c>
      <c r="K18" s="830" t="s">
        <v>1550</v>
      </c>
      <c r="L18" s="830" t="s">
        <v>1556</v>
      </c>
      <c r="M18" s="832">
        <v>44351</v>
      </c>
      <c r="N18" s="502" t="s">
        <v>1537</v>
      </c>
    </row>
    <row r="19" spans="1:14" ht="36" x14ac:dyDescent="0.2">
      <c r="A19" s="829" t="s">
        <v>1585</v>
      </c>
      <c r="B19" s="830">
        <v>2283425</v>
      </c>
      <c r="C19" s="830" t="s">
        <v>768</v>
      </c>
      <c r="D19" s="830" t="s">
        <v>1533</v>
      </c>
      <c r="E19" s="830" t="s">
        <v>1586</v>
      </c>
      <c r="F19" s="831">
        <v>2779000</v>
      </c>
      <c r="G19" s="832">
        <v>44456</v>
      </c>
      <c r="H19" s="833" t="s">
        <v>1587</v>
      </c>
      <c r="I19" s="830" t="s">
        <v>1545</v>
      </c>
      <c r="J19" s="832">
        <v>44618</v>
      </c>
      <c r="K19" s="830" t="s">
        <v>1550</v>
      </c>
      <c r="L19" s="830" t="s">
        <v>1556</v>
      </c>
      <c r="M19" s="830" t="s">
        <v>1537</v>
      </c>
      <c r="N19" s="502" t="s">
        <v>1537</v>
      </c>
    </row>
    <row r="20" spans="1:14" ht="36" x14ac:dyDescent="0.2">
      <c r="A20" s="829" t="s">
        <v>1588</v>
      </c>
      <c r="B20" s="830">
        <v>2305604</v>
      </c>
      <c r="C20" s="830" t="s">
        <v>816</v>
      </c>
      <c r="D20" s="830" t="s">
        <v>1533</v>
      </c>
      <c r="E20" s="830" t="s">
        <v>1589</v>
      </c>
      <c r="F20" s="831">
        <v>13730000</v>
      </c>
      <c r="G20" s="832">
        <v>44386</v>
      </c>
      <c r="H20" s="833" t="s">
        <v>1590</v>
      </c>
      <c r="I20" s="830" t="s">
        <v>1567</v>
      </c>
      <c r="J20" s="832">
        <v>44767</v>
      </c>
      <c r="K20" s="830" t="s">
        <v>1550</v>
      </c>
      <c r="L20" s="830" t="s">
        <v>1556</v>
      </c>
      <c r="M20" s="830" t="s">
        <v>1537</v>
      </c>
      <c r="N20" s="502" t="s">
        <v>1537</v>
      </c>
    </row>
    <row r="21" spans="1:14" ht="30" customHeight="1" x14ac:dyDescent="0.2">
      <c r="A21" s="829" t="s">
        <v>1591</v>
      </c>
      <c r="B21" s="834">
        <v>98758</v>
      </c>
      <c r="C21" s="830" t="s">
        <v>768</v>
      </c>
      <c r="D21" s="834" t="s">
        <v>1533</v>
      </c>
      <c r="E21" s="834" t="s">
        <v>1592</v>
      </c>
      <c r="F21" s="835">
        <v>828604.61</v>
      </c>
      <c r="G21" s="836">
        <v>44008</v>
      </c>
      <c r="H21" s="837" t="s">
        <v>1593</v>
      </c>
      <c r="I21" s="13" t="s">
        <v>1560</v>
      </c>
      <c r="J21" s="838">
        <v>44068</v>
      </c>
      <c r="K21" s="834" t="s">
        <v>1550</v>
      </c>
      <c r="L21" s="830" t="s">
        <v>1556</v>
      </c>
      <c r="M21" s="9" t="s">
        <v>1537</v>
      </c>
      <c r="N21" s="503" t="s">
        <v>1537</v>
      </c>
    </row>
    <row r="22" spans="1:14" ht="27.75" customHeight="1" x14ac:dyDescent="0.2">
      <c r="A22" s="829" t="s">
        <v>1594</v>
      </c>
      <c r="B22" s="834">
        <v>2314788</v>
      </c>
      <c r="C22" s="830" t="s">
        <v>816</v>
      </c>
      <c r="D22" s="834" t="s">
        <v>1533</v>
      </c>
      <c r="E22" s="834" t="s">
        <v>1595</v>
      </c>
      <c r="F22" s="835">
        <v>4895014.55</v>
      </c>
      <c r="G22" s="836">
        <v>44182</v>
      </c>
      <c r="H22" s="837" t="s">
        <v>1596</v>
      </c>
      <c r="I22" s="13" t="s">
        <v>1597</v>
      </c>
      <c r="J22" s="838">
        <v>44484</v>
      </c>
      <c r="K22" s="834" t="s">
        <v>1550</v>
      </c>
      <c r="L22" s="830" t="s">
        <v>1556</v>
      </c>
      <c r="M22" s="9" t="s">
        <v>1537</v>
      </c>
      <c r="N22" s="503" t="s">
        <v>1537</v>
      </c>
    </row>
    <row r="23" spans="1:14" ht="28.5" customHeight="1" x14ac:dyDescent="0.2">
      <c r="A23" s="829" t="s">
        <v>1598</v>
      </c>
      <c r="B23" s="834">
        <v>2360180</v>
      </c>
      <c r="C23" s="830" t="s">
        <v>816</v>
      </c>
      <c r="D23" s="834" t="s">
        <v>1533</v>
      </c>
      <c r="E23" s="834" t="s">
        <v>1599</v>
      </c>
      <c r="F23" s="835">
        <v>3879441.26</v>
      </c>
      <c r="G23" s="836">
        <v>44106</v>
      </c>
      <c r="H23" s="837" t="s">
        <v>1600</v>
      </c>
      <c r="I23" s="13" t="s">
        <v>1574</v>
      </c>
      <c r="J23" s="838">
        <v>44287</v>
      </c>
      <c r="K23" s="834" t="s">
        <v>1550</v>
      </c>
      <c r="L23" s="830" t="s">
        <v>1556</v>
      </c>
      <c r="M23" s="9" t="s">
        <v>1537</v>
      </c>
      <c r="N23" s="503" t="s">
        <v>1537</v>
      </c>
    </row>
    <row r="24" spans="1:14" ht="36" x14ac:dyDescent="0.2">
      <c r="A24" s="829" t="s">
        <v>1601</v>
      </c>
      <c r="B24" s="834">
        <v>2328278</v>
      </c>
      <c r="C24" s="830" t="s">
        <v>816</v>
      </c>
      <c r="D24" s="834" t="s">
        <v>1533</v>
      </c>
      <c r="E24" s="834" t="s">
        <v>1602</v>
      </c>
      <c r="F24" s="835" t="s">
        <v>1603</v>
      </c>
      <c r="G24" s="836">
        <v>44116</v>
      </c>
      <c r="H24" s="837" t="s">
        <v>1604</v>
      </c>
      <c r="I24" s="13" t="s">
        <v>1545</v>
      </c>
      <c r="J24" s="838">
        <v>44265</v>
      </c>
      <c r="K24" s="834" t="s">
        <v>1605</v>
      </c>
      <c r="L24" s="830" t="s">
        <v>1556</v>
      </c>
      <c r="M24" s="9" t="s">
        <v>1537</v>
      </c>
      <c r="N24" s="503" t="s">
        <v>1537</v>
      </c>
    </row>
    <row r="25" spans="1:14" ht="29.25" customHeight="1" x14ac:dyDescent="0.2">
      <c r="A25" s="829" t="s">
        <v>1606</v>
      </c>
      <c r="B25" s="834">
        <v>2400132</v>
      </c>
      <c r="C25" s="830" t="s">
        <v>816</v>
      </c>
      <c r="D25" s="834" t="s">
        <v>1533</v>
      </c>
      <c r="E25" s="834" t="s">
        <v>1607</v>
      </c>
      <c r="F25" s="835">
        <v>1631421.31</v>
      </c>
      <c r="G25" s="836">
        <v>44153</v>
      </c>
      <c r="H25" s="837" t="s">
        <v>1608</v>
      </c>
      <c r="I25" s="13" t="s">
        <v>1567</v>
      </c>
      <c r="J25" s="838">
        <v>44332</v>
      </c>
      <c r="K25" s="834" t="s">
        <v>1605</v>
      </c>
      <c r="L25" s="830" t="s">
        <v>1556</v>
      </c>
      <c r="M25" s="9" t="s">
        <v>1537</v>
      </c>
      <c r="N25" s="503" t="s">
        <v>1537</v>
      </c>
    </row>
    <row r="26" spans="1:14" ht="36" x14ac:dyDescent="0.2">
      <c r="A26" s="829" t="s">
        <v>1609</v>
      </c>
      <c r="B26" s="834">
        <v>2501550</v>
      </c>
      <c r="C26" s="830" t="s">
        <v>768</v>
      </c>
      <c r="D26" s="834" t="s">
        <v>1533</v>
      </c>
      <c r="E26" s="834" t="s">
        <v>1610</v>
      </c>
      <c r="F26" s="835">
        <v>107630</v>
      </c>
      <c r="G26" s="839" t="s">
        <v>1611</v>
      </c>
      <c r="H26" s="13" t="s">
        <v>1612</v>
      </c>
      <c r="I26" s="13" t="s">
        <v>1554</v>
      </c>
      <c r="J26" s="838">
        <v>44216</v>
      </c>
      <c r="K26" s="834" t="s">
        <v>1550</v>
      </c>
      <c r="L26" s="830" t="s">
        <v>1556</v>
      </c>
      <c r="M26" s="9" t="s">
        <v>1537</v>
      </c>
      <c r="N26" s="503" t="s">
        <v>1537</v>
      </c>
    </row>
    <row r="27" spans="1:14" ht="48" x14ac:dyDescent="0.2">
      <c r="A27" s="829" t="s">
        <v>1613</v>
      </c>
      <c r="B27" s="834">
        <v>2480362</v>
      </c>
      <c r="C27" s="830" t="s">
        <v>768</v>
      </c>
      <c r="D27" s="834" t="s">
        <v>1533</v>
      </c>
      <c r="E27" s="834" t="s">
        <v>1614</v>
      </c>
      <c r="F27" s="835">
        <v>133241</v>
      </c>
      <c r="G27" s="838">
        <v>44186</v>
      </c>
      <c r="H27" s="13" t="s">
        <v>1615</v>
      </c>
      <c r="I27" s="13" t="s">
        <v>1616</v>
      </c>
      <c r="J27" s="838">
        <v>44216</v>
      </c>
      <c r="K27" s="834" t="s">
        <v>1550</v>
      </c>
      <c r="L27" s="830" t="s">
        <v>1556</v>
      </c>
      <c r="M27" s="9" t="s">
        <v>1537</v>
      </c>
      <c r="N27" s="503" t="s">
        <v>1537</v>
      </c>
    </row>
    <row r="28" spans="1:14" ht="36" x14ac:dyDescent="0.2">
      <c r="A28" s="829" t="s">
        <v>1617</v>
      </c>
      <c r="B28" s="834">
        <v>2334910</v>
      </c>
      <c r="C28" s="830" t="s">
        <v>1618</v>
      </c>
      <c r="D28" s="834" t="s">
        <v>1533</v>
      </c>
      <c r="E28" s="834" t="s">
        <v>1619</v>
      </c>
      <c r="F28" s="835">
        <v>3779236.14</v>
      </c>
      <c r="G28" s="838">
        <v>44215</v>
      </c>
      <c r="H28" s="13" t="s">
        <v>1620</v>
      </c>
      <c r="I28" s="13" t="s">
        <v>1574</v>
      </c>
      <c r="J28" s="838">
        <v>44367</v>
      </c>
      <c r="K28" s="834" t="s">
        <v>1550</v>
      </c>
      <c r="L28" s="830" t="s">
        <v>1556</v>
      </c>
      <c r="M28" s="9" t="s">
        <v>1537</v>
      </c>
      <c r="N28" s="503" t="s">
        <v>1537</v>
      </c>
    </row>
    <row r="29" spans="1:14" ht="36" x14ac:dyDescent="0.2">
      <c r="A29" s="829" t="s">
        <v>1621</v>
      </c>
      <c r="B29" s="834">
        <v>2134935</v>
      </c>
      <c r="C29" s="830" t="s">
        <v>1618</v>
      </c>
      <c r="D29" s="834" t="s">
        <v>1533</v>
      </c>
      <c r="E29" s="834" t="s">
        <v>1622</v>
      </c>
      <c r="F29" s="835">
        <v>1237974.67</v>
      </c>
      <c r="G29" s="838">
        <v>44217</v>
      </c>
      <c r="H29" s="13" t="s">
        <v>1623</v>
      </c>
      <c r="I29" s="13" t="s">
        <v>1624</v>
      </c>
      <c r="J29" s="838">
        <v>44316</v>
      </c>
      <c r="K29" s="834" t="s">
        <v>1550</v>
      </c>
      <c r="L29" s="830" t="s">
        <v>1556</v>
      </c>
      <c r="M29" s="9" t="s">
        <v>1537</v>
      </c>
      <c r="N29" s="503" t="s">
        <v>1537</v>
      </c>
    </row>
    <row r="30" spans="1:14" ht="48" x14ac:dyDescent="0.2">
      <c r="A30" s="829" t="s">
        <v>1625</v>
      </c>
      <c r="B30" s="834">
        <v>155538</v>
      </c>
      <c r="C30" s="830" t="s">
        <v>816</v>
      </c>
      <c r="D30" s="834" t="s">
        <v>1533</v>
      </c>
      <c r="E30" s="834" t="s">
        <v>1626</v>
      </c>
      <c r="F30" s="835" t="s">
        <v>1627</v>
      </c>
      <c r="G30" s="838">
        <v>44295</v>
      </c>
      <c r="H30" s="13" t="s">
        <v>1628</v>
      </c>
      <c r="I30" s="13" t="s">
        <v>1629</v>
      </c>
      <c r="J30" s="838">
        <v>44553</v>
      </c>
      <c r="K30" s="834" t="s">
        <v>1550</v>
      </c>
      <c r="L30" s="830" t="s">
        <v>1556</v>
      </c>
      <c r="M30" s="9" t="s">
        <v>1537</v>
      </c>
      <c r="N30" s="503" t="s">
        <v>1537</v>
      </c>
    </row>
    <row r="31" spans="1:14" ht="24.75" customHeight="1" x14ac:dyDescent="0.2">
      <c r="A31" s="829" t="s">
        <v>1630</v>
      </c>
      <c r="B31" s="834">
        <v>60650</v>
      </c>
      <c r="C31" s="830" t="s">
        <v>816</v>
      </c>
      <c r="D31" s="834" t="s">
        <v>1533</v>
      </c>
      <c r="E31" s="834" t="s">
        <v>1631</v>
      </c>
      <c r="F31" s="835" t="s">
        <v>1632</v>
      </c>
      <c r="G31" s="838">
        <v>44356</v>
      </c>
      <c r="H31" s="13" t="s">
        <v>1633</v>
      </c>
      <c r="I31" s="13" t="s">
        <v>1634</v>
      </c>
      <c r="J31" s="838">
        <v>44530</v>
      </c>
      <c r="K31" s="834" t="s">
        <v>1550</v>
      </c>
      <c r="L31" s="830" t="s">
        <v>1556</v>
      </c>
      <c r="M31" s="9" t="s">
        <v>1537</v>
      </c>
      <c r="N31" s="503" t="s">
        <v>1537</v>
      </c>
    </row>
    <row r="32" spans="1:14" ht="26.25" customHeight="1" x14ac:dyDescent="0.2">
      <c r="A32" s="829" t="s">
        <v>1635</v>
      </c>
      <c r="B32" s="834">
        <v>376773</v>
      </c>
      <c r="C32" s="830" t="s">
        <v>816</v>
      </c>
      <c r="D32" s="834" t="s">
        <v>1533</v>
      </c>
      <c r="E32" s="834" t="s">
        <v>1636</v>
      </c>
      <c r="F32" s="835" t="s">
        <v>1637</v>
      </c>
      <c r="G32" s="838">
        <v>44293</v>
      </c>
      <c r="H32" s="13" t="s">
        <v>1638</v>
      </c>
      <c r="I32" s="13" t="s">
        <v>1639</v>
      </c>
      <c r="J32" s="838">
        <v>44462</v>
      </c>
      <c r="K32" s="834" t="s">
        <v>1550</v>
      </c>
      <c r="L32" s="830" t="s">
        <v>1556</v>
      </c>
      <c r="M32" s="9" t="s">
        <v>1537</v>
      </c>
      <c r="N32" s="503" t="s">
        <v>1537</v>
      </c>
    </row>
    <row r="33" spans="1:14" ht="30.75" customHeight="1" thickBot="1" x14ac:dyDescent="0.25">
      <c r="A33" s="858" t="s">
        <v>1640</v>
      </c>
      <c r="B33" s="859">
        <v>346420</v>
      </c>
      <c r="C33" s="860" t="s">
        <v>768</v>
      </c>
      <c r="D33" s="859" t="s">
        <v>1533</v>
      </c>
      <c r="E33" s="859" t="s">
        <v>1641</v>
      </c>
      <c r="F33" s="861" t="s">
        <v>1642</v>
      </c>
      <c r="G33" s="862">
        <v>44264</v>
      </c>
      <c r="H33" s="863" t="s">
        <v>1643</v>
      </c>
      <c r="I33" s="863" t="s">
        <v>1644</v>
      </c>
      <c r="J33" s="864" t="s">
        <v>1645</v>
      </c>
      <c r="K33" s="859" t="s">
        <v>1550</v>
      </c>
      <c r="L33" s="860" t="s">
        <v>1556</v>
      </c>
      <c r="M33" s="865" t="s">
        <v>1646</v>
      </c>
      <c r="N33" s="866" t="s">
        <v>1646</v>
      </c>
    </row>
    <row r="34" spans="1:14" ht="36" x14ac:dyDescent="0.2">
      <c r="A34" s="829" t="s">
        <v>1647</v>
      </c>
      <c r="B34" s="834">
        <v>378003</v>
      </c>
      <c r="C34" s="830" t="s">
        <v>816</v>
      </c>
      <c r="D34" s="834" t="s">
        <v>1533</v>
      </c>
      <c r="E34" s="834" t="s">
        <v>1648</v>
      </c>
      <c r="F34" s="835">
        <v>13270000</v>
      </c>
      <c r="G34" s="838" t="s">
        <v>1649</v>
      </c>
      <c r="H34" s="13" t="s">
        <v>1650</v>
      </c>
      <c r="I34" s="13" t="s">
        <v>1651</v>
      </c>
      <c r="J34" s="838">
        <v>44116</v>
      </c>
      <c r="K34" s="840" t="s">
        <v>1652</v>
      </c>
      <c r="L34" s="841">
        <v>44315</v>
      </c>
      <c r="M34" s="649" t="s">
        <v>1653</v>
      </c>
      <c r="N34" s="504" t="s">
        <v>1653</v>
      </c>
    </row>
    <row r="35" spans="1:14" ht="36" x14ac:dyDescent="0.2">
      <c r="A35" s="829" t="s">
        <v>1654</v>
      </c>
      <c r="B35" s="834">
        <v>339516</v>
      </c>
      <c r="C35" s="830" t="s">
        <v>1655</v>
      </c>
      <c r="D35" s="834" t="s">
        <v>1533</v>
      </c>
      <c r="E35" s="834" t="s">
        <v>1656</v>
      </c>
      <c r="F35" s="835">
        <v>7092297.0899999999</v>
      </c>
      <c r="G35" s="838" t="s">
        <v>1657</v>
      </c>
      <c r="H35" s="13" t="s">
        <v>1658</v>
      </c>
      <c r="I35" s="13" t="s">
        <v>1597</v>
      </c>
      <c r="J35" s="838">
        <v>44455</v>
      </c>
      <c r="K35" s="830" t="s">
        <v>1560</v>
      </c>
      <c r="L35" s="841">
        <v>44545</v>
      </c>
      <c r="M35" s="649" t="s">
        <v>1646</v>
      </c>
      <c r="N35" s="504" t="s">
        <v>1646</v>
      </c>
    </row>
    <row r="36" spans="1:14" ht="29.25" customHeight="1" x14ac:dyDescent="0.2">
      <c r="A36" s="829" t="s">
        <v>1659</v>
      </c>
      <c r="B36" s="834">
        <v>221494</v>
      </c>
      <c r="C36" s="830" t="s">
        <v>1655</v>
      </c>
      <c r="D36" s="834" t="s">
        <v>1533</v>
      </c>
      <c r="E36" s="834" t="s">
        <v>1660</v>
      </c>
      <c r="F36" s="835">
        <v>2086091.47</v>
      </c>
      <c r="G36" s="838">
        <v>44092</v>
      </c>
      <c r="H36" s="13" t="s">
        <v>1661</v>
      </c>
      <c r="I36" s="13" t="s">
        <v>1662</v>
      </c>
      <c r="J36" s="838">
        <v>44252</v>
      </c>
      <c r="K36" s="834" t="s">
        <v>1550</v>
      </c>
      <c r="L36" s="830" t="s">
        <v>1556</v>
      </c>
      <c r="M36" s="649" t="s">
        <v>1653</v>
      </c>
      <c r="N36" s="504" t="s">
        <v>1653</v>
      </c>
    </row>
    <row r="37" spans="1:14" ht="27" customHeight="1" x14ac:dyDescent="0.2">
      <c r="A37" s="829" t="s">
        <v>1663</v>
      </c>
      <c r="B37" s="834">
        <v>161895</v>
      </c>
      <c r="C37" s="830" t="s">
        <v>816</v>
      </c>
      <c r="D37" s="834" t="s">
        <v>1533</v>
      </c>
      <c r="E37" s="830" t="s">
        <v>1664</v>
      </c>
      <c r="F37" s="835">
        <v>28777000</v>
      </c>
      <c r="G37" s="838">
        <v>44089</v>
      </c>
      <c r="H37" s="13" t="s">
        <v>1665</v>
      </c>
      <c r="I37" s="13" t="s">
        <v>1651</v>
      </c>
      <c r="J37" s="838">
        <v>44329</v>
      </c>
      <c r="K37" s="830" t="s">
        <v>1666</v>
      </c>
      <c r="L37" s="832">
        <v>44479</v>
      </c>
      <c r="M37" s="9" t="s">
        <v>1537</v>
      </c>
      <c r="N37" s="503" t="s">
        <v>1537</v>
      </c>
    </row>
    <row r="38" spans="1:14" ht="28.5" customHeight="1" x14ac:dyDescent="0.2">
      <c r="A38" s="829" t="s">
        <v>1667</v>
      </c>
      <c r="B38" s="834">
        <v>161895</v>
      </c>
      <c r="C38" s="830" t="s">
        <v>862</v>
      </c>
      <c r="D38" s="834" t="s">
        <v>1533</v>
      </c>
      <c r="E38" s="830" t="s">
        <v>1668</v>
      </c>
      <c r="F38" s="835">
        <v>1773557.27</v>
      </c>
      <c r="G38" s="838">
        <v>44159</v>
      </c>
      <c r="H38" s="13" t="s">
        <v>1669</v>
      </c>
      <c r="I38" s="13" t="s">
        <v>1651</v>
      </c>
      <c r="J38" s="838">
        <v>44399</v>
      </c>
      <c r="K38" s="830" t="s">
        <v>1670</v>
      </c>
      <c r="L38" s="832">
        <v>44480</v>
      </c>
      <c r="M38" s="9" t="s">
        <v>1537</v>
      </c>
      <c r="N38" s="503" t="s">
        <v>1537</v>
      </c>
    </row>
    <row r="39" spans="1:14" ht="26.25" customHeight="1" x14ac:dyDescent="0.2">
      <c r="A39" s="829" t="s">
        <v>1671</v>
      </c>
      <c r="B39" s="834">
        <v>161767</v>
      </c>
      <c r="C39" s="830" t="s">
        <v>816</v>
      </c>
      <c r="D39" s="834" t="s">
        <v>1533</v>
      </c>
      <c r="E39" s="830" t="s">
        <v>1672</v>
      </c>
      <c r="F39" s="835">
        <v>16891156.23</v>
      </c>
      <c r="G39" s="839" t="s">
        <v>1673</v>
      </c>
      <c r="H39" s="13" t="s">
        <v>1674</v>
      </c>
      <c r="I39" s="13" t="s">
        <v>1675</v>
      </c>
      <c r="J39" s="839" t="s">
        <v>1676</v>
      </c>
      <c r="K39" s="830" t="s">
        <v>1677</v>
      </c>
      <c r="L39" s="832">
        <v>44456</v>
      </c>
      <c r="M39" s="9" t="s">
        <v>1537</v>
      </c>
      <c r="N39" s="503" t="s">
        <v>1537</v>
      </c>
    </row>
    <row r="40" spans="1:14" ht="30" customHeight="1" x14ac:dyDescent="0.2">
      <c r="A40" s="829" t="s">
        <v>1678</v>
      </c>
      <c r="B40" s="834">
        <v>161767</v>
      </c>
      <c r="C40" s="830" t="s">
        <v>862</v>
      </c>
      <c r="D40" s="834" t="s">
        <v>1533</v>
      </c>
      <c r="E40" s="830" t="s">
        <v>1679</v>
      </c>
      <c r="F40" s="835">
        <v>1226922.45</v>
      </c>
      <c r="G40" s="839" t="s">
        <v>1680</v>
      </c>
      <c r="H40" s="842" t="s">
        <v>1681</v>
      </c>
      <c r="I40" s="13" t="s">
        <v>1675</v>
      </c>
      <c r="J40" s="838">
        <v>44315</v>
      </c>
      <c r="K40" s="830" t="s">
        <v>1624</v>
      </c>
      <c r="L40" s="832">
        <v>44486</v>
      </c>
      <c r="M40" s="9" t="s">
        <v>1537</v>
      </c>
      <c r="N40" s="503" t="s">
        <v>1537</v>
      </c>
    </row>
    <row r="41" spans="1:14" ht="36" x14ac:dyDescent="0.2">
      <c r="A41" s="829" t="s">
        <v>1682</v>
      </c>
      <c r="B41" s="834">
        <v>185172</v>
      </c>
      <c r="C41" s="830" t="s">
        <v>1655</v>
      </c>
      <c r="D41" s="834" t="s">
        <v>1533</v>
      </c>
      <c r="E41" s="830" t="s">
        <v>1683</v>
      </c>
      <c r="F41" s="835">
        <v>4030853.07</v>
      </c>
      <c r="G41" s="838">
        <v>44349</v>
      </c>
      <c r="H41" s="13" t="s">
        <v>1684</v>
      </c>
      <c r="I41" s="13" t="s">
        <v>1685</v>
      </c>
      <c r="J41" s="838">
        <v>44454</v>
      </c>
      <c r="K41" s="830" t="s">
        <v>1686</v>
      </c>
      <c r="L41" s="832">
        <v>44479</v>
      </c>
      <c r="M41" s="9" t="s">
        <v>1537</v>
      </c>
      <c r="N41" s="503" t="s">
        <v>1537</v>
      </c>
    </row>
    <row r="42" spans="1:14" ht="36" x14ac:dyDescent="0.2">
      <c r="A42" s="829" t="s">
        <v>1687</v>
      </c>
      <c r="B42" s="834">
        <v>185172</v>
      </c>
      <c r="C42" s="830" t="s">
        <v>862</v>
      </c>
      <c r="D42" s="834" t="s">
        <v>1533</v>
      </c>
      <c r="E42" s="830" t="s">
        <v>1688</v>
      </c>
      <c r="F42" s="835">
        <v>445483.18</v>
      </c>
      <c r="G42" s="838">
        <v>44349</v>
      </c>
      <c r="H42" s="842" t="s">
        <v>1689</v>
      </c>
      <c r="I42" s="13" t="s">
        <v>1685</v>
      </c>
      <c r="J42" s="838">
        <v>44454</v>
      </c>
      <c r="K42" s="830" t="s">
        <v>1686</v>
      </c>
      <c r="L42" s="832">
        <v>44479</v>
      </c>
      <c r="M42" s="9" t="s">
        <v>1537</v>
      </c>
      <c r="N42" s="503" t="s">
        <v>1537</v>
      </c>
    </row>
    <row r="43" spans="1:14" ht="36" x14ac:dyDescent="0.2">
      <c r="A43" s="829" t="s">
        <v>1690</v>
      </c>
      <c r="B43" s="834">
        <v>163340</v>
      </c>
      <c r="C43" s="830" t="s">
        <v>816</v>
      </c>
      <c r="D43" s="834" t="s">
        <v>1533</v>
      </c>
      <c r="E43" s="830" t="s">
        <v>1691</v>
      </c>
      <c r="F43" s="835">
        <v>3764925.1</v>
      </c>
      <c r="G43" s="836">
        <v>43868</v>
      </c>
      <c r="H43" s="13" t="s">
        <v>1692</v>
      </c>
      <c r="I43" s="13" t="s">
        <v>1574</v>
      </c>
      <c r="J43" s="836">
        <v>44048</v>
      </c>
      <c r="K43" s="830" t="s">
        <v>1693</v>
      </c>
      <c r="L43" s="832">
        <v>44301</v>
      </c>
      <c r="M43" s="9" t="s">
        <v>1537</v>
      </c>
      <c r="N43" s="503" t="s">
        <v>1537</v>
      </c>
    </row>
    <row r="44" spans="1:14" ht="36" x14ac:dyDescent="0.2">
      <c r="A44" s="829" t="s">
        <v>1694</v>
      </c>
      <c r="B44" s="834">
        <v>163340</v>
      </c>
      <c r="C44" s="830" t="s">
        <v>1655</v>
      </c>
      <c r="D44" s="834" t="s">
        <v>1533</v>
      </c>
      <c r="E44" s="830" t="s">
        <v>1695</v>
      </c>
      <c r="F44" s="835">
        <v>404878.37</v>
      </c>
      <c r="G44" s="836">
        <v>44075</v>
      </c>
      <c r="H44" s="842" t="s">
        <v>1696</v>
      </c>
      <c r="I44" s="13" t="s">
        <v>1697</v>
      </c>
      <c r="J44" s="836">
        <v>44255</v>
      </c>
      <c r="K44" s="830" t="s">
        <v>1698</v>
      </c>
      <c r="L44" s="832">
        <v>44298</v>
      </c>
      <c r="M44" s="9" t="s">
        <v>1537</v>
      </c>
      <c r="N44" s="503" t="s">
        <v>1537</v>
      </c>
    </row>
    <row r="45" spans="1:14" ht="60" x14ac:dyDescent="0.2">
      <c r="A45" s="829" t="s">
        <v>1699</v>
      </c>
      <c r="B45" s="834">
        <v>2485148</v>
      </c>
      <c r="C45" s="830" t="s">
        <v>648</v>
      </c>
      <c r="D45" s="830" t="s">
        <v>648</v>
      </c>
      <c r="E45" s="830" t="s">
        <v>649</v>
      </c>
      <c r="F45" s="835">
        <v>3822843</v>
      </c>
      <c r="G45" s="836">
        <v>43971</v>
      </c>
      <c r="H45" s="842" t="s">
        <v>1700</v>
      </c>
      <c r="I45" s="13" t="s">
        <v>1560</v>
      </c>
      <c r="J45" s="843" t="s">
        <v>1701</v>
      </c>
      <c r="K45" s="830" t="s">
        <v>1550</v>
      </c>
      <c r="L45" s="832" t="s">
        <v>1556</v>
      </c>
      <c r="M45" s="844">
        <v>44053</v>
      </c>
      <c r="N45" s="503"/>
    </row>
    <row r="46" spans="1:14" ht="48" x14ac:dyDescent="0.2">
      <c r="A46" s="829" t="s">
        <v>1702</v>
      </c>
      <c r="B46" s="834">
        <v>2485178</v>
      </c>
      <c r="C46" s="830" t="s">
        <v>648</v>
      </c>
      <c r="D46" s="830" t="s">
        <v>648</v>
      </c>
      <c r="E46" s="830" t="s">
        <v>667</v>
      </c>
      <c r="F46" s="835">
        <v>1682812</v>
      </c>
      <c r="G46" s="836">
        <v>44054</v>
      </c>
      <c r="H46" s="842" t="s">
        <v>1703</v>
      </c>
      <c r="I46" s="13" t="s">
        <v>1578</v>
      </c>
      <c r="J46" s="843" t="s">
        <v>1704</v>
      </c>
      <c r="K46" s="830" t="s">
        <v>1705</v>
      </c>
      <c r="L46" s="832">
        <v>44131</v>
      </c>
      <c r="M46" s="844">
        <v>44131</v>
      </c>
      <c r="N46" s="503"/>
    </row>
    <row r="47" spans="1:14" ht="54.75" customHeight="1" x14ac:dyDescent="0.2">
      <c r="A47" s="829" t="s">
        <v>1706</v>
      </c>
      <c r="B47" s="834">
        <v>2486107</v>
      </c>
      <c r="C47" s="830" t="s">
        <v>648</v>
      </c>
      <c r="D47" s="830" t="s">
        <v>648</v>
      </c>
      <c r="E47" s="830" t="s">
        <v>697</v>
      </c>
      <c r="F47" s="835">
        <v>203982</v>
      </c>
      <c r="G47" s="836">
        <v>44147</v>
      </c>
      <c r="H47" s="842" t="s">
        <v>1707</v>
      </c>
      <c r="I47" s="13" t="s">
        <v>1708</v>
      </c>
      <c r="J47" s="836">
        <v>44162</v>
      </c>
      <c r="K47" s="830" t="s">
        <v>1550</v>
      </c>
      <c r="L47" s="832" t="s">
        <v>1556</v>
      </c>
      <c r="M47" s="844">
        <v>44162</v>
      </c>
      <c r="N47" s="503"/>
    </row>
    <row r="48" spans="1:14" ht="48" x14ac:dyDescent="0.2">
      <c r="A48" s="829" t="s">
        <v>1709</v>
      </c>
      <c r="B48" s="834">
        <v>2486178</v>
      </c>
      <c r="C48" s="830" t="s">
        <v>648</v>
      </c>
      <c r="D48" s="830" t="s">
        <v>648</v>
      </c>
      <c r="E48" s="830" t="s">
        <v>694</v>
      </c>
      <c r="F48" s="835">
        <v>138270</v>
      </c>
      <c r="G48" s="836">
        <v>44151</v>
      </c>
      <c r="H48" s="842" t="s">
        <v>1710</v>
      </c>
      <c r="I48" s="13" t="s">
        <v>1708</v>
      </c>
      <c r="J48" s="843" t="s">
        <v>1711</v>
      </c>
      <c r="K48" s="830" t="s">
        <v>1550</v>
      </c>
      <c r="L48" s="832" t="s">
        <v>1556</v>
      </c>
      <c r="M48" s="845" t="s">
        <v>1711</v>
      </c>
      <c r="N48" s="503"/>
    </row>
    <row r="49" spans="1:14" ht="36" x14ac:dyDescent="0.2">
      <c r="A49" s="829" t="s">
        <v>1712</v>
      </c>
      <c r="B49" s="834">
        <v>2487078</v>
      </c>
      <c r="C49" s="830" t="s">
        <v>648</v>
      </c>
      <c r="D49" s="830" t="s">
        <v>648</v>
      </c>
      <c r="E49" s="830" t="s">
        <v>656</v>
      </c>
      <c r="F49" s="835">
        <v>1053782</v>
      </c>
      <c r="G49" s="836">
        <v>44067</v>
      </c>
      <c r="H49" s="842" t="s">
        <v>1713</v>
      </c>
      <c r="I49" s="13" t="s">
        <v>1714</v>
      </c>
      <c r="J49" s="836">
        <v>44127</v>
      </c>
      <c r="K49" s="830" t="s">
        <v>1550</v>
      </c>
      <c r="L49" s="832" t="s">
        <v>1556</v>
      </c>
      <c r="M49" s="844">
        <v>44128</v>
      </c>
      <c r="N49" s="503"/>
    </row>
    <row r="50" spans="1:14" ht="36" x14ac:dyDescent="0.2">
      <c r="A50" s="829" t="s">
        <v>1715</v>
      </c>
      <c r="B50" s="834">
        <v>2487103</v>
      </c>
      <c r="C50" s="830" t="s">
        <v>648</v>
      </c>
      <c r="D50" s="830" t="s">
        <v>648</v>
      </c>
      <c r="E50" s="830" t="s">
        <v>664</v>
      </c>
      <c r="F50" s="835">
        <v>681000</v>
      </c>
      <c r="G50" s="836">
        <v>44081</v>
      </c>
      <c r="H50" s="842" t="s">
        <v>1716</v>
      </c>
      <c r="I50" s="13" t="s">
        <v>1560</v>
      </c>
      <c r="J50" s="843" t="s">
        <v>1717</v>
      </c>
      <c r="K50" s="830" t="s">
        <v>1550</v>
      </c>
      <c r="L50" s="832" t="s">
        <v>1556</v>
      </c>
      <c r="M50" s="845" t="s">
        <v>1717</v>
      </c>
      <c r="N50" s="503"/>
    </row>
    <row r="51" spans="1:14" ht="36" x14ac:dyDescent="0.2">
      <c r="A51" s="829" t="s">
        <v>1718</v>
      </c>
      <c r="B51" s="834">
        <v>2487446</v>
      </c>
      <c r="C51" s="830" t="s">
        <v>648</v>
      </c>
      <c r="D51" s="830" t="s">
        <v>648</v>
      </c>
      <c r="E51" s="830" t="s">
        <v>659</v>
      </c>
      <c r="F51" s="835">
        <v>693574</v>
      </c>
      <c r="G51" s="836">
        <v>44067</v>
      </c>
      <c r="H51" s="842" t="s">
        <v>1713</v>
      </c>
      <c r="I51" s="13" t="s">
        <v>1560</v>
      </c>
      <c r="J51" s="843" t="s">
        <v>1719</v>
      </c>
      <c r="K51" s="830" t="s">
        <v>1550</v>
      </c>
      <c r="L51" s="832" t="s">
        <v>1556</v>
      </c>
      <c r="M51" s="845" t="s">
        <v>1719</v>
      </c>
      <c r="N51" s="503"/>
    </row>
    <row r="52" spans="1:14" ht="42.75" customHeight="1" x14ac:dyDescent="0.2">
      <c r="A52" s="829" t="s">
        <v>1720</v>
      </c>
      <c r="B52" s="834">
        <v>2487966</v>
      </c>
      <c r="C52" s="830" t="s">
        <v>648</v>
      </c>
      <c r="D52" s="830" t="s">
        <v>648</v>
      </c>
      <c r="E52" s="830" t="s">
        <v>670</v>
      </c>
      <c r="F52" s="835">
        <v>911097</v>
      </c>
      <c r="G52" s="836">
        <v>44082</v>
      </c>
      <c r="H52" s="842" t="s">
        <v>1716</v>
      </c>
      <c r="I52" s="13" t="s">
        <v>1560</v>
      </c>
      <c r="J52" s="843" t="s">
        <v>1721</v>
      </c>
      <c r="K52" s="830" t="s">
        <v>1550</v>
      </c>
      <c r="L52" s="832" t="s">
        <v>1556</v>
      </c>
      <c r="M52" s="845" t="s">
        <v>1721</v>
      </c>
      <c r="N52" s="503"/>
    </row>
    <row r="53" spans="1:14" ht="60" x14ac:dyDescent="0.2">
      <c r="A53" s="829" t="s">
        <v>1722</v>
      </c>
      <c r="B53" s="834">
        <v>2489221</v>
      </c>
      <c r="C53" s="830" t="s">
        <v>648</v>
      </c>
      <c r="D53" s="830" t="s">
        <v>648</v>
      </c>
      <c r="E53" s="830" t="s">
        <v>721</v>
      </c>
      <c r="F53" s="835">
        <v>1041158</v>
      </c>
      <c r="G53" s="836">
        <v>44361</v>
      </c>
      <c r="H53" s="842" t="s">
        <v>1723</v>
      </c>
      <c r="I53" s="13" t="s">
        <v>1560</v>
      </c>
      <c r="J53" s="843" t="s">
        <v>1724</v>
      </c>
      <c r="K53" s="830" t="s">
        <v>1725</v>
      </c>
      <c r="L53" s="846" t="s">
        <v>1726</v>
      </c>
      <c r="M53" s="9" t="s">
        <v>711</v>
      </c>
      <c r="N53" s="503"/>
    </row>
    <row r="54" spans="1:14" ht="48" x14ac:dyDescent="0.2">
      <c r="A54" s="829" t="s">
        <v>1727</v>
      </c>
      <c r="B54" s="834">
        <v>2502972</v>
      </c>
      <c r="C54" s="830" t="s">
        <v>648</v>
      </c>
      <c r="D54" s="830" t="s">
        <v>648</v>
      </c>
      <c r="E54" s="830" t="s">
        <v>1728</v>
      </c>
      <c r="F54" s="835">
        <v>1562041</v>
      </c>
      <c r="G54" s="836">
        <v>44193</v>
      </c>
      <c r="H54" s="842" t="s">
        <v>1729</v>
      </c>
      <c r="I54" s="13" t="s">
        <v>1554</v>
      </c>
      <c r="J54" s="836">
        <v>44224</v>
      </c>
      <c r="K54" s="830" t="s">
        <v>1550</v>
      </c>
      <c r="L54" s="832" t="s">
        <v>1556</v>
      </c>
      <c r="M54" s="9"/>
      <c r="N54" s="503"/>
    </row>
    <row r="55" spans="1:14" ht="48" x14ac:dyDescent="0.2">
      <c r="A55" s="829" t="s">
        <v>1730</v>
      </c>
      <c r="B55" s="834">
        <v>2512163</v>
      </c>
      <c r="C55" s="830" t="s">
        <v>648</v>
      </c>
      <c r="D55" s="830" t="s">
        <v>648</v>
      </c>
      <c r="E55" s="830" t="s">
        <v>1731</v>
      </c>
      <c r="F55" s="835">
        <v>2069500</v>
      </c>
      <c r="G55" s="836">
        <v>44302</v>
      </c>
      <c r="H55" s="842" t="s">
        <v>1732</v>
      </c>
      <c r="I55" s="13" t="s">
        <v>1733</v>
      </c>
      <c r="J55" s="836">
        <v>44327</v>
      </c>
      <c r="K55" s="830" t="s">
        <v>1550</v>
      </c>
      <c r="L55" s="832" t="s">
        <v>1556</v>
      </c>
      <c r="M55" s="844">
        <v>44327</v>
      </c>
      <c r="N55" s="503"/>
    </row>
    <row r="56" spans="1:14" ht="53.25" customHeight="1" x14ac:dyDescent="0.2">
      <c r="A56" s="829" t="s">
        <v>11140</v>
      </c>
      <c r="B56" s="834">
        <v>2512340</v>
      </c>
      <c r="C56" s="830" t="s">
        <v>648</v>
      </c>
      <c r="D56" s="830" t="s">
        <v>648</v>
      </c>
      <c r="E56" s="830" t="s">
        <v>718</v>
      </c>
      <c r="F56" s="835">
        <v>2176029</v>
      </c>
      <c r="G56" s="836">
        <v>44347</v>
      </c>
      <c r="H56" s="842" t="s">
        <v>1732</v>
      </c>
      <c r="I56" s="13" t="s">
        <v>1554</v>
      </c>
      <c r="J56" s="843" t="s">
        <v>1734</v>
      </c>
      <c r="K56" s="830" t="s">
        <v>1550</v>
      </c>
      <c r="L56" s="832" t="s">
        <v>1556</v>
      </c>
      <c r="M56" s="845" t="s">
        <v>1734</v>
      </c>
      <c r="N56" s="503"/>
    </row>
    <row r="57" spans="1:14" ht="48" x14ac:dyDescent="0.2">
      <c r="A57" s="829" t="s">
        <v>1735</v>
      </c>
      <c r="B57" s="834">
        <v>2517332</v>
      </c>
      <c r="C57" s="830" t="s">
        <v>648</v>
      </c>
      <c r="D57" s="830" t="s">
        <v>648</v>
      </c>
      <c r="E57" s="830" t="s">
        <v>736</v>
      </c>
      <c r="F57" s="835">
        <v>5971850</v>
      </c>
      <c r="G57" s="836">
        <v>44466</v>
      </c>
      <c r="H57" s="842" t="s">
        <v>1736</v>
      </c>
      <c r="I57" s="13" t="s">
        <v>1578</v>
      </c>
      <c r="J57" s="843" t="s">
        <v>1737</v>
      </c>
      <c r="K57" s="830" t="s">
        <v>1550</v>
      </c>
      <c r="L57" s="832" t="s">
        <v>1556</v>
      </c>
      <c r="M57" s="844">
        <v>44511</v>
      </c>
      <c r="N57" s="503"/>
    </row>
    <row r="58" spans="1:14" ht="60" x14ac:dyDescent="0.2">
      <c r="A58" s="829" t="s">
        <v>1738</v>
      </c>
      <c r="B58" s="834">
        <v>2517353</v>
      </c>
      <c r="C58" s="830" t="s">
        <v>648</v>
      </c>
      <c r="D58" s="830" t="s">
        <v>648</v>
      </c>
      <c r="E58" s="830" t="s">
        <v>738</v>
      </c>
      <c r="F58" s="835">
        <v>2582950</v>
      </c>
      <c r="G58" s="836">
        <v>44466</v>
      </c>
      <c r="H58" s="842" t="s">
        <v>1739</v>
      </c>
      <c r="I58" s="13" t="s">
        <v>1740</v>
      </c>
      <c r="J58" s="843" t="s">
        <v>1737</v>
      </c>
      <c r="K58" s="830" t="s">
        <v>1550</v>
      </c>
      <c r="L58" s="832" t="s">
        <v>1556</v>
      </c>
      <c r="M58" s="844">
        <v>44511</v>
      </c>
      <c r="N58" s="503"/>
    </row>
    <row r="59" spans="1:14" ht="48.75" thickBot="1" x14ac:dyDescent="0.25">
      <c r="A59" s="829" t="s">
        <v>1741</v>
      </c>
      <c r="B59" s="834">
        <v>2517952</v>
      </c>
      <c r="C59" s="830" t="s">
        <v>648</v>
      </c>
      <c r="D59" s="830" t="s">
        <v>648</v>
      </c>
      <c r="E59" s="830" t="s">
        <v>733</v>
      </c>
      <c r="F59" s="835">
        <v>3421850</v>
      </c>
      <c r="G59" s="836">
        <v>44466</v>
      </c>
      <c r="H59" s="842" t="s">
        <v>1739</v>
      </c>
      <c r="I59" s="13" t="s">
        <v>1742</v>
      </c>
      <c r="J59" s="843" t="s">
        <v>1737</v>
      </c>
      <c r="K59" s="830" t="s">
        <v>1550</v>
      </c>
      <c r="L59" s="832" t="s">
        <v>1556</v>
      </c>
      <c r="M59" s="844">
        <v>44511</v>
      </c>
      <c r="N59" s="503"/>
    </row>
    <row r="60" spans="1:14" ht="12.75" thickBot="1" x14ac:dyDescent="0.25">
      <c r="A60" s="15" t="s">
        <v>2</v>
      </c>
      <c r="B60" s="15"/>
      <c r="C60" s="20"/>
      <c r="D60" s="18"/>
      <c r="E60" s="18"/>
      <c r="F60" s="505">
        <f>SUM(F6:F59)</f>
        <v>456630729.16000009</v>
      </c>
      <c r="G60" s="20"/>
      <c r="H60" s="20"/>
      <c r="I60" s="20"/>
      <c r="J60" s="20"/>
      <c r="K60" s="20"/>
      <c r="L60" s="20"/>
      <c r="M60" s="20"/>
      <c r="N60" s="20"/>
    </row>
    <row r="61" spans="1:14" x14ac:dyDescent="0.2">
      <c r="A61" s="229" t="s">
        <v>373</v>
      </c>
      <c r="B61" s="223"/>
      <c r="C61" s="230"/>
      <c r="D61" s="230"/>
      <c r="E61" s="230"/>
      <c r="F61" s="497"/>
      <c r="G61" s="230"/>
      <c r="H61" s="230"/>
      <c r="I61" s="230"/>
      <c r="J61" s="230"/>
      <c r="K61" s="230"/>
      <c r="L61" s="230"/>
    </row>
    <row r="62" spans="1:14" x14ac:dyDescent="0.2">
      <c r="A62" s="380"/>
      <c r="B62" s="381"/>
    </row>
    <row r="63" spans="1:14" x14ac:dyDescent="0.2">
      <c r="A63" s="380"/>
    </row>
    <row r="64" spans="1:14" x14ac:dyDescent="0.2">
      <c r="A64" s="380"/>
    </row>
    <row r="65" spans="1:1" x14ac:dyDescent="0.2">
      <c r="A65" s="380"/>
    </row>
  </sheetData>
  <phoneticPr fontId="13" type="noConversion"/>
  <printOptions horizontalCentered="1"/>
  <pageMargins left="0.23622047244094491" right="0.23622047244094491" top="0.74803149606299213" bottom="0.74803149606299213" header="0.31496062992125984" footer="0.31496062992125984"/>
  <pageSetup paperSize="9" scale="45"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0">
    <tabColor theme="9" tint="-0.249977111117893"/>
    <pageSetUpPr fitToPage="1"/>
  </sheetPr>
  <dimension ref="A1:Y288"/>
  <sheetViews>
    <sheetView topLeftCell="A65" zoomScaleNormal="100" zoomScaleSheetLayoutView="100" zoomScalePageLayoutView="85" workbookViewId="0">
      <selection activeCell="A50" sqref="A50:XFD50"/>
    </sheetView>
  </sheetViews>
  <sheetFormatPr baseColWidth="10" defaultColWidth="11.42578125" defaultRowHeight="12" x14ac:dyDescent="0.2"/>
  <cols>
    <col min="1" max="1" width="56.140625" style="50" customWidth="1"/>
    <col min="2" max="2" width="23.42578125" style="278" customWidth="1"/>
    <col min="3" max="3" width="20.28515625" style="278" customWidth="1"/>
    <col min="4" max="4" width="20.5703125" style="50" customWidth="1"/>
    <col min="5" max="5" width="17.7109375" style="383" customWidth="1"/>
    <col min="6" max="6" width="32.42578125" style="278" customWidth="1"/>
    <col min="7" max="9" width="17.7109375" style="278" customWidth="1"/>
    <col min="10" max="10" width="26.5703125" style="278" customWidth="1"/>
    <col min="11" max="16384" width="11.42578125" style="50"/>
  </cols>
  <sheetData>
    <row r="1" spans="1:25" ht="15.75" customHeight="1" x14ac:dyDescent="0.2">
      <c r="A1" s="230" t="s">
        <v>446</v>
      </c>
      <c r="B1" s="223"/>
      <c r="C1" s="223"/>
      <c r="D1" s="230"/>
      <c r="E1" s="274"/>
      <c r="F1" s="223"/>
      <c r="G1" s="223"/>
      <c r="H1" s="223"/>
      <c r="I1" s="223"/>
      <c r="J1" s="223"/>
    </row>
    <row r="2" spans="1:25" x14ac:dyDescent="0.2">
      <c r="A2" s="230" t="s">
        <v>642</v>
      </c>
      <c r="B2" s="223"/>
      <c r="C2" s="223"/>
      <c r="D2" s="230"/>
      <c r="E2" s="274"/>
      <c r="F2" s="223"/>
      <c r="G2" s="223"/>
      <c r="H2" s="223"/>
      <c r="I2" s="223"/>
      <c r="J2" s="223"/>
      <c r="K2" s="230"/>
      <c r="L2" s="230"/>
      <c r="M2" s="230"/>
      <c r="N2" s="230"/>
      <c r="O2" s="230"/>
      <c r="P2" s="230"/>
      <c r="Q2" s="230"/>
      <c r="R2" s="230"/>
      <c r="S2" s="230"/>
      <c r="T2" s="230"/>
      <c r="U2" s="230"/>
      <c r="V2" s="230"/>
      <c r="W2" s="230"/>
      <c r="X2" s="230"/>
      <c r="Y2" s="230"/>
    </row>
    <row r="3" spans="1:25" ht="14.25" customHeight="1" thickBot="1" x14ac:dyDescent="0.25">
      <c r="A3" s="4"/>
      <c r="B3" s="275"/>
      <c r="C3" s="275"/>
      <c r="D3" s="4"/>
      <c r="E3" s="276"/>
      <c r="F3" s="275"/>
      <c r="G3" s="277"/>
    </row>
    <row r="4" spans="1:25" ht="13.5" hidden="1" customHeight="1" x14ac:dyDescent="0.2">
      <c r="A4" s="25" t="s">
        <v>88</v>
      </c>
      <c r="B4" s="26"/>
      <c r="C4" s="26"/>
      <c r="D4" s="35"/>
      <c r="E4" s="279"/>
      <c r="F4" s="35"/>
      <c r="G4" s="35" t="s">
        <v>48</v>
      </c>
      <c r="H4" s="35" t="s">
        <v>89</v>
      </c>
      <c r="I4" s="34"/>
      <c r="J4" s="34"/>
    </row>
    <row r="5" spans="1:25" ht="36.75" thickBot="1" x14ac:dyDescent="0.25">
      <c r="A5" s="177" t="s">
        <v>95</v>
      </c>
      <c r="B5" s="106" t="s">
        <v>94</v>
      </c>
      <c r="C5" s="106" t="s">
        <v>213</v>
      </c>
      <c r="D5" s="105" t="s">
        <v>214</v>
      </c>
      <c r="E5" s="280" t="s">
        <v>4</v>
      </c>
      <c r="F5" s="105" t="s">
        <v>212</v>
      </c>
      <c r="G5" s="106" t="s">
        <v>97</v>
      </c>
      <c r="H5" s="105" t="s">
        <v>174</v>
      </c>
      <c r="I5" s="105" t="s">
        <v>179</v>
      </c>
      <c r="J5" s="105" t="s">
        <v>96</v>
      </c>
    </row>
    <row r="6" spans="1:25" x14ac:dyDescent="0.2">
      <c r="A6" s="281" t="s">
        <v>646</v>
      </c>
      <c r="B6" s="282"/>
      <c r="C6" s="282"/>
      <c r="D6" s="283"/>
      <c r="E6" s="284"/>
      <c r="F6" s="282"/>
      <c r="G6" s="282"/>
      <c r="H6" s="282"/>
      <c r="I6" s="282"/>
      <c r="J6" s="285"/>
    </row>
    <row r="7" spans="1:25" ht="36" x14ac:dyDescent="0.2">
      <c r="A7" s="286" t="s">
        <v>647</v>
      </c>
      <c r="B7" s="287" t="s">
        <v>648</v>
      </c>
      <c r="C7" s="287"/>
      <c r="D7" s="287" t="s">
        <v>649</v>
      </c>
      <c r="E7" s="288">
        <f>1337000+296072</f>
        <v>1633072</v>
      </c>
      <c r="F7" s="287" t="s">
        <v>650</v>
      </c>
      <c r="G7" s="287" t="s">
        <v>651</v>
      </c>
      <c r="H7" s="289">
        <v>43928</v>
      </c>
      <c r="I7" s="289">
        <v>44053</v>
      </c>
      <c r="J7" s="290"/>
    </row>
    <row r="8" spans="1:25" ht="24" x14ac:dyDescent="0.2">
      <c r="A8" s="286" t="s">
        <v>652</v>
      </c>
      <c r="B8" s="287" t="s">
        <v>648</v>
      </c>
      <c r="C8" s="287"/>
      <c r="D8" s="287" t="s">
        <v>653</v>
      </c>
      <c r="E8" s="288">
        <v>1037500</v>
      </c>
      <c r="F8" s="287" t="s">
        <v>654</v>
      </c>
      <c r="G8" s="287" t="s">
        <v>651</v>
      </c>
      <c r="H8" s="289">
        <v>44111</v>
      </c>
      <c r="I8" s="289">
        <v>44153</v>
      </c>
      <c r="J8" s="290"/>
    </row>
    <row r="9" spans="1:25" ht="36" x14ac:dyDescent="0.2">
      <c r="A9" s="286" t="s">
        <v>655</v>
      </c>
      <c r="B9" s="287" t="s">
        <v>648</v>
      </c>
      <c r="C9" s="287"/>
      <c r="D9" s="287" t="s">
        <v>656</v>
      </c>
      <c r="E9" s="288">
        <v>1024400</v>
      </c>
      <c r="F9" s="287" t="s">
        <v>657</v>
      </c>
      <c r="G9" s="287" t="s">
        <v>651</v>
      </c>
      <c r="H9" s="289">
        <v>44067</v>
      </c>
      <c r="I9" s="289">
        <v>44128</v>
      </c>
      <c r="J9" s="290"/>
    </row>
    <row r="10" spans="1:25" ht="36" x14ac:dyDescent="0.2">
      <c r="A10" s="286" t="s">
        <v>658</v>
      </c>
      <c r="B10" s="287" t="s">
        <v>648</v>
      </c>
      <c r="C10" s="287"/>
      <c r="D10" s="287" t="s">
        <v>659</v>
      </c>
      <c r="E10" s="288">
        <v>661200</v>
      </c>
      <c r="F10" s="287" t="s">
        <v>657</v>
      </c>
      <c r="G10" s="287" t="s">
        <v>651</v>
      </c>
      <c r="H10" s="289">
        <v>44067</v>
      </c>
      <c r="I10" s="289">
        <v>44128</v>
      </c>
      <c r="J10" s="290"/>
    </row>
    <row r="11" spans="1:25" ht="24" x14ac:dyDescent="0.2">
      <c r="A11" s="286" t="s">
        <v>660</v>
      </c>
      <c r="B11" s="287" t="s">
        <v>648</v>
      </c>
      <c r="C11" s="287"/>
      <c r="D11" s="287" t="s">
        <v>661</v>
      </c>
      <c r="E11" s="288">
        <v>95850</v>
      </c>
      <c r="F11" s="287" t="s">
        <v>662</v>
      </c>
      <c r="G11" s="287" t="s">
        <v>651</v>
      </c>
      <c r="H11" s="289">
        <v>44035</v>
      </c>
      <c r="I11" s="289">
        <v>44399</v>
      </c>
      <c r="J11" s="290"/>
    </row>
    <row r="12" spans="1:25" ht="24" x14ac:dyDescent="0.2">
      <c r="A12" s="286" t="s">
        <v>663</v>
      </c>
      <c r="B12" s="287" t="s">
        <v>648</v>
      </c>
      <c r="C12" s="287"/>
      <c r="D12" s="287" t="s">
        <v>664</v>
      </c>
      <c r="E12" s="288">
        <v>645000</v>
      </c>
      <c r="F12" s="287" t="s">
        <v>665</v>
      </c>
      <c r="G12" s="287" t="s">
        <v>651</v>
      </c>
      <c r="H12" s="289">
        <v>44081</v>
      </c>
      <c r="I12" s="289">
        <v>44142</v>
      </c>
      <c r="J12" s="290"/>
    </row>
    <row r="13" spans="1:25" ht="36" x14ac:dyDescent="0.2">
      <c r="A13" s="286" t="s">
        <v>666</v>
      </c>
      <c r="B13" s="287" t="s">
        <v>648</v>
      </c>
      <c r="C13" s="287"/>
      <c r="D13" s="287" t="s">
        <v>667</v>
      </c>
      <c r="E13" s="288">
        <f>1073762.58+157622.11</f>
        <v>1231384.69</v>
      </c>
      <c r="F13" s="287" t="s">
        <v>668</v>
      </c>
      <c r="G13" s="287" t="s">
        <v>651</v>
      </c>
      <c r="H13" s="289">
        <v>44054</v>
      </c>
      <c r="I13" s="289">
        <v>44131</v>
      </c>
      <c r="J13" s="290"/>
    </row>
    <row r="14" spans="1:25" ht="36" x14ac:dyDescent="0.2">
      <c r="A14" s="286" t="s">
        <v>669</v>
      </c>
      <c r="B14" s="287" t="s">
        <v>648</v>
      </c>
      <c r="C14" s="287"/>
      <c r="D14" s="287" t="s">
        <v>670</v>
      </c>
      <c r="E14" s="288">
        <v>878097</v>
      </c>
      <c r="F14" s="287" t="s">
        <v>665</v>
      </c>
      <c r="G14" s="287" t="s">
        <v>651</v>
      </c>
      <c r="H14" s="289">
        <v>44082</v>
      </c>
      <c r="I14" s="289">
        <v>44143</v>
      </c>
      <c r="J14" s="290"/>
    </row>
    <row r="15" spans="1:25" ht="24" x14ac:dyDescent="0.2">
      <c r="A15" s="286" t="s">
        <v>671</v>
      </c>
      <c r="B15" s="287" t="s">
        <v>648</v>
      </c>
      <c r="C15" s="287"/>
      <c r="D15" s="287" t="s">
        <v>672</v>
      </c>
      <c r="E15" s="288">
        <v>1133000</v>
      </c>
      <c r="F15" s="287" t="s">
        <v>673</v>
      </c>
      <c r="G15" s="287" t="s">
        <v>651</v>
      </c>
      <c r="H15" s="289">
        <v>44064</v>
      </c>
      <c r="I15" s="289">
        <v>44004</v>
      </c>
      <c r="J15" s="290"/>
    </row>
    <row r="16" spans="1:25" ht="24" x14ac:dyDescent="0.2">
      <c r="A16" s="286" t="s">
        <v>674</v>
      </c>
      <c r="B16" s="287" t="s">
        <v>648</v>
      </c>
      <c r="C16" s="287"/>
      <c r="D16" s="287" t="s">
        <v>675</v>
      </c>
      <c r="E16" s="288">
        <v>59840</v>
      </c>
      <c r="F16" s="287" t="s">
        <v>654</v>
      </c>
      <c r="G16" s="287" t="s">
        <v>651</v>
      </c>
      <c r="H16" s="289">
        <v>44070</v>
      </c>
      <c r="I16" s="289">
        <v>44105</v>
      </c>
      <c r="J16" s="290"/>
    </row>
    <row r="17" spans="1:10" ht="36" x14ac:dyDescent="0.2">
      <c r="A17" s="286" t="s">
        <v>676</v>
      </c>
      <c r="B17" s="287" t="s">
        <v>648</v>
      </c>
      <c r="C17" s="287"/>
      <c r="D17" s="287" t="s">
        <v>677</v>
      </c>
      <c r="E17" s="288">
        <v>165920</v>
      </c>
      <c r="F17" s="287" t="s">
        <v>678</v>
      </c>
      <c r="G17" s="287" t="s">
        <v>651</v>
      </c>
      <c r="H17" s="289">
        <v>44103</v>
      </c>
      <c r="I17" s="289">
        <v>44113</v>
      </c>
      <c r="J17" s="290"/>
    </row>
    <row r="18" spans="1:10" ht="24" x14ac:dyDescent="0.2">
      <c r="A18" s="286" t="s">
        <v>679</v>
      </c>
      <c r="B18" s="287" t="s">
        <v>648</v>
      </c>
      <c r="C18" s="287"/>
      <c r="D18" s="287" t="s">
        <v>680</v>
      </c>
      <c r="E18" s="288">
        <f>72800+129387+176800</f>
        <v>378987</v>
      </c>
      <c r="F18" s="287" t="s">
        <v>681</v>
      </c>
      <c r="G18" s="287" t="s">
        <v>651</v>
      </c>
      <c r="H18" s="289">
        <v>44111</v>
      </c>
      <c r="I18" s="289">
        <v>44126</v>
      </c>
      <c r="J18" s="290"/>
    </row>
    <row r="19" spans="1:10" ht="24" x14ac:dyDescent="0.2">
      <c r="A19" s="286" t="s">
        <v>679</v>
      </c>
      <c r="B19" s="287" t="s">
        <v>648</v>
      </c>
      <c r="C19" s="287"/>
      <c r="D19" s="287" t="s">
        <v>682</v>
      </c>
      <c r="E19" s="288">
        <f>91000+56640+40750</f>
        <v>188390</v>
      </c>
      <c r="F19" s="287" t="s">
        <v>681</v>
      </c>
      <c r="G19" s="287" t="s">
        <v>651</v>
      </c>
      <c r="H19" s="289">
        <v>44021</v>
      </c>
      <c r="I19" s="289">
        <v>44126</v>
      </c>
      <c r="J19" s="290"/>
    </row>
    <row r="20" spans="1:10" ht="36" x14ac:dyDescent="0.2">
      <c r="A20" s="286" t="s">
        <v>679</v>
      </c>
      <c r="B20" s="287" t="s">
        <v>648</v>
      </c>
      <c r="C20" s="287"/>
      <c r="D20" s="287" t="s">
        <v>683</v>
      </c>
      <c r="E20" s="288">
        <v>127233</v>
      </c>
      <c r="F20" s="287" t="s">
        <v>678</v>
      </c>
      <c r="G20" s="287" t="s">
        <v>651</v>
      </c>
      <c r="H20" s="289">
        <v>44103</v>
      </c>
      <c r="I20" s="289">
        <v>44113</v>
      </c>
      <c r="J20" s="290"/>
    </row>
    <row r="21" spans="1:10" ht="36" x14ac:dyDescent="0.2">
      <c r="A21" s="286" t="s">
        <v>684</v>
      </c>
      <c r="B21" s="287" t="s">
        <v>648</v>
      </c>
      <c r="C21" s="287"/>
      <c r="D21" s="287" t="s">
        <v>685</v>
      </c>
      <c r="E21" s="288">
        <v>155000</v>
      </c>
      <c r="F21" s="287" t="s">
        <v>686</v>
      </c>
      <c r="G21" s="287" t="s">
        <v>651</v>
      </c>
      <c r="H21" s="289">
        <v>44104</v>
      </c>
      <c r="I21" s="289">
        <v>44111</v>
      </c>
      <c r="J21" s="290"/>
    </row>
    <row r="22" spans="1:10" ht="36" x14ac:dyDescent="0.2">
      <c r="A22" s="286" t="s">
        <v>687</v>
      </c>
      <c r="B22" s="287" t="s">
        <v>648</v>
      </c>
      <c r="C22" s="287"/>
      <c r="D22" s="287" t="s">
        <v>688</v>
      </c>
      <c r="E22" s="288">
        <f>61730+38540</f>
        <v>100270</v>
      </c>
      <c r="F22" s="287" t="s">
        <v>689</v>
      </c>
      <c r="G22" s="287" t="s">
        <v>651</v>
      </c>
      <c r="H22" s="289">
        <v>44166</v>
      </c>
      <c r="I22" s="289">
        <v>44175</v>
      </c>
      <c r="J22" s="290"/>
    </row>
    <row r="23" spans="1:10" ht="36" x14ac:dyDescent="0.2">
      <c r="A23" s="286" t="s">
        <v>690</v>
      </c>
      <c r="B23" s="287" t="s">
        <v>648</v>
      </c>
      <c r="C23" s="287"/>
      <c r="D23" s="287" t="s">
        <v>691</v>
      </c>
      <c r="E23" s="288">
        <f>98490.01+68340.01</f>
        <v>166830.01999999999</v>
      </c>
      <c r="F23" s="287" t="s">
        <v>692</v>
      </c>
      <c r="G23" s="287" t="s">
        <v>651</v>
      </c>
      <c r="H23" s="289">
        <v>44144</v>
      </c>
      <c r="I23" s="289">
        <v>44151</v>
      </c>
      <c r="J23" s="290"/>
    </row>
    <row r="24" spans="1:10" ht="36" x14ac:dyDescent="0.2">
      <c r="A24" s="286" t="s">
        <v>693</v>
      </c>
      <c r="B24" s="287" t="s">
        <v>648</v>
      </c>
      <c r="C24" s="287"/>
      <c r="D24" s="287" t="s">
        <v>694</v>
      </c>
      <c r="E24" s="288">
        <f>50000+68970+247500</f>
        <v>366470</v>
      </c>
      <c r="F24" s="287" t="s">
        <v>695</v>
      </c>
      <c r="G24" s="287" t="s">
        <v>651</v>
      </c>
      <c r="H24" s="289">
        <v>44153</v>
      </c>
      <c r="I24" s="289">
        <v>44167</v>
      </c>
      <c r="J24" s="290"/>
    </row>
    <row r="25" spans="1:10" ht="24" x14ac:dyDescent="0.2">
      <c r="A25" s="286" t="s">
        <v>696</v>
      </c>
      <c r="B25" s="287" t="s">
        <v>648</v>
      </c>
      <c r="C25" s="287"/>
      <c r="D25" s="287" t="s">
        <v>697</v>
      </c>
      <c r="E25" s="288">
        <v>82100</v>
      </c>
      <c r="F25" s="287" t="s">
        <v>698</v>
      </c>
      <c r="G25" s="287" t="s">
        <v>651</v>
      </c>
      <c r="H25" s="289">
        <v>44147</v>
      </c>
      <c r="I25" s="289">
        <v>44165</v>
      </c>
      <c r="J25" s="290"/>
    </row>
    <row r="26" spans="1:10" ht="24" x14ac:dyDescent="0.2">
      <c r="A26" s="286" t="s">
        <v>699</v>
      </c>
      <c r="B26" s="287" t="s">
        <v>648</v>
      </c>
      <c r="C26" s="287"/>
      <c r="D26" s="287" t="s">
        <v>700</v>
      </c>
      <c r="E26" s="288">
        <v>685000</v>
      </c>
      <c r="F26" s="287" t="s">
        <v>654</v>
      </c>
      <c r="G26" s="287" t="s">
        <v>651</v>
      </c>
      <c r="H26" s="289">
        <v>44194</v>
      </c>
      <c r="I26" s="289">
        <v>44209</v>
      </c>
      <c r="J26" s="290"/>
    </row>
    <row r="27" spans="1:10" ht="24" x14ac:dyDescent="0.2">
      <c r="A27" s="286" t="s">
        <v>701</v>
      </c>
      <c r="B27" s="287" t="s">
        <v>648</v>
      </c>
      <c r="C27" s="287"/>
      <c r="D27" s="287" t="s">
        <v>702</v>
      </c>
      <c r="E27" s="288">
        <v>877040.73</v>
      </c>
      <c r="F27" s="287" t="s">
        <v>703</v>
      </c>
      <c r="G27" s="287" t="s">
        <v>651</v>
      </c>
      <c r="H27" s="289">
        <v>44193</v>
      </c>
      <c r="I27" s="289">
        <v>44209</v>
      </c>
      <c r="J27" s="290"/>
    </row>
    <row r="28" spans="1:10" ht="24" x14ac:dyDescent="0.2">
      <c r="A28" s="286" t="s">
        <v>704</v>
      </c>
      <c r="B28" s="287" t="s">
        <v>705</v>
      </c>
      <c r="C28" s="287"/>
      <c r="D28" s="287" t="s">
        <v>706</v>
      </c>
      <c r="E28" s="288">
        <v>55000</v>
      </c>
      <c r="F28" s="287" t="s">
        <v>707</v>
      </c>
      <c r="G28" s="287" t="s">
        <v>651</v>
      </c>
      <c r="H28" s="289">
        <v>44376</v>
      </c>
      <c r="I28" s="289">
        <v>44382</v>
      </c>
      <c r="J28" s="290"/>
    </row>
    <row r="29" spans="1:10" ht="36" x14ac:dyDescent="0.2">
      <c r="A29" s="286" t="s">
        <v>708</v>
      </c>
      <c r="B29" s="287" t="s">
        <v>709</v>
      </c>
      <c r="C29" s="287"/>
      <c r="D29" s="287" t="s">
        <v>706</v>
      </c>
      <c r="E29" s="288">
        <f>314323.24+57428.95</f>
        <v>371752.19</v>
      </c>
      <c r="F29" s="287" t="s">
        <v>710</v>
      </c>
      <c r="G29" s="287" t="s">
        <v>711</v>
      </c>
      <c r="H29" s="289">
        <v>44379</v>
      </c>
      <c r="I29" s="289">
        <v>44744</v>
      </c>
      <c r="J29" s="290"/>
    </row>
    <row r="30" spans="1:10" ht="36" x14ac:dyDescent="0.2">
      <c r="A30" s="286" t="s">
        <v>712</v>
      </c>
      <c r="B30" s="287" t="s">
        <v>713</v>
      </c>
      <c r="C30" s="287"/>
      <c r="D30" s="287" t="s">
        <v>706</v>
      </c>
      <c r="E30" s="288">
        <v>92720</v>
      </c>
      <c r="F30" s="287" t="s">
        <v>714</v>
      </c>
      <c r="G30" s="287" t="s">
        <v>651</v>
      </c>
      <c r="H30" s="289">
        <v>44320</v>
      </c>
      <c r="I30" s="289">
        <v>44328</v>
      </c>
      <c r="J30" s="290"/>
    </row>
    <row r="31" spans="1:10" ht="36.75" thickBot="1" x14ac:dyDescent="0.25">
      <c r="A31" s="875" t="s">
        <v>684</v>
      </c>
      <c r="B31" s="876" t="s">
        <v>648</v>
      </c>
      <c r="C31" s="876"/>
      <c r="D31" s="876" t="s">
        <v>715</v>
      </c>
      <c r="E31" s="892">
        <f>66000+49500+118800</f>
        <v>234300</v>
      </c>
      <c r="F31" s="876" t="s">
        <v>716</v>
      </c>
      <c r="G31" s="876" t="s">
        <v>651</v>
      </c>
      <c r="H31" s="893">
        <v>44308</v>
      </c>
      <c r="I31" s="893">
        <v>44315</v>
      </c>
      <c r="J31" s="907"/>
    </row>
    <row r="32" spans="1:10" ht="36" x14ac:dyDescent="0.2">
      <c r="A32" s="889" t="s">
        <v>717</v>
      </c>
      <c r="B32" s="868" t="s">
        <v>648</v>
      </c>
      <c r="C32" s="868"/>
      <c r="D32" s="868" t="s">
        <v>718</v>
      </c>
      <c r="E32" s="890">
        <v>1833300</v>
      </c>
      <c r="F32" s="868" t="s">
        <v>654</v>
      </c>
      <c r="G32" s="868" t="s">
        <v>651</v>
      </c>
      <c r="H32" s="891">
        <v>44347</v>
      </c>
      <c r="I32" s="891">
        <v>44377</v>
      </c>
      <c r="J32" s="906"/>
    </row>
    <row r="33" spans="1:10" ht="36" x14ac:dyDescent="0.2">
      <c r="A33" s="286" t="s">
        <v>684</v>
      </c>
      <c r="B33" s="287" t="s">
        <v>648</v>
      </c>
      <c r="C33" s="287"/>
      <c r="D33" s="287" t="s">
        <v>719</v>
      </c>
      <c r="E33" s="288">
        <v>46200</v>
      </c>
      <c r="F33" s="287" t="s">
        <v>716</v>
      </c>
      <c r="G33" s="287" t="s">
        <v>651</v>
      </c>
      <c r="H33" s="289">
        <v>44327</v>
      </c>
      <c r="I33" s="289">
        <v>44334</v>
      </c>
      <c r="J33" s="290"/>
    </row>
    <row r="34" spans="1:10" ht="36" x14ac:dyDescent="0.2">
      <c r="A34" s="286" t="s">
        <v>720</v>
      </c>
      <c r="B34" s="287" t="s">
        <v>648</v>
      </c>
      <c r="C34" s="287"/>
      <c r="D34" s="287" t="s">
        <v>721</v>
      </c>
      <c r="E34" s="288">
        <v>855620</v>
      </c>
      <c r="F34" s="287" t="s">
        <v>722</v>
      </c>
      <c r="G34" s="287" t="s">
        <v>711</v>
      </c>
      <c r="H34" s="289">
        <v>44361</v>
      </c>
      <c r="I34" s="289">
        <v>44463</v>
      </c>
      <c r="J34" s="290"/>
    </row>
    <row r="35" spans="1:10" ht="36" x14ac:dyDescent="0.2">
      <c r="A35" s="286" t="s">
        <v>723</v>
      </c>
      <c r="B35" s="287" t="s">
        <v>648</v>
      </c>
      <c r="C35" s="287"/>
      <c r="D35" s="287" t="s">
        <v>724</v>
      </c>
      <c r="E35" s="288">
        <v>248698.94</v>
      </c>
      <c r="F35" s="287" t="s">
        <v>725</v>
      </c>
      <c r="G35" s="287" t="s">
        <v>711</v>
      </c>
      <c r="H35" s="289">
        <v>44364</v>
      </c>
      <c r="I35" s="289">
        <v>44396</v>
      </c>
      <c r="J35" s="290"/>
    </row>
    <row r="36" spans="1:10" ht="36" x14ac:dyDescent="0.2">
      <c r="A36" s="286" t="s">
        <v>726</v>
      </c>
      <c r="B36" s="287" t="s">
        <v>648</v>
      </c>
      <c r="C36" s="287"/>
      <c r="D36" s="287" t="s">
        <v>727</v>
      </c>
      <c r="E36" s="288">
        <v>47800</v>
      </c>
      <c r="F36" s="287" t="s">
        <v>728</v>
      </c>
      <c r="G36" s="287" t="s">
        <v>711</v>
      </c>
      <c r="H36" s="289">
        <v>44395</v>
      </c>
      <c r="I36" s="289">
        <v>44424</v>
      </c>
      <c r="J36" s="290"/>
    </row>
    <row r="37" spans="1:10" ht="24" x14ac:dyDescent="0.2">
      <c r="A37" s="286" t="s">
        <v>729</v>
      </c>
      <c r="B37" s="287" t="s">
        <v>648</v>
      </c>
      <c r="C37" s="287"/>
      <c r="D37" s="287" t="s">
        <v>730</v>
      </c>
      <c r="E37" s="288">
        <v>228000</v>
      </c>
      <c r="F37" s="287" t="s">
        <v>662</v>
      </c>
      <c r="G37" s="287" t="s">
        <v>731</v>
      </c>
      <c r="H37" s="289">
        <v>44456</v>
      </c>
      <c r="I37" s="289">
        <v>44821</v>
      </c>
      <c r="J37" s="290"/>
    </row>
    <row r="38" spans="1:10" ht="24" x14ac:dyDescent="0.2">
      <c r="A38" s="286" t="s">
        <v>732</v>
      </c>
      <c r="B38" s="287" t="s">
        <v>648</v>
      </c>
      <c r="C38" s="287"/>
      <c r="D38" s="287" t="s">
        <v>733</v>
      </c>
      <c r="E38" s="288">
        <v>3057240</v>
      </c>
      <c r="F38" s="287" t="s">
        <v>734</v>
      </c>
      <c r="G38" s="287" t="s">
        <v>711</v>
      </c>
      <c r="H38" s="289">
        <v>44466</v>
      </c>
      <c r="I38" s="289">
        <v>44470</v>
      </c>
      <c r="J38" s="290"/>
    </row>
    <row r="39" spans="1:10" ht="36" x14ac:dyDescent="0.2">
      <c r="A39" s="286" t="s">
        <v>735</v>
      </c>
      <c r="B39" s="287" t="s">
        <v>648</v>
      </c>
      <c r="C39" s="287"/>
      <c r="D39" s="287" t="s">
        <v>736</v>
      </c>
      <c r="E39" s="288">
        <v>5960550</v>
      </c>
      <c r="F39" s="287" t="s">
        <v>695</v>
      </c>
      <c r="G39" s="287" t="s">
        <v>711</v>
      </c>
      <c r="H39" s="289">
        <v>44466</v>
      </c>
      <c r="I39" s="289">
        <v>44470</v>
      </c>
      <c r="J39" s="290"/>
    </row>
    <row r="40" spans="1:10" ht="36" x14ac:dyDescent="0.2">
      <c r="A40" s="286" t="s">
        <v>737</v>
      </c>
      <c r="B40" s="287" t="s">
        <v>648</v>
      </c>
      <c r="C40" s="287"/>
      <c r="D40" s="287" t="s">
        <v>738</v>
      </c>
      <c r="E40" s="288">
        <v>2057990</v>
      </c>
      <c r="F40" s="287" t="s">
        <v>734</v>
      </c>
      <c r="G40" s="287" t="s">
        <v>711</v>
      </c>
      <c r="H40" s="289">
        <v>44466</v>
      </c>
      <c r="I40" s="289">
        <v>44470</v>
      </c>
      <c r="J40" s="290"/>
    </row>
    <row r="41" spans="1:10" x14ac:dyDescent="0.2">
      <c r="A41" s="291" t="s">
        <v>739</v>
      </c>
      <c r="B41" s="292"/>
      <c r="C41" s="292"/>
      <c r="D41" s="293"/>
      <c r="E41" s="294"/>
      <c r="F41" s="292"/>
      <c r="G41" s="292"/>
      <c r="H41" s="292"/>
      <c r="I41" s="295"/>
      <c r="J41" s="296"/>
    </row>
    <row r="42" spans="1:10" ht="24" x14ac:dyDescent="0.2">
      <c r="A42" s="286" t="s">
        <v>740</v>
      </c>
      <c r="B42" s="287"/>
      <c r="C42" s="287"/>
      <c r="D42" s="287"/>
      <c r="E42" s="288"/>
      <c r="F42" s="287"/>
      <c r="G42" s="287"/>
      <c r="H42" s="289"/>
      <c r="I42" s="289"/>
      <c r="J42" s="290"/>
    </row>
    <row r="43" spans="1:10" x14ac:dyDescent="0.2">
      <c r="A43" s="291" t="s">
        <v>741</v>
      </c>
      <c r="B43" s="292"/>
      <c r="C43" s="292"/>
      <c r="D43" s="293"/>
      <c r="E43" s="294"/>
      <c r="F43" s="292"/>
      <c r="G43" s="292"/>
      <c r="H43" s="292"/>
      <c r="I43" s="295"/>
      <c r="J43" s="296"/>
    </row>
    <row r="44" spans="1:10" ht="63.75" x14ac:dyDescent="0.2">
      <c r="A44" s="297" t="s">
        <v>742</v>
      </c>
      <c r="B44" s="298" t="s">
        <v>743</v>
      </c>
      <c r="C44" s="299" t="s">
        <v>744</v>
      </c>
      <c r="D44" s="299">
        <v>1</v>
      </c>
      <c r="E44" s="300">
        <v>230967.42</v>
      </c>
      <c r="F44" s="298" t="s">
        <v>745</v>
      </c>
      <c r="G44" s="299" t="s">
        <v>746</v>
      </c>
      <c r="H44" s="301">
        <v>44215</v>
      </c>
      <c r="I44" s="302">
        <v>44224</v>
      </c>
      <c r="J44" s="303"/>
    </row>
    <row r="45" spans="1:10" ht="63.75" x14ac:dyDescent="0.2">
      <c r="A45" s="297" t="s">
        <v>747</v>
      </c>
      <c r="B45" s="298" t="s">
        <v>748</v>
      </c>
      <c r="C45" s="299" t="s">
        <v>744</v>
      </c>
      <c r="D45" s="299">
        <v>2</v>
      </c>
      <c r="E45" s="300">
        <v>107629.99</v>
      </c>
      <c r="F45" s="298" t="s">
        <v>749</v>
      </c>
      <c r="G45" s="298" t="s">
        <v>750</v>
      </c>
      <c r="H45" s="301">
        <v>44186</v>
      </c>
      <c r="I45" s="302">
        <v>44203</v>
      </c>
      <c r="J45" s="303"/>
    </row>
    <row r="46" spans="1:10" ht="94.5" customHeight="1" x14ac:dyDescent="0.2">
      <c r="A46" s="297" t="s">
        <v>751</v>
      </c>
      <c r="B46" s="298" t="s">
        <v>748</v>
      </c>
      <c r="C46" s="299" t="s">
        <v>744</v>
      </c>
      <c r="D46" s="299">
        <v>3</v>
      </c>
      <c r="E46" s="300">
        <v>133241.14000000001</v>
      </c>
      <c r="F46" s="298" t="s">
        <v>752</v>
      </c>
      <c r="G46" s="298" t="s">
        <v>750</v>
      </c>
      <c r="H46" s="302">
        <v>44186</v>
      </c>
      <c r="I46" s="299" t="s">
        <v>753</v>
      </c>
      <c r="J46" s="303"/>
    </row>
    <row r="47" spans="1:10" ht="129.75" customHeight="1" x14ac:dyDescent="0.2">
      <c r="A47" s="297" t="s">
        <v>754</v>
      </c>
      <c r="B47" s="298" t="s">
        <v>748</v>
      </c>
      <c r="C47" s="299" t="s">
        <v>744</v>
      </c>
      <c r="D47" s="299">
        <v>4</v>
      </c>
      <c r="E47" s="300">
        <v>145000</v>
      </c>
      <c r="F47" s="298" t="s">
        <v>755</v>
      </c>
      <c r="G47" s="299" t="s">
        <v>756</v>
      </c>
      <c r="H47" s="302">
        <v>44202</v>
      </c>
      <c r="I47" s="302">
        <v>44246</v>
      </c>
      <c r="J47" s="303"/>
    </row>
    <row r="48" spans="1:10" ht="73.5" customHeight="1" thickBot="1" x14ac:dyDescent="0.25">
      <c r="A48" s="911" t="s">
        <v>757</v>
      </c>
      <c r="B48" s="877" t="s">
        <v>758</v>
      </c>
      <c r="C48" s="877" t="s">
        <v>744</v>
      </c>
      <c r="D48" s="877">
        <v>1</v>
      </c>
      <c r="E48" s="912">
        <v>3779236.14</v>
      </c>
      <c r="F48" s="913" t="s">
        <v>759</v>
      </c>
      <c r="G48" s="877" t="s">
        <v>746</v>
      </c>
      <c r="H48" s="881">
        <v>44215</v>
      </c>
      <c r="I48" s="881">
        <v>44224</v>
      </c>
      <c r="J48" s="882"/>
    </row>
    <row r="49" spans="1:10" ht="89.25" x14ac:dyDescent="0.2">
      <c r="A49" s="908" t="s">
        <v>760</v>
      </c>
      <c r="B49" s="869" t="s">
        <v>761</v>
      </c>
      <c r="C49" s="869" t="s">
        <v>744</v>
      </c>
      <c r="D49" s="869">
        <v>1</v>
      </c>
      <c r="E49" s="909">
        <v>1237974.67</v>
      </c>
      <c r="F49" s="910" t="s">
        <v>762</v>
      </c>
      <c r="G49" s="869" t="s">
        <v>746</v>
      </c>
      <c r="H49" s="873">
        <v>44217</v>
      </c>
      <c r="I49" s="873">
        <v>44246</v>
      </c>
      <c r="J49" s="874"/>
    </row>
    <row r="50" spans="1:10" ht="90.75" customHeight="1" x14ac:dyDescent="0.2">
      <c r="A50" s="297" t="s">
        <v>763</v>
      </c>
      <c r="B50" s="299" t="s">
        <v>748</v>
      </c>
      <c r="C50" s="299" t="s">
        <v>744</v>
      </c>
      <c r="D50" s="299">
        <v>1</v>
      </c>
      <c r="E50" s="300">
        <v>200000</v>
      </c>
      <c r="F50" s="298" t="s">
        <v>764</v>
      </c>
      <c r="G50" s="299" t="s">
        <v>746</v>
      </c>
      <c r="H50" s="302">
        <v>44333</v>
      </c>
      <c r="I50" s="299" t="s">
        <v>765</v>
      </c>
      <c r="J50" s="303"/>
    </row>
    <row r="51" spans="1:10" x14ac:dyDescent="0.2">
      <c r="A51" s="291" t="s">
        <v>766</v>
      </c>
      <c r="B51" s="292"/>
      <c r="C51" s="292"/>
      <c r="D51" s="304"/>
      <c r="E51" s="294"/>
      <c r="F51" s="292"/>
      <c r="G51" s="292"/>
      <c r="H51" s="292"/>
      <c r="I51" s="292"/>
      <c r="J51" s="305"/>
    </row>
    <row r="52" spans="1:10" ht="96" x14ac:dyDescent="0.2">
      <c r="A52" s="306" t="s">
        <v>767</v>
      </c>
      <c r="B52" s="287" t="s">
        <v>768</v>
      </c>
      <c r="C52" s="287" t="s">
        <v>769</v>
      </c>
      <c r="D52" s="287">
        <v>7</v>
      </c>
      <c r="E52" s="307">
        <v>100000</v>
      </c>
      <c r="F52" s="287" t="s">
        <v>770</v>
      </c>
      <c r="G52" s="287" t="s">
        <v>151</v>
      </c>
      <c r="H52" s="289">
        <v>44435</v>
      </c>
      <c r="I52" s="289">
        <v>44165</v>
      </c>
      <c r="J52" s="308" t="s">
        <v>771</v>
      </c>
    </row>
    <row r="53" spans="1:10" ht="60" x14ac:dyDescent="0.2">
      <c r="A53" s="286" t="s">
        <v>772</v>
      </c>
      <c r="B53" s="287" t="s">
        <v>768</v>
      </c>
      <c r="C53" s="287" t="s">
        <v>769</v>
      </c>
      <c r="D53" s="299">
        <v>11</v>
      </c>
      <c r="E53" s="309">
        <v>270607</v>
      </c>
      <c r="F53" s="287" t="s">
        <v>773</v>
      </c>
      <c r="G53" s="287" t="s">
        <v>151</v>
      </c>
      <c r="H53" s="302">
        <v>44370</v>
      </c>
      <c r="I53" s="302">
        <v>44463</v>
      </c>
      <c r="J53" s="308" t="s">
        <v>771</v>
      </c>
    </row>
    <row r="54" spans="1:10" ht="72" x14ac:dyDescent="0.2">
      <c r="A54" s="286" t="s">
        <v>774</v>
      </c>
      <c r="B54" s="287" t="s">
        <v>768</v>
      </c>
      <c r="C54" s="287" t="s">
        <v>769</v>
      </c>
      <c r="D54" s="299">
        <v>12</v>
      </c>
      <c r="E54" s="309">
        <v>330586</v>
      </c>
      <c r="F54" s="287" t="s">
        <v>775</v>
      </c>
      <c r="G54" s="287" t="s">
        <v>151</v>
      </c>
      <c r="H54" s="302">
        <v>44368</v>
      </c>
      <c r="I54" s="302">
        <v>44431</v>
      </c>
      <c r="J54" s="303" t="s">
        <v>771</v>
      </c>
    </row>
    <row r="55" spans="1:10" ht="72" x14ac:dyDescent="0.2">
      <c r="A55" s="286" t="s">
        <v>776</v>
      </c>
      <c r="B55" s="287" t="s">
        <v>768</v>
      </c>
      <c r="C55" s="287" t="s">
        <v>769</v>
      </c>
      <c r="D55" s="299">
        <v>10</v>
      </c>
      <c r="E55" s="309">
        <v>91137</v>
      </c>
      <c r="F55" s="287" t="s">
        <v>777</v>
      </c>
      <c r="G55" s="287" t="s">
        <v>151</v>
      </c>
      <c r="H55" s="302">
        <v>44357</v>
      </c>
      <c r="I55" s="302">
        <v>44419</v>
      </c>
      <c r="J55" s="303" t="s">
        <v>771</v>
      </c>
    </row>
    <row r="56" spans="1:10" ht="84" x14ac:dyDescent="0.2">
      <c r="A56" s="286" t="s">
        <v>778</v>
      </c>
      <c r="B56" s="287" t="s">
        <v>768</v>
      </c>
      <c r="C56" s="287" t="s">
        <v>769</v>
      </c>
      <c r="D56" s="299">
        <v>6</v>
      </c>
      <c r="E56" s="309">
        <v>155000</v>
      </c>
      <c r="F56" s="287" t="s">
        <v>779</v>
      </c>
      <c r="G56" s="287" t="s">
        <v>151</v>
      </c>
      <c r="H56" s="302">
        <v>44329</v>
      </c>
      <c r="I56" s="302">
        <v>44424</v>
      </c>
      <c r="J56" s="303" t="s">
        <v>771</v>
      </c>
    </row>
    <row r="57" spans="1:10" ht="72" x14ac:dyDescent="0.2">
      <c r="A57" s="286" t="s">
        <v>780</v>
      </c>
      <c r="B57" s="287" t="s">
        <v>768</v>
      </c>
      <c r="C57" s="287" t="s">
        <v>769</v>
      </c>
      <c r="D57" s="299">
        <v>5</v>
      </c>
      <c r="E57" s="309">
        <v>70851</v>
      </c>
      <c r="F57" s="287" t="s">
        <v>781</v>
      </c>
      <c r="G57" s="287" t="s">
        <v>151</v>
      </c>
      <c r="H57" s="302">
        <v>44329</v>
      </c>
      <c r="I57" s="302">
        <v>44391</v>
      </c>
      <c r="J57" s="303" t="s">
        <v>771</v>
      </c>
    </row>
    <row r="58" spans="1:10" ht="84" x14ac:dyDescent="0.2">
      <c r="A58" s="286" t="s">
        <v>782</v>
      </c>
      <c r="B58" s="287" t="s">
        <v>768</v>
      </c>
      <c r="C58" s="287" t="s">
        <v>769</v>
      </c>
      <c r="D58" s="299">
        <v>4</v>
      </c>
      <c r="E58" s="309">
        <v>97000</v>
      </c>
      <c r="F58" s="287" t="s">
        <v>783</v>
      </c>
      <c r="G58" s="287" t="s">
        <v>151</v>
      </c>
      <c r="H58" s="302">
        <v>44333</v>
      </c>
      <c r="I58" s="302">
        <v>44426</v>
      </c>
      <c r="J58" s="303" t="s">
        <v>771</v>
      </c>
    </row>
    <row r="59" spans="1:10" x14ac:dyDescent="0.2">
      <c r="A59" s="291" t="s">
        <v>784</v>
      </c>
      <c r="B59" s="292"/>
      <c r="C59" s="292"/>
      <c r="D59" s="293"/>
      <c r="E59" s="294"/>
      <c r="F59" s="292"/>
      <c r="G59" s="292"/>
      <c r="H59" s="292"/>
      <c r="I59" s="295"/>
      <c r="J59" s="296"/>
    </row>
    <row r="60" spans="1:10" ht="34.5" customHeight="1" x14ac:dyDescent="0.2">
      <c r="A60" s="286" t="s">
        <v>785</v>
      </c>
      <c r="B60" s="299" t="s">
        <v>786</v>
      </c>
      <c r="C60" s="299"/>
      <c r="D60" s="310" t="s">
        <v>787</v>
      </c>
      <c r="E60" s="311">
        <v>93600</v>
      </c>
      <c r="F60" s="312" t="s">
        <v>788</v>
      </c>
      <c r="G60" s="299" t="s">
        <v>789</v>
      </c>
      <c r="H60" s="302">
        <v>43999</v>
      </c>
      <c r="I60" s="302">
        <v>44364</v>
      </c>
      <c r="J60" s="303"/>
    </row>
    <row r="61" spans="1:10" ht="39.75" customHeight="1" x14ac:dyDescent="0.2">
      <c r="A61" s="286" t="s">
        <v>790</v>
      </c>
      <c r="B61" s="299" t="s">
        <v>786</v>
      </c>
      <c r="C61" s="313"/>
      <c r="D61" s="314" t="s">
        <v>791</v>
      </c>
      <c r="E61" s="311">
        <v>126000</v>
      </c>
      <c r="F61" s="312" t="s">
        <v>788</v>
      </c>
      <c r="G61" s="299" t="s">
        <v>789</v>
      </c>
      <c r="H61" s="302">
        <v>44365</v>
      </c>
      <c r="I61" s="302">
        <v>44729</v>
      </c>
      <c r="J61" s="290"/>
    </row>
    <row r="62" spans="1:10" x14ac:dyDescent="0.2">
      <c r="A62" s="291" t="s">
        <v>792</v>
      </c>
      <c r="B62" s="292"/>
      <c r="C62" s="292"/>
      <c r="D62" s="293"/>
      <c r="E62" s="294"/>
      <c r="F62" s="292"/>
      <c r="G62" s="292"/>
      <c r="H62" s="292"/>
      <c r="I62" s="295"/>
      <c r="J62" s="296"/>
    </row>
    <row r="63" spans="1:10" ht="24" x14ac:dyDescent="0.2">
      <c r="A63" s="286" t="s">
        <v>793</v>
      </c>
      <c r="B63" s="287" t="s">
        <v>705</v>
      </c>
      <c r="C63" s="299" t="s">
        <v>794</v>
      </c>
      <c r="D63" s="287" t="s">
        <v>795</v>
      </c>
      <c r="E63" s="300" t="s">
        <v>796</v>
      </c>
      <c r="F63" s="287" t="s">
        <v>797</v>
      </c>
      <c r="G63" s="299" t="s">
        <v>798</v>
      </c>
      <c r="H63" s="302">
        <v>43879</v>
      </c>
      <c r="I63" s="302">
        <v>43885</v>
      </c>
      <c r="J63" s="303" t="s">
        <v>771</v>
      </c>
    </row>
    <row r="64" spans="1:10" ht="60" x14ac:dyDescent="0.2">
      <c r="A64" s="286" t="s">
        <v>799</v>
      </c>
      <c r="B64" s="287" t="s">
        <v>800</v>
      </c>
      <c r="C64" s="299" t="s">
        <v>801</v>
      </c>
      <c r="D64" s="287" t="s">
        <v>802</v>
      </c>
      <c r="E64" s="300" t="s">
        <v>803</v>
      </c>
      <c r="F64" s="287" t="s">
        <v>804</v>
      </c>
      <c r="G64" s="299" t="s">
        <v>798</v>
      </c>
      <c r="H64" s="302">
        <v>44194</v>
      </c>
      <c r="I64" s="302">
        <v>44239</v>
      </c>
      <c r="J64" s="303" t="s">
        <v>805</v>
      </c>
    </row>
    <row r="65" spans="1:10" ht="96" x14ac:dyDescent="0.2">
      <c r="A65" s="286" t="s">
        <v>806</v>
      </c>
      <c r="B65" s="287" t="s">
        <v>800</v>
      </c>
      <c r="C65" s="299" t="s">
        <v>801</v>
      </c>
      <c r="D65" s="287" t="s">
        <v>807</v>
      </c>
      <c r="E65" s="300" t="s">
        <v>808</v>
      </c>
      <c r="F65" s="287" t="s">
        <v>809</v>
      </c>
      <c r="G65" s="299" t="s">
        <v>798</v>
      </c>
      <c r="H65" s="302">
        <v>44186</v>
      </c>
      <c r="I65" s="302">
        <v>44201</v>
      </c>
      <c r="J65" s="303" t="s">
        <v>805</v>
      </c>
    </row>
    <row r="66" spans="1:10" ht="60" x14ac:dyDescent="0.2">
      <c r="A66" s="286" t="s">
        <v>810</v>
      </c>
      <c r="B66" s="287" t="s">
        <v>713</v>
      </c>
      <c r="C66" s="287" t="s">
        <v>794</v>
      </c>
      <c r="D66" s="287" t="s">
        <v>811</v>
      </c>
      <c r="E66" s="300" t="s">
        <v>812</v>
      </c>
      <c r="F66" s="287" t="s">
        <v>813</v>
      </c>
      <c r="G66" s="299" t="s">
        <v>798</v>
      </c>
      <c r="H66" s="302">
        <v>44393</v>
      </c>
      <c r="I66" s="302">
        <v>44398</v>
      </c>
      <c r="J66" s="303" t="s">
        <v>805</v>
      </c>
    </row>
    <row r="67" spans="1:10" x14ac:dyDescent="0.2">
      <c r="A67" s="291" t="s">
        <v>814</v>
      </c>
      <c r="B67" s="292"/>
      <c r="C67" s="292"/>
      <c r="D67" s="293"/>
      <c r="E67" s="294"/>
      <c r="F67" s="292"/>
      <c r="G67" s="292"/>
      <c r="H67" s="292"/>
      <c r="I67" s="295"/>
      <c r="J67" s="296"/>
    </row>
    <row r="68" spans="1:10" ht="24" x14ac:dyDescent="0.2">
      <c r="A68" s="286" t="s">
        <v>815</v>
      </c>
      <c r="B68" s="287" t="s">
        <v>816</v>
      </c>
      <c r="C68" s="299" t="s">
        <v>817</v>
      </c>
      <c r="D68" s="315" t="s">
        <v>818</v>
      </c>
      <c r="E68" s="316">
        <v>385000</v>
      </c>
      <c r="F68" s="287" t="s">
        <v>819</v>
      </c>
      <c r="G68" s="287" t="s">
        <v>651</v>
      </c>
      <c r="H68" s="317">
        <v>43739</v>
      </c>
      <c r="I68" s="317">
        <v>43762</v>
      </c>
      <c r="J68" s="303"/>
    </row>
    <row r="69" spans="1:10" ht="24" x14ac:dyDescent="0.2">
      <c r="A69" s="286" t="s">
        <v>820</v>
      </c>
      <c r="B69" s="287" t="s">
        <v>821</v>
      </c>
      <c r="C69" s="299" t="s">
        <v>817</v>
      </c>
      <c r="D69" s="315" t="s">
        <v>818</v>
      </c>
      <c r="E69" s="316">
        <v>70606.509999999995</v>
      </c>
      <c r="F69" s="287" t="s">
        <v>822</v>
      </c>
      <c r="G69" s="287" t="s">
        <v>651</v>
      </c>
      <c r="H69" s="317">
        <v>43553</v>
      </c>
      <c r="I69" s="317">
        <v>43858</v>
      </c>
      <c r="J69" s="303"/>
    </row>
    <row r="70" spans="1:10" ht="24" x14ac:dyDescent="0.2">
      <c r="A70" s="286" t="s">
        <v>823</v>
      </c>
      <c r="B70" s="287" t="s">
        <v>821</v>
      </c>
      <c r="C70" s="299" t="s">
        <v>817</v>
      </c>
      <c r="D70" s="315" t="s">
        <v>824</v>
      </c>
      <c r="E70" s="316">
        <v>84658.32</v>
      </c>
      <c r="F70" s="287" t="s">
        <v>822</v>
      </c>
      <c r="G70" s="287" t="s">
        <v>651</v>
      </c>
      <c r="H70" s="317">
        <v>43798</v>
      </c>
      <c r="I70" s="317">
        <v>43830</v>
      </c>
      <c r="J70" s="303"/>
    </row>
    <row r="71" spans="1:10" ht="36" x14ac:dyDescent="0.2">
      <c r="A71" s="286" t="s">
        <v>825</v>
      </c>
      <c r="B71" s="287" t="s">
        <v>768</v>
      </c>
      <c r="C71" s="299" t="s">
        <v>817</v>
      </c>
      <c r="D71" s="315" t="s">
        <v>826</v>
      </c>
      <c r="E71" s="316">
        <v>139483.57</v>
      </c>
      <c r="F71" s="287" t="s">
        <v>827</v>
      </c>
      <c r="G71" s="287" t="s">
        <v>651</v>
      </c>
      <c r="H71" s="317">
        <v>43594</v>
      </c>
      <c r="I71" s="317">
        <v>43654</v>
      </c>
      <c r="J71" s="303"/>
    </row>
    <row r="72" spans="1:10" ht="48" x14ac:dyDescent="0.2">
      <c r="A72" s="286" t="s">
        <v>828</v>
      </c>
      <c r="B72" s="287" t="s">
        <v>768</v>
      </c>
      <c r="C72" s="299" t="s">
        <v>817</v>
      </c>
      <c r="D72" s="315" t="s">
        <v>824</v>
      </c>
      <c r="E72" s="316">
        <v>212545.6</v>
      </c>
      <c r="F72" s="287" t="s">
        <v>829</v>
      </c>
      <c r="G72" s="287" t="s">
        <v>651</v>
      </c>
      <c r="H72" s="317">
        <v>43628</v>
      </c>
      <c r="I72" s="317">
        <v>43689</v>
      </c>
      <c r="J72" s="303"/>
    </row>
    <row r="73" spans="1:10" ht="24" x14ac:dyDescent="0.2">
      <c r="A73" s="286" t="s">
        <v>830</v>
      </c>
      <c r="B73" s="287" t="s">
        <v>768</v>
      </c>
      <c r="C73" s="299" t="s">
        <v>817</v>
      </c>
      <c r="D73" s="315" t="s">
        <v>826</v>
      </c>
      <c r="E73" s="316">
        <v>98723.25</v>
      </c>
      <c r="F73" s="287" t="s">
        <v>831</v>
      </c>
      <c r="G73" s="287" t="s">
        <v>651</v>
      </c>
      <c r="H73" s="317">
        <v>43664</v>
      </c>
      <c r="I73" s="317">
        <v>43710</v>
      </c>
      <c r="J73" s="303"/>
    </row>
    <row r="74" spans="1:10" ht="24" x14ac:dyDescent="0.2">
      <c r="A74" s="286" t="s">
        <v>832</v>
      </c>
      <c r="B74" s="287" t="s">
        <v>768</v>
      </c>
      <c r="C74" s="299" t="s">
        <v>817</v>
      </c>
      <c r="D74" s="315" t="s">
        <v>833</v>
      </c>
      <c r="E74" s="316">
        <v>342299.96</v>
      </c>
      <c r="F74" s="287" t="s">
        <v>834</v>
      </c>
      <c r="G74" s="287" t="s">
        <v>651</v>
      </c>
      <c r="H74" s="317">
        <v>43766</v>
      </c>
      <c r="I74" s="317">
        <v>43810</v>
      </c>
      <c r="J74" s="303"/>
    </row>
    <row r="75" spans="1:10" ht="24" x14ac:dyDescent="0.2">
      <c r="A75" s="286" t="s">
        <v>835</v>
      </c>
      <c r="B75" s="287" t="s">
        <v>768</v>
      </c>
      <c r="C75" s="299" t="s">
        <v>817</v>
      </c>
      <c r="D75" s="315" t="s">
        <v>836</v>
      </c>
      <c r="E75" s="316">
        <v>243368.65</v>
      </c>
      <c r="F75" s="287" t="s">
        <v>837</v>
      </c>
      <c r="G75" s="287" t="s">
        <v>651</v>
      </c>
      <c r="H75" s="317">
        <v>43795</v>
      </c>
      <c r="I75" s="317">
        <v>43839</v>
      </c>
      <c r="J75" s="303"/>
    </row>
    <row r="76" spans="1:10" ht="24" x14ac:dyDescent="0.2">
      <c r="A76" s="286" t="s">
        <v>838</v>
      </c>
      <c r="B76" s="287" t="s">
        <v>768</v>
      </c>
      <c r="C76" s="299" t="s">
        <v>817</v>
      </c>
      <c r="D76" s="315" t="s">
        <v>839</v>
      </c>
      <c r="E76" s="316">
        <v>100000</v>
      </c>
      <c r="F76" s="287" t="s">
        <v>840</v>
      </c>
      <c r="G76" s="287" t="s">
        <v>651</v>
      </c>
      <c r="H76" s="317">
        <v>43840</v>
      </c>
      <c r="I76" s="317">
        <v>43843</v>
      </c>
      <c r="J76" s="303"/>
    </row>
    <row r="77" spans="1:10" ht="48" x14ac:dyDescent="0.2">
      <c r="A77" s="286" t="s">
        <v>841</v>
      </c>
      <c r="B77" s="287" t="s">
        <v>768</v>
      </c>
      <c r="C77" s="299" t="s">
        <v>817</v>
      </c>
      <c r="D77" s="315" t="s">
        <v>842</v>
      </c>
      <c r="E77" s="316">
        <v>65000</v>
      </c>
      <c r="F77" s="287" t="s">
        <v>843</v>
      </c>
      <c r="G77" s="287" t="s">
        <v>651</v>
      </c>
      <c r="H77" s="317">
        <v>43799</v>
      </c>
      <c r="I77" s="317">
        <v>43829</v>
      </c>
      <c r="J77" s="303"/>
    </row>
    <row r="78" spans="1:10" ht="24" x14ac:dyDescent="0.2">
      <c r="A78" s="286" t="s">
        <v>844</v>
      </c>
      <c r="B78" s="287" t="s">
        <v>768</v>
      </c>
      <c r="C78" s="299" t="s">
        <v>817</v>
      </c>
      <c r="D78" s="315" t="s">
        <v>845</v>
      </c>
      <c r="E78" s="316">
        <v>90000</v>
      </c>
      <c r="F78" s="287" t="s">
        <v>846</v>
      </c>
      <c r="G78" s="287" t="s">
        <v>651</v>
      </c>
      <c r="H78" s="317">
        <v>43818</v>
      </c>
      <c r="I78" s="317">
        <v>43829</v>
      </c>
      <c r="J78" s="303"/>
    </row>
    <row r="79" spans="1:10" ht="24" x14ac:dyDescent="0.2">
      <c r="A79" s="286" t="s">
        <v>847</v>
      </c>
      <c r="B79" s="287" t="s">
        <v>768</v>
      </c>
      <c r="C79" s="299" t="s">
        <v>817</v>
      </c>
      <c r="D79" s="318" t="s">
        <v>848</v>
      </c>
      <c r="E79" s="316">
        <v>160000</v>
      </c>
      <c r="F79" s="287" t="s">
        <v>849</v>
      </c>
      <c r="G79" s="287" t="s">
        <v>651</v>
      </c>
      <c r="H79" s="317">
        <v>44064</v>
      </c>
      <c r="I79" s="317">
        <v>44095</v>
      </c>
      <c r="J79" s="303"/>
    </row>
    <row r="80" spans="1:10" ht="24" x14ac:dyDescent="0.2">
      <c r="A80" s="286" t="s">
        <v>850</v>
      </c>
      <c r="B80" s="287" t="s">
        <v>821</v>
      </c>
      <c r="C80" s="299" t="s">
        <v>817</v>
      </c>
      <c r="D80" s="319" t="s">
        <v>851</v>
      </c>
      <c r="E80" s="316">
        <v>58539.6</v>
      </c>
      <c r="F80" s="287" t="s">
        <v>852</v>
      </c>
      <c r="G80" s="287" t="s">
        <v>651</v>
      </c>
      <c r="H80" s="317">
        <v>43860</v>
      </c>
      <c r="I80" s="302">
        <v>44196</v>
      </c>
      <c r="J80" s="308"/>
    </row>
    <row r="81" spans="1:10" ht="36" x14ac:dyDescent="0.2">
      <c r="A81" s="286" t="s">
        <v>853</v>
      </c>
      <c r="B81" s="287" t="s">
        <v>768</v>
      </c>
      <c r="C81" s="299" t="s">
        <v>817</v>
      </c>
      <c r="D81" s="319" t="s">
        <v>851</v>
      </c>
      <c r="E81" s="316">
        <v>42000</v>
      </c>
      <c r="F81" s="287" t="s">
        <v>854</v>
      </c>
      <c r="G81" s="287" t="s">
        <v>651</v>
      </c>
      <c r="H81" s="317">
        <v>43873</v>
      </c>
      <c r="I81" s="302">
        <v>44196</v>
      </c>
      <c r="J81" s="308"/>
    </row>
    <row r="82" spans="1:10" ht="24" x14ac:dyDescent="0.2">
      <c r="A82" s="286" t="s">
        <v>855</v>
      </c>
      <c r="B82" s="287" t="s">
        <v>768</v>
      </c>
      <c r="C82" s="299" t="s">
        <v>817</v>
      </c>
      <c r="D82" s="319" t="s">
        <v>856</v>
      </c>
      <c r="E82" s="316">
        <v>60210</v>
      </c>
      <c r="F82" s="287" t="s">
        <v>857</v>
      </c>
      <c r="G82" s="287" t="s">
        <v>651</v>
      </c>
      <c r="H82" s="317">
        <v>43873</v>
      </c>
      <c r="I82" s="302">
        <v>43905</v>
      </c>
      <c r="J82" s="303"/>
    </row>
    <row r="83" spans="1:10" ht="24" x14ac:dyDescent="0.2">
      <c r="A83" s="286" t="s">
        <v>858</v>
      </c>
      <c r="B83" s="287" t="s">
        <v>768</v>
      </c>
      <c r="C83" s="299" t="s">
        <v>817</v>
      </c>
      <c r="D83" s="319" t="s">
        <v>859</v>
      </c>
      <c r="E83" s="316">
        <v>99950</v>
      </c>
      <c r="F83" s="287" t="s">
        <v>860</v>
      </c>
      <c r="G83" s="287" t="s">
        <v>651</v>
      </c>
      <c r="H83" s="317">
        <v>44193</v>
      </c>
      <c r="I83" s="302">
        <v>44193</v>
      </c>
      <c r="J83" s="308"/>
    </row>
    <row r="84" spans="1:10" ht="24" x14ac:dyDescent="0.2">
      <c r="A84" s="286" t="s">
        <v>861</v>
      </c>
      <c r="B84" s="287" t="s">
        <v>862</v>
      </c>
      <c r="C84" s="299" t="s">
        <v>817</v>
      </c>
      <c r="D84" s="319" t="s">
        <v>851</v>
      </c>
      <c r="E84" s="316">
        <v>508001.49</v>
      </c>
      <c r="F84" s="287" t="s">
        <v>863</v>
      </c>
      <c r="G84" s="287" t="s">
        <v>651</v>
      </c>
      <c r="H84" s="317">
        <v>44131</v>
      </c>
      <c r="I84" s="302">
        <v>44223</v>
      </c>
      <c r="J84" s="303"/>
    </row>
    <row r="85" spans="1:10" ht="24" x14ac:dyDescent="0.2">
      <c r="A85" s="286" t="s">
        <v>864</v>
      </c>
      <c r="B85" s="287" t="s">
        <v>862</v>
      </c>
      <c r="C85" s="299" t="s">
        <v>817</v>
      </c>
      <c r="D85" s="319" t="s">
        <v>856</v>
      </c>
      <c r="E85" s="316">
        <v>720762</v>
      </c>
      <c r="F85" s="287" t="s">
        <v>865</v>
      </c>
      <c r="G85" s="287" t="s">
        <v>651</v>
      </c>
      <c r="H85" s="317">
        <v>44131</v>
      </c>
      <c r="I85" s="302">
        <v>44245</v>
      </c>
      <c r="J85" s="303"/>
    </row>
    <row r="86" spans="1:10" ht="24" x14ac:dyDescent="0.2">
      <c r="A86" s="286" t="s">
        <v>866</v>
      </c>
      <c r="B86" s="287" t="s">
        <v>768</v>
      </c>
      <c r="C86" s="299" t="s">
        <v>817</v>
      </c>
      <c r="D86" s="319" t="s">
        <v>867</v>
      </c>
      <c r="E86" s="316">
        <v>176716.79999999999</v>
      </c>
      <c r="F86" s="287" t="s">
        <v>868</v>
      </c>
      <c r="G86" s="287" t="s">
        <v>651</v>
      </c>
      <c r="H86" s="317">
        <v>44106</v>
      </c>
      <c r="I86" s="302">
        <v>44349</v>
      </c>
      <c r="J86" s="303"/>
    </row>
    <row r="87" spans="1:10" ht="36" x14ac:dyDescent="0.2">
      <c r="A87" s="286" t="s">
        <v>869</v>
      </c>
      <c r="B87" s="287" t="s">
        <v>768</v>
      </c>
      <c r="C87" s="299" t="s">
        <v>817</v>
      </c>
      <c r="D87" s="319" t="s">
        <v>870</v>
      </c>
      <c r="E87" s="316">
        <v>76607</v>
      </c>
      <c r="F87" s="287" t="s">
        <v>871</v>
      </c>
      <c r="G87" s="287" t="s">
        <v>651</v>
      </c>
      <c r="H87" s="317">
        <v>44123</v>
      </c>
      <c r="I87" s="302">
        <v>44215</v>
      </c>
      <c r="J87" s="303"/>
    </row>
    <row r="88" spans="1:10" ht="24.75" thickBot="1" x14ac:dyDescent="0.25">
      <c r="A88" s="875" t="s">
        <v>872</v>
      </c>
      <c r="B88" s="876" t="s">
        <v>768</v>
      </c>
      <c r="C88" s="877" t="s">
        <v>817</v>
      </c>
      <c r="D88" s="878" t="s">
        <v>859</v>
      </c>
      <c r="E88" s="879">
        <v>244727.29</v>
      </c>
      <c r="F88" s="876" t="s">
        <v>873</v>
      </c>
      <c r="G88" s="876" t="s">
        <v>651</v>
      </c>
      <c r="H88" s="880">
        <v>44174</v>
      </c>
      <c r="I88" s="881">
        <v>44417</v>
      </c>
      <c r="J88" s="882"/>
    </row>
    <row r="89" spans="1:10" ht="36" x14ac:dyDescent="0.2">
      <c r="A89" s="867" t="s">
        <v>874</v>
      </c>
      <c r="B89" s="868" t="s">
        <v>768</v>
      </c>
      <c r="C89" s="869" t="s">
        <v>817</v>
      </c>
      <c r="D89" s="870" t="s">
        <v>875</v>
      </c>
      <c r="E89" s="871">
        <v>89675.42</v>
      </c>
      <c r="F89" s="868" t="s">
        <v>876</v>
      </c>
      <c r="G89" s="868" t="s">
        <v>651</v>
      </c>
      <c r="H89" s="872">
        <v>44153</v>
      </c>
      <c r="I89" s="873">
        <v>44245</v>
      </c>
      <c r="J89" s="874"/>
    </row>
    <row r="90" spans="1:10" ht="64.5" customHeight="1" x14ac:dyDescent="0.2">
      <c r="A90" s="320" t="s">
        <v>877</v>
      </c>
      <c r="B90" s="287" t="s">
        <v>821</v>
      </c>
      <c r="C90" s="299" t="s">
        <v>817</v>
      </c>
      <c r="D90" s="319" t="s">
        <v>878</v>
      </c>
      <c r="E90" s="316">
        <v>60243.57</v>
      </c>
      <c r="F90" s="287" t="s">
        <v>822</v>
      </c>
      <c r="G90" s="287" t="s">
        <v>711</v>
      </c>
      <c r="H90" s="317">
        <v>44330</v>
      </c>
      <c r="I90" s="299"/>
      <c r="J90" s="308" t="s">
        <v>879</v>
      </c>
    </row>
    <row r="91" spans="1:10" ht="60" x14ac:dyDescent="0.2">
      <c r="A91" s="320" t="s">
        <v>880</v>
      </c>
      <c r="B91" s="287" t="s">
        <v>768</v>
      </c>
      <c r="C91" s="299" t="s">
        <v>817</v>
      </c>
      <c r="D91" s="319" t="s">
        <v>878</v>
      </c>
      <c r="E91" s="316">
        <v>320000</v>
      </c>
      <c r="F91" s="287" t="s">
        <v>881</v>
      </c>
      <c r="G91" s="287" t="s">
        <v>651</v>
      </c>
      <c r="H91" s="317">
        <v>44434</v>
      </c>
      <c r="I91" s="302">
        <v>44454</v>
      </c>
      <c r="J91" s="303"/>
    </row>
    <row r="92" spans="1:10" ht="48" x14ac:dyDescent="0.2">
      <c r="A92" s="320" t="s">
        <v>882</v>
      </c>
      <c r="B92" s="287" t="s">
        <v>768</v>
      </c>
      <c r="C92" s="299" t="s">
        <v>817</v>
      </c>
      <c r="D92" s="319" t="s">
        <v>883</v>
      </c>
      <c r="E92" s="316">
        <v>172000</v>
      </c>
      <c r="F92" s="287" t="s">
        <v>884</v>
      </c>
      <c r="G92" s="287" t="s">
        <v>651</v>
      </c>
      <c r="H92" s="317">
        <v>44441</v>
      </c>
      <c r="I92" s="302">
        <v>44445</v>
      </c>
      <c r="J92" s="303"/>
    </row>
    <row r="93" spans="1:10" x14ac:dyDescent="0.2">
      <c r="A93" s="291" t="s">
        <v>885</v>
      </c>
      <c r="B93" s="292"/>
      <c r="C93" s="292"/>
      <c r="D93" s="293"/>
      <c r="E93" s="294"/>
      <c r="F93" s="292"/>
      <c r="G93" s="292"/>
      <c r="H93" s="292"/>
      <c r="I93" s="295"/>
      <c r="J93" s="296"/>
    </row>
    <row r="94" spans="1:10" ht="38.25" x14ac:dyDescent="0.2">
      <c r="A94" s="321" t="s">
        <v>886</v>
      </c>
      <c r="B94" s="322" t="s">
        <v>887</v>
      </c>
      <c r="C94" s="322" t="s">
        <v>887</v>
      </c>
      <c r="D94" s="322" t="s">
        <v>887</v>
      </c>
      <c r="E94" s="323" t="s">
        <v>888</v>
      </c>
      <c r="F94" s="299">
        <v>20601177405</v>
      </c>
      <c r="G94" s="299" t="s">
        <v>889</v>
      </c>
      <c r="H94" s="302">
        <v>44133</v>
      </c>
      <c r="I94" s="299"/>
      <c r="J94" s="303" t="s">
        <v>890</v>
      </c>
    </row>
    <row r="95" spans="1:10" ht="76.5" x14ac:dyDescent="0.2">
      <c r="A95" s="321" t="s">
        <v>891</v>
      </c>
      <c r="B95" s="322" t="s">
        <v>892</v>
      </c>
      <c r="C95" s="322" t="s">
        <v>892</v>
      </c>
      <c r="D95" s="322" t="s">
        <v>892</v>
      </c>
      <c r="E95" s="323">
        <v>214440</v>
      </c>
      <c r="F95" s="299">
        <v>20480471220</v>
      </c>
      <c r="G95" s="299" t="s">
        <v>889</v>
      </c>
      <c r="H95" s="302">
        <v>43893</v>
      </c>
      <c r="I95" s="299"/>
      <c r="J95" s="303" t="s">
        <v>890</v>
      </c>
    </row>
    <row r="96" spans="1:10" ht="76.5" x14ac:dyDescent="0.2">
      <c r="A96" s="321" t="s">
        <v>893</v>
      </c>
      <c r="B96" s="322" t="s">
        <v>894</v>
      </c>
      <c r="C96" s="322" t="s">
        <v>894</v>
      </c>
      <c r="D96" s="322" t="s">
        <v>894</v>
      </c>
      <c r="E96" s="323">
        <v>149220</v>
      </c>
      <c r="F96" s="299">
        <v>20480471220</v>
      </c>
      <c r="G96" s="299" t="s">
        <v>889</v>
      </c>
      <c r="H96" s="302">
        <v>43875</v>
      </c>
      <c r="I96" s="299"/>
      <c r="J96" s="303" t="s">
        <v>890</v>
      </c>
    </row>
    <row r="97" spans="1:10" ht="63.75" x14ac:dyDescent="0.2">
      <c r="A97" s="321" t="s">
        <v>895</v>
      </c>
      <c r="B97" s="322" t="s">
        <v>896</v>
      </c>
      <c r="C97" s="322" t="s">
        <v>896</v>
      </c>
      <c r="D97" s="322" t="s">
        <v>896</v>
      </c>
      <c r="E97" s="323">
        <v>108880</v>
      </c>
      <c r="F97" s="299">
        <v>20480471220</v>
      </c>
      <c r="G97" s="299" t="s">
        <v>889</v>
      </c>
      <c r="H97" s="302">
        <v>43875</v>
      </c>
      <c r="I97" s="299"/>
      <c r="J97" s="303" t="s">
        <v>890</v>
      </c>
    </row>
    <row r="98" spans="1:10" ht="51" x14ac:dyDescent="0.2">
      <c r="A98" s="321" t="s">
        <v>897</v>
      </c>
      <c r="B98" s="322" t="s">
        <v>898</v>
      </c>
      <c r="C98" s="322" t="s">
        <v>898</v>
      </c>
      <c r="D98" s="322" t="s">
        <v>898</v>
      </c>
      <c r="E98" s="323">
        <v>77770</v>
      </c>
      <c r="F98" s="299">
        <v>20480471220</v>
      </c>
      <c r="G98" s="299" t="s">
        <v>889</v>
      </c>
      <c r="H98" s="302">
        <v>43868</v>
      </c>
      <c r="I98" s="299"/>
      <c r="J98" s="303" t="s">
        <v>890</v>
      </c>
    </row>
    <row r="99" spans="1:10" ht="63.75" x14ac:dyDescent="0.2">
      <c r="A99" s="321" t="s">
        <v>899</v>
      </c>
      <c r="B99" s="322" t="s">
        <v>900</v>
      </c>
      <c r="C99" s="322" t="s">
        <v>900</v>
      </c>
      <c r="D99" s="322" t="s">
        <v>900</v>
      </c>
      <c r="E99" s="323">
        <v>107770</v>
      </c>
      <c r="F99" s="299">
        <v>20480471220</v>
      </c>
      <c r="G99" s="299" t="s">
        <v>889</v>
      </c>
      <c r="H99" s="302">
        <v>43875</v>
      </c>
      <c r="I99" s="299"/>
      <c r="J99" s="303" t="s">
        <v>890</v>
      </c>
    </row>
    <row r="100" spans="1:10" ht="51" x14ac:dyDescent="0.2">
      <c r="A100" s="321" t="s">
        <v>901</v>
      </c>
      <c r="B100" s="322" t="s">
        <v>902</v>
      </c>
      <c r="C100" s="322" t="s">
        <v>902</v>
      </c>
      <c r="D100" s="322" t="s">
        <v>902</v>
      </c>
      <c r="E100" s="323">
        <v>99990</v>
      </c>
      <c r="F100" s="299">
        <v>20480471220</v>
      </c>
      <c r="G100" s="299" t="s">
        <v>889</v>
      </c>
      <c r="H100" s="302">
        <v>43868</v>
      </c>
      <c r="I100" s="299"/>
      <c r="J100" s="303" t="s">
        <v>890</v>
      </c>
    </row>
    <row r="101" spans="1:10" customFormat="1" ht="38.25" x14ac:dyDescent="0.2">
      <c r="A101" s="324" t="s">
        <v>903</v>
      </c>
      <c r="B101" s="322" t="s">
        <v>904</v>
      </c>
      <c r="C101" s="322" t="s">
        <v>905</v>
      </c>
      <c r="D101" s="322" t="s">
        <v>906</v>
      </c>
      <c r="E101" s="323" t="s">
        <v>907</v>
      </c>
      <c r="F101" s="325">
        <v>10334016248</v>
      </c>
      <c r="G101" s="299" t="s">
        <v>889</v>
      </c>
      <c r="H101" s="326">
        <v>44407</v>
      </c>
      <c r="I101" s="327"/>
      <c r="J101" s="303" t="s">
        <v>908</v>
      </c>
    </row>
    <row r="102" spans="1:10" customFormat="1" ht="70.5" customHeight="1" x14ac:dyDescent="0.2">
      <c r="A102" s="324" t="s">
        <v>909</v>
      </c>
      <c r="B102" s="322" t="s">
        <v>910</v>
      </c>
      <c r="C102" s="322" t="s">
        <v>911</v>
      </c>
      <c r="D102" s="322" t="s">
        <v>912</v>
      </c>
      <c r="E102" s="323" t="s">
        <v>913</v>
      </c>
      <c r="F102" s="299">
        <v>20480471220</v>
      </c>
      <c r="G102" s="299" t="s">
        <v>889</v>
      </c>
      <c r="H102" s="326">
        <v>44336</v>
      </c>
      <c r="I102" s="327"/>
      <c r="J102" s="303" t="s">
        <v>908</v>
      </c>
    </row>
    <row r="103" spans="1:10" customFormat="1" ht="51" x14ac:dyDescent="0.2">
      <c r="A103" s="324" t="s">
        <v>914</v>
      </c>
      <c r="B103" s="322" t="s">
        <v>915</v>
      </c>
      <c r="C103" s="322" t="s">
        <v>916</v>
      </c>
      <c r="D103" s="322" t="s">
        <v>917</v>
      </c>
      <c r="E103" s="323" t="s">
        <v>918</v>
      </c>
      <c r="F103" s="325">
        <v>20606026421</v>
      </c>
      <c r="G103" s="299" t="s">
        <v>889</v>
      </c>
      <c r="H103" s="326">
        <v>44302</v>
      </c>
      <c r="I103" s="327"/>
      <c r="J103" s="303" t="s">
        <v>908</v>
      </c>
    </row>
    <row r="104" spans="1:10" customFormat="1" ht="51" x14ac:dyDescent="0.2">
      <c r="A104" s="324" t="s">
        <v>919</v>
      </c>
      <c r="B104" s="322" t="s">
        <v>920</v>
      </c>
      <c r="C104" s="322" t="s">
        <v>921</v>
      </c>
      <c r="D104" s="322" t="s">
        <v>922</v>
      </c>
      <c r="E104" s="323">
        <v>99800</v>
      </c>
      <c r="F104" s="325">
        <v>20606918501</v>
      </c>
      <c r="G104" s="299" t="s">
        <v>889</v>
      </c>
      <c r="H104" s="326">
        <v>44249</v>
      </c>
      <c r="I104" s="327"/>
      <c r="J104" s="303" t="s">
        <v>908</v>
      </c>
    </row>
    <row r="105" spans="1:10" customFormat="1" ht="51" x14ac:dyDescent="0.2">
      <c r="A105" s="324" t="s">
        <v>923</v>
      </c>
      <c r="B105" s="322" t="s">
        <v>924</v>
      </c>
      <c r="C105" s="322" t="s">
        <v>925</v>
      </c>
      <c r="D105" s="322" t="s">
        <v>926</v>
      </c>
      <c r="E105" s="323">
        <v>90000</v>
      </c>
      <c r="F105" s="325">
        <v>20606918501</v>
      </c>
      <c r="G105" s="299" t="s">
        <v>889</v>
      </c>
      <c r="H105" s="326">
        <v>44249</v>
      </c>
      <c r="I105" s="327"/>
      <c r="J105" s="303" t="s">
        <v>908</v>
      </c>
    </row>
    <row r="106" spans="1:10" customFormat="1" ht="51" x14ac:dyDescent="0.2">
      <c r="A106" s="324" t="s">
        <v>927</v>
      </c>
      <c r="B106" s="322" t="s">
        <v>928</v>
      </c>
      <c r="C106" s="322" t="s">
        <v>929</v>
      </c>
      <c r="D106" s="322" t="s">
        <v>930</v>
      </c>
      <c r="E106" s="323">
        <v>99920</v>
      </c>
      <c r="F106" s="325">
        <v>20606918501</v>
      </c>
      <c r="G106" s="299" t="s">
        <v>889</v>
      </c>
      <c r="H106" s="326">
        <v>44249</v>
      </c>
      <c r="I106" s="327"/>
      <c r="J106" s="303" t="s">
        <v>908</v>
      </c>
    </row>
    <row r="107" spans="1:10" customFormat="1" ht="51" x14ac:dyDescent="0.2">
      <c r="A107" s="324" t="s">
        <v>931</v>
      </c>
      <c r="B107" s="322" t="s">
        <v>932</v>
      </c>
      <c r="C107" s="322" t="s">
        <v>933</v>
      </c>
      <c r="D107" s="322" t="s">
        <v>934</v>
      </c>
      <c r="E107" s="323">
        <v>89600</v>
      </c>
      <c r="F107" s="325">
        <v>20606918501</v>
      </c>
      <c r="G107" s="299" t="s">
        <v>889</v>
      </c>
      <c r="H107" s="326">
        <v>44249</v>
      </c>
      <c r="I107" s="327"/>
      <c r="J107" s="303" t="s">
        <v>908</v>
      </c>
    </row>
    <row r="108" spans="1:10" x14ac:dyDescent="0.2">
      <c r="A108" s="291" t="s">
        <v>935</v>
      </c>
      <c r="B108" s="292"/>
      <c r="C108" s="292"/>
      <c r="D108" s="293"/>
      <c r="E108" s="294"/>
      <c r="F108" s="292"/>
      <c r="G108" s="292"/>
      <c r="H108" s="292"/>
      <c r="I108" s="295"/>
      <c r="J108" s="296"/>
    </row>
    <row r="109" spans="1:10" ht="60" x14ac:dyDescent="0.2">
      <c r="A109" s="286" t="s">
        <v>936</v>
      </c>
      <c r="B109" s="1111" t="s">
        <v>713</v>
      </c>
      <c r="C109" s="1111" t="s">
        <v>937</v>
      </c>
      <c r="D109" s="1112">
        <v>691294</v>
      </c>
      <c r="E109" s="1113">
        <v>347504.44</v>
      </c>
      <c r="F109" s="287" t="s">
        <v>938</v>
      </c>
      <c r="G109" s="287" t="s">
        <v>651</v>
      </c>
      <c r="H109" s="302">
        <v>44255</v>
      </c>
      <c r="I109" s="302">
        <v>44316</v>
      </c>
      <c r="J109" s="303" t="s">
        <v>939</v>
      </c>
    </row>
    <row r="110" spans="1:10" ht="60" x14ac:dyDescent="0.2">
      <c r="A110" s="286" t="s">
        <v>936</v>
      </c>
      <c r="B110" s="1111"/>
      <c r="C110" s="1111"/>
      <c r="D110" s="1112"/>
      <c r="E110" s="1113"/>
      <c r="F110" s="287" t="s">
        <v>940</v>
      </c>
      <c r="G110" s="287" t="s">
        <v>651</v>
      </c>
      <c r="H110" s="302">
        <v>44255</v>
      </c>
      <c r="I110" s="302">
        <v>44316</v>
      </c>
      <c r="J110" s="308" t="s">
        <v>941</v>
      </c>
    </row>
    <row r="111" spans="1:10" ht="60" x14ac:dyDescent="0.2">
      <c r="A111" s="286" t="s">
        <v>936</v>
      </c>
      <c r="B111" s="1111"/>
      <c r="C111" s="1111"/>
      <c r="D111" s="1112"/>
      <c r="E111" s="1113"/>
      <c r="F111" s="287" t="s">
        <v>942</v>
      </c>
      <c r="G111" s="287" t="s">
        <v>651</v>
      </c>
      <c r="H111" s="302">
        <v>44255</v>
      </c>
      <c r="I111" s="302">
        <v>44316</v>
      </c>
      <c r="J111" s="303" t="s">
        <v>939</v>
      </c>
    </row>
    <row r="112" spans="1:10" ht="48" x14ac:dyDescent="0.2">
      <c r="A112" s="286" t="s">
        <v>943</v>
      </c>
      <c r="B112" s="287" t="s">
        <v>713</v>
      </c>
      <c r="C112" s="287" t="s">
        <v>937</v>
      </c>
      <c r="D112" s="299">
        <v>710490</v>
      </c>
      <c r="E112" s="300">
        <v>75394.850000000006</v>
      </c>
      <c r="F112" s="287" t="s">
        <v>942</v>
      </c>
      <c r="G112" s="287" t="s">
        <v>651</v>
      </c>
      <c r="H112" s="302">
        <v>44336</v>
      </c>
      <c r="I112" s="299"/>
      <c r="J112" s="308" t="s">
        <v>939</v>
      </c>
    </row>
    <row r="113" spans="1:10" ht="60" x14ac:dyDescent="0.2">
      <c r="A113" s="286" t="s">
        <v>944</v>
      </c>
      <c r="B113" s="287" t="s">
        <v>648</v>
      </c>
      <c r="C113" s="287" t="s">
        <v>945</v>
      </c>
      <c r="D113" s="287">
        <v>705700</v>
      </c>
      <c r="E113" s="288">
        <v>468874.75</v>
      </c>
      <c r="F113" s="287" t="s">
        <v>946</v>
      </c>
      <c r="G113" s="287" t="s">
        <v>651</v>
      </c>
      <c r="H113" s="289">
        <v>44305</v>
      </c>
      <c r="I113" s="289">
        <v>44336</v>
      </c>
      <c r="J113" s="308" t="s">
        <v>939</v>
      </c>
    </row>
    <row r="114" spans="1:10" x14ac:dyDescent="0.2">
      <c r="A114" s="291" t="s">
        <v>947</v>
      </c>
      <c r="B114" s="292"/>
      <c r="C114" s="292"/>
      <c r="D114" s="293"/>
      <c r="E114" s="294"/>
      <c r="F114" s="292"/>
      <c r="G114" s="292"/>
      <c r="H114" s="292"/>
      <c r="I114" s="295"/>
      <c r="J114" s="296"/>
    </row>
    <row r="115" spans="1:10" ht="33.75" x14ac:dyDescent="0.2">
      <c r="A115" s="328" t="s">
        <v>948</v>
      </c>
      <c r="B115" s="329" t="s">
        <v>949</v>
      </c>
      <c r="C115" s="329" t="s">
        <v>950</v>
      </c>
      <c r="D115" s="330" t="s">
        <v>951</v>
      </c>
      <c r="E115" s="331">
        <v>116126.5</v>
      </c>
      <c r="F115" s="332" t="s">
        <v>952</v>
      </c>
      <c r="G115" s="332" t="s">
        <v>953</v>
      </c>
      <c r="H115" s="333">
        <v>43845</v>
      </c>
      <c r="I115" s="333">
        <v>43903</v>
      </c>
      <c r="J115" s="334" t="s">
        <v>954</v>
      </c>
    </row>
    <row r="116" spans="1:10" ht="22.5" x14ac:dyDescent="0.2">
      <c r="A116" s="328" t="s">
        <v>955</v>
      </c>
      <c r="B116" s="329" t="s">
        <v>956</v>
      </c>
      <c r="C116" s="329" t="s">
        <v>950</v>
      </c>
      <c r="D116" s="330" t="s">
        <v>957</v>
      </c>
      <c r="E116" s="331">
        <v>250374.95</v>
      </c>
      <c r="F116" s="332" t="s">
        <v>958</v>
      </c>
      <c r="G116" s="332" t="s">
        <v>953</v>
      </c>
      <c r="H116" s="333">
        <v>43845</v>
      </c>
      <c r="I116" s="333">
        <v>43903</v>
      </c>
      <c r="J116" s="334" t="s">
        <v>954</v>
      </c>
    </row>
    <row r="117" spans="1:10" ht="33.75" x14ac:dyDescent="0.2">
      <c r="A117" s="328" t="s">
        <v>959</v>
      </c>
      <c r="B117" s="329" t="s">
        <v>960</v>
      </c>
      <c r="C117" s="329" t="s">
        <v>961</v>
      </c>
      <c r="D117" s="329" t="s">
        <v>962</v>
      </c>
      <c r="E117" s="335">
        <v>86186.22</v>
      </c>
      <c r="F117" s="332" t="s">
        <v>958</v>
      </c>
      <c r="G117" s="332" t="s">
        <v>953</v>
      </c>
      <c r="H117" s="333">
        <v>44251</v>
      </c>
      <c r="I117" s="333">
        <v>44259</v>
      </c>
      <c r="J117" s="334" t="s">
        <v>963</v>
      </c>
    </row>
    <row r="118" spans="1:10" ht="33.75" x14ac:dyDescent="0.3">
      <c r="A118" s="336" t="s">
        <v>964</v>
      </c>
      <c r="B118" s="337" t="s">
        <v>965</v>
      </c>
      <c r="C118" s="329" t="s">
        <v>961</v>
      </c>
      <c r="D118" s="337" t="s">
        <v>966</v>
      </c>
      <c r="E118" s="338">
        <v>149290.79999999999</v>
      </c>
      <c r="F118" s="339" t="s">
        <v>958</v>
      </c>
      <c r="G118" s="332" t="s">
        <v>953</v>
      </c>
      <c r="H118" s="333">
        <v>44252</v>
      </c>
      <c r="I118" s="333">
        <v>44264</v>
      </c>
      <c r="J118" s="334" t="s">
        <v>963</v>
      </c>
    </row>
    <row r="119" spans="1:10" ht="45" x14ac:dyDescent="0.3">
      <c r="A119" s="336" t="s">
        <v>967</v>
      </c>
      <c r="B119" s="337" t="s">
        <v>968</v>
      </c>
      <c r="C119" s="329" t="s">
        <v>950</v>
      </c>
      <c r="D119" s="340">
        <v>1</v>
      </c>
      <c r="E119" s="341">
        <v>363591.49</v>
      </c>
      <c r="F119" s="339" t="s">
        <v>969</v>
      </c>
      <c r="G119" s="332" t="s">
        <v>953</v>
      </c>
      <c r="H119" s="342">
        <v>44370</v>
      </c>
      <c r="I119" s="333">
        <v>44389</v>
      </c>
      <c r="J119" s="334" t="s">
        <v>963</v>
      </c>
    </row>
    <row r="120" spans="1:10" ht="33.75" x14ac:dyDescent="0.3">
      <c r="A120" s="336" t="s">
        <v>970</v>
      </c>
      <c r="B120" s="337" t="s">
        <v>971</v>
      </c>
      <c r="C120" s="329" t="s">
        <v>961</v>
      </c>
      <c r="D120" s="337" t="s">
        <v>972</v>
      </c>
      <c r="E120" s="341">
        <v>346818</v>
      </c>
      <c r="F120" s="339" t="s">
        <v>958</v>
      </c>
      <c r="G120" s="332" t="s">
        <v>953</v>
      </c>
      <c r="H120" s="342">
        <v>44362</v>
      </c>
      <c r="I120" s="333">
        <v>44382</v>
      </c>
      <c r="J120" s="334" t="s">
        <v>963</v>
      </c>
    </row>
    <row r="121" spans="1:10" ht="27" x14ac:dyDescent="0.3">
      <c r="A121" s="343" t="s">
        <v>973</v>
      </c>
      <c r="B121" s="337" t="s">
        <v>974</v>
      </c>
      <c r="C121" s="329" t="s">
        <v>961</v>
      </c>
      <c r="D121" s="337" t="s">
        <v>974</v>
      </c>
      <c r="E121" s="341">
        <v>117718.39999999999</v>
      </c>
      <c r="F121" s="339" t="s">
        <v>975</v>
      </c>
      <c r="G121" s="332" t="s">
        <v>953</v>
      </c>
      <c r="H121" s="342">
        <v>44385</v>
      </c>
      <c r="I121" s="333">
        <v>44396</v>
      </c>
      <c r="J121" s="334" t="s">
        <v>963</v>
      </c>
    </row>
    <row r="122" spans="1:10" ht="22.5" x14ac:dyDescent="0.2">
      <c r="A122" s="336" t="s">
        <v>976</v>
      </c>
      <c r="B122" s="329" t="s">
        <v>748</v>
      </c>
      <c r="C122" s="329"/>
      <c r="D122" s="329"/>
      <c r="E122" s="338">
        <v>300000</v>
      </c>
      <c r="F122" s="329"/>
      <c r="G122" s="329"/>
      <c r="H122" s="329"/>
      <c r="I122" s="329"/>
      <c r="J122" s="334" t="s">
        <v>977</v>
      </c>
    </row>
    <row r="123" spans="1:10" ht="22.5" x14ac:dyDescent="0.3">
      <c r="A123" s="336" t="s">
        <v>978</v>
      </c>
      <c r="B123" s="329" t="s">
        <v>748</v>
      </c>
      <c r="C123" s="329"/>
      <c r="D123" s="329"/>
      <c r="E123" s="341">
        <v>60416.1</v>
      </c>
      <c r="F123" s="329"/>
      <c r="G123" s="329"/>
      <c r="H123" s="329"/>
      <c r="I123" s="329"/>
      <c r="J123" s="334" t="s">
        <v>977</v>
      </c>
    </row>
    <row r="124" spans="1:10" ht="27" x14ac:dyDescent="0.3">
      <c r="A124" s="343" t="s">
        <v>973</v>
      </c>
      <c r="B124" s="329" t="s">
        <v>761</v>
      </c>
      <c r="C124" s="329"/>
      <c r="D124" s="344"/>
      <c r="E124" s="341">
        <v>220000</v>
      </c>
      <c r="F124" s="329"/>
      <c r="G124" s="329"/>
      <c r="H124" s="329"/>
      <c r="I124" s="329"/>
      <c r="J124" s="334" t="s">
        <v>977</v>
      </c>
    </row>
    <row r="125" spans="1:10" ht="40.5" x14ac:dyDescent="0.3">
      <c r="A125" s="343" t="s">
        <v>979</v>
      </c>
      <c r="B125" s="329" t="s">
        <v>980</v>
      </c>
      <c r="C125" s="329"/>
      <c r="D125" s="344"/>
      <c r="E125" s="341">
        <v>580780.5</v>
      </c>
      <c r="F125" s="329"/>
      <c r="G125" s="329"/>
      <c r="H125" s="329"/>
      <c r="I125" s="329"/>
      <c r="J125" s="334" t="s">
        <v>977</v>
      </c>
    </row>
    <row r="126" spans="1:10" x14ac:dyDescent="0.2">
      <c r="A126" s="291" t="s">
        <v>981</v>
      </c>
      <c r="B126" s="292"/>
      <c r="C126" s="292"/>
      <c r="D126" s="293"/>
      <c r="E126" s="294"/>
      <c r="F126" s="292"/>
      <c r="G126" s="292"/>
      <c r="H126" s="292"/>
      <c r="I126" s="295"/>
      <c r="J126" s="296"/>
    </row>
    <row r="127" spans="1:10" ht="24.75" thickBot="1" x14ac:dyDescent="0.25">
      <c r="A127" s="886" t="s">
        <v>982</v>
      </c>
      <c r="B127" s="877" t="s">
        <v>983</v>
      </c>
      <c r="C127" s="877" t="s">
        <v>950</v>
      </c>
      <c r="D127" s="887" t="s">
        <v>951</v>
      </c>
      <c r="E127" s="888">
        <v>238775.05</v>
      </c>
      <c r="F127" s="877" t="s">
        <v>984</v>
      </c>
      <c r="G127" s="876" t="s">
        <v>953</v>
      </c>
      <c r="H127" s="881">
        <v>43900</v>
      </c>
      <c r="I127" s="881">
        <v>43903</v>
      </c>
      <c r="J127" s="882" t="s">
        <v>954</v>
      </c>
    </row>
    <row r="128" spans="1:10" ht="24" x14ac:dyDescent="0.2">
      <c r="A128" s="883" t="s">
        <v>985</v>
      </c>
      <c r="B128" s="869" t="s">
        <v>986</v>
      </c>
      <c r="C128" s="869" t="s">
        <v>950</v>
      </c>
      <c r="D128" s="884" t="s">
        <v>987</v>
      </c>
      <c r="E128" s="885">
        <v>38541.839999999997</v>
      </c>
      <c r="F128" s="869" t="s">
        <v>988</v>
      </c>
      <c r="G128" s="868" t="s">
        <v>953</v>
      </c>
      <c r="H128" s="873">
        <v>43901</v>
      </c>
      <c r="I128" s="873">
        <v>43903</v>
      </c>
      <c r="J128" s="874" t="s">
        <v>954</v>
      </c>
    </row>
    <row r="129" spans="1:10" ht="36" x14ac:dyDescent="0.2">
      <c r="A129" s="345" t="s">
        <v>989</v>
      </c>
      <c r="B129" s="299" t="s">
        <v>990</v>
      </c>
      <c r="C129" s="299" t="s">
        <v>991</v>
      </c>
      <c r="D129" s="347" t="s">
        <v>992</v>
      </c>
      <c r="E129" s="346">
        <v>14794</v>
      </c>
      <c r="F129" s="299" t="s">
        <v>993</v>
      </c>
      <c r="G129" s="287" t="s">
        <v>994</v>
      </c>
      <c r="H129" s="348">
        <v>44040</v>
      </c>
      <c r="I129" s="302">
        <v>44040</v>
      </c>
      <c r="J129" s="303" t="s">
        <v>954</v>
      </c>
    </row>
    <row r="130" spans="1:10" ht="36" x14ac:dyDescent="0.2">
      <c r="A130" s="345" t="s">
        <v>995</v>
      </c>
      <c r="B130" s="299" t="s">
        <v>990</v>
      </c>
      <c r="C130" s="299" t="s">
        <v>991</v>
      </c>
      <c r="D130" s="347" t="s">
        <v>996</v>
      </c>
      <c r="E130" s="346">
        <v>17105</v>
      </c>
      <c r="F130" s="299" t="s">
        <v>997</v>
      </c>
      <c r="G130" s="287" t="s">
        <v>994</v>
      </c>
      <c r="H130" s="348">
        <v>44043</v>
      </c>
      <c r="I130" s="302">
        <v>44043</v>
      </c>
      <c r="J130" s="303" t="s">
        <v>954</v>
      </c>
    </row>
    <row r="131" spans="1:10" ht="36" x14ac:dyDescent="0.2">
      <c r="A131" s="345" t="s">
        <v>998</v>
      </c>
      <c r="B131" s="299" t="s">
        <v>990</v>
      </c>
      <c r="C131" s="299" t="s">
        <v>991</v>
      </c>
      <c r="D131" s="347" t="s">
        <v>999</v>
      </c>
      <c r="E131" s="346">
        <v>7846</v>
      </c>
      <c r="F131" s="299" t="s">
        <v>997</v>
      </c>
      <c r="G131" s="287" t="s">
        <v>994</v>
      </c>
      <c r="H131" s="348">
        <v>44085</v>
      </c>
      <c r="I131" s="302">
        <v>44085</v>
      </c>
      <c r="J131" s="303" t="s">
        <v>954</v>
      </c>
    </row>
    <row r="132" spans="1:10" ht="36" x14ac:dyDescent="0.2">
      <c r="A132" s="345" t="s">
        <v>1000</v>
      </c>
      <c r="B132" s="299" t="s">
        <v>990</v>
      </c>
      <c r="C132" s="299" t="s">
        <v>991</v>
      </c>
      <c r="D132" s="347" t="s">
        <v>1001</v>
      </c>
      <c r="E132" s="346">
        <v>3834.93</v>
      </c>
      <c r="F132" s="299" t="s">
        <v>1002</v>
      </c>
      <c r="G132" s="287" t="s">
        <v>994</v>
      </c>
      <c r="H132" s="348">
        <v>44087</v>
      </c>
      <c r="I132" s="302">
        <v>44087</v>
      </c>
      <c r="J132" s="303" t="s">
        <v>954</v>
      </c>
    </row>
    <row r="133" spans="1:10" ht="24" x14ac:dyDescent="0.2">
      <c r="A133" s="345" t="s">
        <v>1003</v>
      </c>
      <c r="B133" s="299" t="s">
        <v>990</v>
      </c>
      <c r="C133" s="299" t="s">
        <v>991</v>
      </c>
      <c r="D133" s="347" t="s">
        <v>1004</v>
      </c>
      <c r="E133" s="346">
        <v>8989.32</v>
      </c>
      <c r="F133" s="299" t="s">
        <v>1002</v>
      </c>
      <c r="G133" s="287" t="s">
        <v>994</v>
      </c>
      <c r="H133" s="348">
        <v>44090</v>
      </c>
      <c r="I133" s="302">
        <v>44090</v>
      </c>
      <c r="J133" s="303" t="s">
        <v>954</v>
      </c>
    </row>
    <row r="134" spans="1:10" ht="32.25" customHeight="1" x14ac:dyDescent="0.2">
      <c r="A134" s="345" t="s">
        <v>1005</v>
      </c>
      <c r="B134" s="299" t="s">
        <v>1006</v>
      </c>
      <c r="C134" s="299" t="s">
        <v>961</v>
      </c>
      <c r="D134" s="299" t="s">
        <v>1006</v>
      </c>
      <c r="E134" s="349" t="s">
        <v>1007</v>
      </c>
      <c r="F134" s="287" t="s">
        <v>1008</v>
      </c>
      <c r="G134" s="287" t="s">
        <v>953</v>
      </c>
      <c r="H134" s="350">
        <v>44238.535601851851</v>
      </c>
      <c r="I134" s="350">
        <v>44332</v>
      </c>
      <c r="J134" s="351" t="s">
        <v>963</v>
      </c>
    </row>
    <row r="135" spans="1:10" ht="36" x14ac:dyDescent="0.2">
      <c r="A135" s="352" t="s">
        <v>1009</v>
      </c>
      <c r="B135" s="353" t="s">
        <v>965</v>
      </c>
      <c r="C135" s="299" t="s">
        <v>961</v>
      </c>
      <c r="D135" s="354" t="s">
        <v>965</v>
      </c>
      <c r="E135" s="355">
        <v>149290.79999999999</v>
      </c>
      <c r="F135" s="354" t="s">
        <v>1010</v>
      </c>
      <c r="G135" s="287" t="s">
        <v>953</v>
      </c>
      <c r="H135" s="350">
        <v>44246.382002314815</v>
      </c>
      <c r="I135" s="350">
        <v>44333</v>
      </c>
      <c r="J135" s="351" t="s">
        <v>963</v>
      </c>
    </row>
    <row r="136" spans="1:10" ht="30" x14ac:dyDescent="0.35">
      <c r="A136" s="352" t="s">
        <v>1011</v>
      </c>
      <c r="B136" s="353" t="s">
        <v>1012</v>
      </c>
      <c r="C136" s="299" t="s">
        <v>961</v>
      </c>
      <c r="D136" s="356" t="s">
        <v>1012</v>
      </c>
      <c r="E136" s="311">
        <v>60416.1</v>
      </c>
      <c r="F136" s="353" t="s">
        <v>1013</v>
      </c>
      <c r="G136" s="287" t="s">
        <v>953</v>
      </c>
      <c r="H136" s="357">
        <v>44249</v>
      </c>
      <c r="I136" s="350">
        <v>44301</v>
      </c>
      <c r="J136" s="351" t="s">
        <v>963</v>
      </c>
    </row>
    <row r="137" spans="1:10" ht="32.25" customHeight="1" x14ac:dyDescent="0.35">
      <c r="A137" s="358" t="s">
        <v>973</v>
      </c>
      <c r="B137" s="353" t="s">
        <v>1014</v>
      </c>
      <c r="C137" s="299" t="s">
        <v>961</v>
      </c>
      <c r="D137" s="356" t="s">
        <v>1014</v>
      </c>
      <c r="E137" s="311">
        <v>163133.32</v>
      </c>
      <c r="F137" s="353" t="s">
        <v>1015</v>
      </c>
      <c r="G137" s="287" t="s">
        <v>953</v>
      </c>
      <c r="H137" s="359" t="s">
        <v>1016</v>
      </c>
      <c r="I137" s="350">
        <v>44341</v>
      </c>
      <c r="J137" s="351" t="s">
        <v>963</v>
      </c>
    </row>
    <row r="138" spans="1:10" ht="60" x14ac:dyDescent="0.35">
      <c r="A138" s="358" t="s">
        <v>1017</v>
      </c>
      <c r="B138" s="353" t="s">
        <v>1018</v>
      </c>
      <c r="C138" s="299" t="s">
        <v>961</v>
      </c>
      <c r="D138" s="356" t="s">
        <v>1018</v>
      </c>
      <c r="E138" s="311">
        <v>431090.54</v>
      </c>
      <c r="F138" s="353" t="s">
        <v>1019</v>
      </c>
      <c r="G138" s="287" t="s">
        <v>953</v>
      </c>
      <c r="H138" s="360">
        <v>44347</v>
      </c>
      <c r="I138" s="360">
        <v>44347</v>
      </c>
      <c r="J138" s="303" t="s">
        <v>963</v>
      </c>
    </row>
    <row r="139" spans="1:10" ht="36" x14ac:dyDescent="0.2">
      <c r="A139" s="352" t="s">
        <v>1020</v>
      </c>
      <c r="B139" s="361" t="s">
        <v>1021</v>
      </c>
      <c r="C139" s="361" t="s">
        <v>1021</v>
      </c>
      <c r="D139" s="362" t="s">
        <v>1021</v>
      </c>
      <c r="E139" s="363">
        <v>300000</v>
      </c>
      <c r="F139" s="313"/>
      <c r="G139" s="313"/>
      <c r="H139" s="299"/>
      <c r="I139" s="299"/>
      <c r="J139" s="303" t="s">
        <v>1022</v>
      </c>
    </row>
    <row r="140" spans="1:10" ht="24" x14ac:dyDescent="0.2">
      <c r="A140" s="352" t="s">
        <v>1023</v>
      </c>
      <c r="B140" s="361" t="s">
        <v>1021</v>
      </c>
      <c r="C140" s="361" t="s">
        <v>1021</v>
      </c>
      <c r="D140" s="362" t="s">
        <v>1021</v>
      </c>
      <c r="E140" s="364">
        <v>60416.1</v>
      </c>
      <c r="F140" s="313"/>
      <c r="G140" s="313"/>
      <c r="H140" s="299"/>
      <c r="I140" s="299"/>
      <c r="J140" s="303" t="s">
        <v>1022</v>
      </c>
    </row>
    <row r="141" spans="1:10" ht="30" x14ac:dyDescent="0.35">
      <c r="A141" s="358" t="s">
        <v>973</v>
      </c>
      <c r="B141" s="361" t="s">
        <v>1021</v>
      </c>
      <c r="C141" s="361" t="s">
        <v>1021</v>
      </c>
      <c r="D141" s="362" t="s">
        <v>1021</v>
      </c>
      <c r="E141" s="364">
        <v>220000</v>
      </c>
      <c r="F141" s="313"/>
      <c r="G141" s="313"/>
      <c r="H141" s="299"/>
      <c r="I141" s="299"/>
      <c r="J141" s="303" t="s">
        <v>1024</v>
      </c>
    </row>
    <row r="142" spans="1:10" ht="44.25" customHeight="1" x14ac:dyDescent="0.3">
      <c r="A142" s="343" t="s">
        <v>1017</v>
      </c>
      <c r="B142" s="361" t="s">
        <v>1021</v>
      </c>
      <c r="C142" s="361" t="s">
        <v>1021</v>
      </c>
      <c r="D142" s="362" t="s">
        <v>1021</v>
      </c>
      <c r="E142" s="364">
        <v>800000</v>
      </c>
      <c r="F142" s="313"/>
      <c r="G142" s="313"/>
      <c r="H142" s="299"/>
      <c r="I142" s="299"/>
      <c r="J142" s="303" t="s">
        <v>1025</v>
      </c>
    </row>
    <row r="143" spans="1:10" x14ac:dyDescent="0.2">
      <c r="A143" s="291" t="s">
        <v>1026</v>
      </c>
      <c r="B143" s="292"/>
      <c r="C143" s="292"/>
      <c r="D143" s="293"/>
      <c r="E143" s="294"/>
      <c r="F143" s="292"/>
      <c r="G143" s="292"/>
      <c r="H143" s="292"/>
      <c r="I143" s="295"/>
      <c r="J143" s="296"/>
    </row>
    <row r="144" spans="1:10" ht="36" x14ac:dyDescent="0.2">
      <c r="A144" s="286" t="s">
        <v>647</v>
      </c>
      <c r="B144" s="287" t="s">
        <v>648</v>
      </c>
      <c r="C144" s="287"/>
      <c r="D144" s="287" t="s">
        <v>649</v>
      </c>
      <c r="E144" s="288">
        <f>1337000+296072</f>
        <v>1633072</v>
      </c>
      <c r="F144" s="287" t="s">
        <v>650</v>
      </c>
      <c r="G144" s="287" t="s">
        <v>651</v>
      </c>
      <c r="H144" s="289">
        <v>43928</v>
      </c>
      <c r="I144" s="289">
        <v>44053</v>
      </c>
      <c r="J144" s="303"/>
    </row>
    <row r="145" spans="1:10" ht="24" x14ac:dyDescent="0.2">
      <c r="A145" s="286" t="s">
        <v>652</v>
      </c>
      <c r="B145" s="287" t="s">
        <v>648</v>
      </c>
      <c r="C145" s="287"/>
      <c r="D145" s="287" t="s">
        <v>653</v>
      </c>
      <c r="E145" s="288">
        <v>1037500</v>
      </c>
      <c r="F145" s="287" t="s">
        <v>654</v>
      </c>
      <c r="G145" s="287" t="s">
        <v>651</v>
      </c>
      <c r="H145" s="289">
        <v>44111</v>
      </c>
      <c r="I145" s="289">
        <v>44153</v>
      </c>
      <c r="J145" s="303"/>
    </row>
    <row r="146" spans="1:10" ht="36" x14ac:dyDescent="0.2">
      <c r="A146" s="286" t="s">
        <v>655</v>
      </c>
      <c r="B146" s="287" t="s">
        <v>648</v>
      </c>
      <c r="C146" s="287"/>
      <c r="D146" s="287" t="s">
        <v>656</v>
      </c>
      <c r="E146" s="288">
        <v>1024400</v>
      </c>
      <c r="F146" s="287" t="s">
        <v>657</v>
      </c>
      <c r="G146" s="287" t="s">
        <v>651</v>
      </c>
      <c r="H146" s="289">
        <v>44067</v>
      </c>
      <c r="I146" s="289">
        <v>44128</v>
      </c>
      <c r="J146" s="303"/>
    </row>
    <row r="147" spans="1:10" ht="36" x14ac:dyDescent="0.2">
      <c r="A147" s="286" t="s">
        <v>658</v>
      </c>
      <c r="B147" s="287" t="s">
        <v>648</v>
      </c>
      <c r="C147" s="287"/>
      <c r="D147" s="287" t="s">
        <v>659</v>
      </c>
      <c r="E147" s="288">
        <v>661200</v>
      </c>
      <c r="F147" s="287" t="s">
        <v>657</v>
      </c>
      <c r="G147" s="287" t="s">
        <v>651</v>
      </c>
      <c r="H147" s="289">
        <v>44067</v>
      </c>
      <c r="I147" s="289">
        <v>44128</v>
      </c>
      <c r="J147" s="303"/>
    </row>
    <row r="148" spans="1:10" ht="24" x14ac:dyDescent="0.2">
      <c r="A148" s="286" t="s">
        <v>660</v>
      </c>
      <c r="B148" s="287" t="s">
        <v>648</v>
      </c>
      <c r="C148" s="287"/>
      <c r="D148" s="287" t="s">
        <v>661</v>
      </c>
      <c r="E148" s="288">
        <v>95850</v>
      </c>
      <c r="F148" s="287" t="s">
        <v>662</v>
      </c>
      <c r="G148" s="287" t="s">
        <v>651</v>
      </c>
      <c r="H148" s="289">
        <v>44035</v>
      </c>
      <c r="I148" s="289">
        <v>44399</v>
      </c>
      <c r="J148" s="303"/>
    </row>
    <row r="149" spans="1:10" ht="24" x14ac:dyDescent="0.2">
      <c r="A149" s="286" t="s">
        <v>663</v>
      </c>
      <c r="B149" s="287" t="s">
        <v>648</v>
      </c>
      <c r="C149" s="287"/>
      <c r="D149" s="287" t="s">
        <v>664</v>
      </c>
      <c r="E149" s="288">
        <v>645000</v>
      </c>
      <c r="F149" s="287" t="s">
        <v>665</v>
      </c>
      <c r="G149" s="287" t="s">
        <v>651</v>
      </c>
      <c r="H149" s="289">
        <v>44081</v>
      </c>
      <c r="I149" s="289">
        <v>44142</v>
      </c>
      <c r="J149" s="303"/>
    </row>
    <row r="150" spans="1:10" ht="36" x14ac:dyDescent="0.2">
      <c r="A150" s="286" t="s">
        <v>666</v>
      </c>
      <c r="B150" s="287" t="s">
        <v>648</v>
      </c>
      <c r="C150" s="287"/>
      <c r="D150" s="287" t="s">
        <v>667</v>
      </c>
      <c r="E150" s="288">
        <f>1073762.58+157622.11</f>
        <v>1231384.69</v>
      </c>
      <c r="F150" s="287" t="s">
        <v>668</v>
      </c>
      <c r="G150" s="287" t="s">
        <v>651</v>
      </c>
      <c r="H150" s="289">
        <v>44054</v>
      </c>
      <c r="I150" s="289">
        <v>44131</v>
      </c>
      <c r="J150" s="303"/>
    </row>
    <row r="151" spans="1:10" ht="36" x14ac:dyDescent="0.2">
      <c r="A151" s="286" t="s">
        <v>669</v>
      </c>
      <c r="B151" s="287" t="s">
        <v>648</v>
      </c>
      <c r="C151" s="287"/>
      <c r="D151" s="287" t="s">
        <v>670</v>
      </c>
      <c r="E151" s="288">
        <v>878097</v>
      </c>
      <c r="F151" s="287" t="s">
        <v>665</v>
      </c>
      <c r="G151" s="287" t="s">
        <v>651</v>
      </c>
      <c r="H151" s="289">
        <v>44082</v>
      </c>
      <c r="I151" s="289">
        <v>44143</v>
      </c>
      <c r="J151" s="303"/>
    </row>
    <row r="152" spans="1:10" ht="24" x14ac:dyDescent="0.2">
      <c r="A152" s="286" t="s">
        <v>671</v>
      </c>
      <c r="B152" s="287" t="s">
        <v>648</v>
      </c>
      <c r="C152" s="287"/>
      <c r="D152" s="287" t="s">
        <v>672</v>
      </c>
      <c r="E152" s="288">
        <v>1133000</v>
      </c>
      <c r="F152" s="287" t="s">
        <v>673</v>
      </c>
      <c r="G152" s="287" t="s">
        <v>651</v>
      </c>
      <c r="H152" s="289">
        <v>44064</v>
      </c>
      <c r="I152" s="289">
        <v>44004</v>
      </c>
      <c r="J152" s="303"/>
    </row>
    <row r="153" spans="1:10" ht="24" x14ac:dyDescent="0.2">
      <c r="A153" s="286" t="s">
        <v>674</v>
      </c>
      <c r="B153" s="287" t="s">
        <v>648</v>
      </c>
      <c r="C153" s="287"/>
      <c r="D153" s="287" t="s">
        <v>675</v>
      </c>
      <c r="E153" s="288">
        <v>59840</v>
      </c>
      <c r="F153" s="287" t="s">
        <v>654</v>
      </c>
      <c r="G153" s="287" t="s">
        <v>651</v>
      </c>
      <c r="H153" s="289">
        <v>44070</v>
      </c>
      <c r="I153" s="289">
        <v>44105</v>
      </c>
      <c r="J153" s="303"/>
    </row>
    <row r="154" spans="1:10" ht="36.75" thickBot="1" x14ac:dyDescent="0.25">
      <c r="A154" s="875" t="s">
        <v>676</v>
      </c>
      <c r="B154" s="876" t="s">
        <v>648</v>
      </c>
      <c r="C154" s="876"/>
      <c r="D154" s="876" t="s">
        <v>677</v>
      </c>
      <c r="E154" s="892">
        <v>165920</v>
      </c>
      <c r="F154" s="876" t="s">
        <v>678</v>
      </c>
      <c r="G154" s="876" t="s">
        <v>651</v>
      </c>
      <c r="H154" s="893">
        <v>44103</v>
      </c>
      <c r="I154" s="893">
        <v>44113</v>
      </c>
      <c r="J154" s="882"/>
    </row>
    <row r="155" spans="1:10" ht="24" x14ac:dyDescent="0.2">
      <c r="A155" s="889" t="s">
        <v>679</v>
      </c>
      <c r="B155" s="868" t="s">
        <v>648</v>
      </c>
      <c r="C155" s="868"/>
      <c r="D155" s="868" t="s">
        <v>680</v>
      </c>
      <c r="E155" s="890">
        <f>72800+129387+176800</f>
        <v>378987</v>
      </c>
      <c r="F155" s="868" t="s">
        <v>681</v>
      </c>
      <c r="G155" s="868" t="s">
        <v>651</v>
      </c>
      <c r="H155" s="891">
        <v>44111</v>
      </c>
      <c r="I155" s="891">
        <v>44126</v>
      </c>
      <c r="J155" s="874"/>
    </row>
    <row r="156" spans="1:10" ht="24" x14ac:dyDescent="0.2">
      <c r="A156" s="286" t="s">
        <v>679</v>
      </c>
      <c r="B156" s="287" t="s">
        <v>648</v>
      </c>
      <c r="C156" s="287"/>
      <c r="D156" s="287" t="s">
        <v>682</v>
      </c>
      <c r="E156" s="288">
        <f>91000+56640+40750</f>
        <v>188390</v>
      </c>
      <c r="F156" s="287" t="s">
        <v>681</v>
      </c>
      <c r="G156" s="287" t="s">
        <v>651</v>
      </c>
      <c r="H156" s="289">
        <v>44021</v>
      </c>
      <c r="I156" s="289">
        <v>44126</v>
      </c>
      <c r="J156" s="303"/>
    </row>
    <row r="157" spans="1:10" ht="36" x14ac:dyDescent="0.2">
      <c r="A157" s="286" t="s">
        <v>679</v>
      </c>
      <c r="B157" s="287" t="s">
        <v>648</v>
      </c>
      <c r="C157" s="287"/>
      <c r="D157" s="287" t="s">
        <v>683</v>
      </c>
      <c r="E157" s="288">
        <v>127233</v>
      </c>
      <c r="F157" s="287" t="s">
        <v>678</v>
      </c>
      <c r="G157" s="287" t="s">
        <v>651</v>
      </c>
      <c r="H157" s="289">
        <v>44103</v>
      </c>
      <c r="I157" s="289">
        <v>44113</v>
      </c>
      <c r="J157" s="303"/>
    </row>
    <row r="158" spans="1:10" ht="36" x14ac:dyDescent="0.2">
      <c r="A158" s="286" t="s">
        <v>684</v>
      </c>
      <c r="B158" s="287" t="s">
        <v>648</v>
      </c>
      <c r="C158" s="287"/>
      <c r="D158" s="287" t="s">
        <v>685</v>
      </c>
      <c r="E158" s="288">
        <v>155000</v>
      </c>
      <c r="F158" s="287" t="s">
        <v>686</v>
      </c>
      <c r="G158" s="287" t="s">
        <v>651</v>
      </c>
      <c r="H158" s="289">
        <v>44104</v>
      </c>
      <c r="I158" s="289">
        <v>44111</v>
      </c>
      <c r="J158" s="303"/>
    </row>
    <row r="159" spans="1:10" ht="36" x14ac:dyDescent="0.2">
      <c r="A159" s="286" t="s">
        <v>687</v>
      </c>
      <c r="B159" s="287" t="s">
        <v>648</v>
      </c>
      <c r="C159" s="287"/>
      <c r="D159" s="287" t="s">
        <v>688</v>
      </c>
      <c r="E159" s="288">
        <f>61730+38540</f>
        <v>100270</v>
      </c>
      <c r="F159" s="287" t="s">
        <v>689</v>
      </c>
      <c r="G159" s="287" t="s">
        <v>651</v>
      </c>
      <c r="H159" s="289">
        <v>44166</v>
      </c>
      <c r="I159" s="289">
        <v>44175</v>
      </c>
      <c r="J159" s="303"/>
    </row>
    <row r="160" spans="1:10" ht="36" x14ac:dyDescent="0.2">
      <c r="A160" s="286" t="s">
        <v>690</v>
      </c>
      <c r="B160" s="287" t="s">
        <v>648</v>
      </c>
      <c r="C160" s="287"/>
      <c r="D160" s="287" t="s">
        <v>691</v>
      </c>
      <c r="E160" s="288">
        <f>98490.01+68340.01</f>
        <v>166830.01999999999</v>
      </c>
      <c r="F160" s="287" t="s">
        <v>692</v>
      </c>
      <c r="G160" s="287" t="s">
        <v>651</v>
      </c>
      <c r="H160" s="289">
        <v>44144</v>
      </c>
      <c r="I160" s="289">
        <v>44151</v>
      </c>
      <c r="J160" s="303"/>
    </row>
    <row r="161" spans="1:10" ht="36" x14ac:dyDescent="0.2">
      <c r="A161" s="286" t="s">
        <v>693</v>
      </c>
      <c r="B161" s="287" t="s">
        <v>648</v>
      </c>
      <c r="C161" s="287"/>
      <c r="D161" s="287" t="s">
        <v>694</v>
      </c>
      <c r="E161" s="288">
        <f>50000+68970+247500</f>
        <v>366470</v>
      </c>
      <c r="F161" s="287" t="s">
        <v>695</v>
      </c>
      <c r="G161" s="287" t="s">
        <v>651</v>
      </c>
      <c r="H161" s="289">
        <v>44153</v>
      </c>
      <c r="I161" s="289">
        <v>44167</v>
      </c>
      <c r="J161" s="303"/>
    </row>
    <row r="162" spans="1:10" ht="24" x14ac:dyDescent="0.2">
      <c r="A162" s="286" t="s">
        <v>696</v>
      </c>
      <c r="B162" s="287" t="s">
        <v>648</v>
      </c>
      <c r="C162" s="287"/>
      <c r="D162" s="287" t="s">
        <v>697</v>
      </c>
      <c r="E162" s="288">
        <v>82100</v>
      </c>
      <c r="F162" s="287" t="s">
        <v>698</v>
      </c>
      <c r="G162" s="287" t="s">
        <v>651</v>
      </c>
      <c r="H162" s="289">
        <v>44147</v>
      </c>
      <c r="I162" s="289">
        <v>44165</v>
      </c>
      <c r="J162" s="303"/>
    </row>
    <row r="163" spans="1:10" ht="24" x14ac:dyDescent="0.2">
      <c r="A163" s="286" t="s">
        <v>699</v>
      </c>
      <c r="B163" s="287" t="s">
        <v>648</v>
      </c>
      <c r="C163" s="287"/>
      <c r="D163" s="287" t="s">
        <v>700</v>
      </c>
      <c r="E163" s="288">
        <v>685000</v>
      </c>
      <c r="F163" s="287" t="s">
        <v>654</v>
      </c>
      <c r="G163" s="287" t="s">
        <v>651</v>
      </c>
      <c r="H163" s="289">
        <v>44194</v>
      </c>
      <c r="I163" s="289">
        <v>44209</v>
      </c>
      <c r="J163" s="303"/>
    </row>
    <row r="164" spans="1:10" ht="24" x14ac:dyDescent="0.2">
      <c r="A164" s="286" t="s">
        <v>701</v>
      </c>
      <c r="B164" s="287" t="s">
        <v>648</v>
      </c>
      <c r="C164" s="287"/>
      <c r="D164" s="287" t="s">
        <v>702</v>
      </c>
      <c r="E164" s="288">
        <v>877040.73</v>
      </c>
      <c r="F164" s="287" t="s">
        <v>703</v>
      </c>
      <c r="G164" s="287" t="s">
        <v>651</v>
      </c>
      <c r="H164" s="289">
        <v>44193</v>
      </c>
      <c r="I164" s="289">
        <v>44209</v>
      </c>
      <c r="J164" s="303"/>
    </row>
    <row r="165" spans="1:10" ht="24" x14ac:dyDescent="0.2">
      <c r="A165" s="286" t="s">
        <v>704</v>
      </c>
      <c r="B165" s="287" t="s">
        <v>705</v>
      </c>
      <c r="C165" s="287"/>
      <c r="D165" s="287" t="s">
        <v>706</v>
      </c>
      <c r="E165" s="288">
        <v>55000</v>
      </c>
      <c r="F165" s="287" t="s">
        <v>707</v>
      </c>
      <c r="G165" s="287" t="s">
        <v>651</v>
      </c>
      <c r="H165" s="289">
        <v>44376</v>
      </c>
      <c r="I165" s="289">
        <v>44382</v>
      </c>
      <c r="J165" s="303"/>
    </row>
    <row r="166" spans="1:10" ht="36" x14ac:dyDescent="0.2">
      <c r="A166" s="286" t="s">
        <v>708</v>
      </c>
      <c r="B166" s="287" t="s">
        <v>709</v>
      </c>
      <c r="C166" s="287"/>
      <c r="D166" s="287" t="s">
        <v>706</v>
      </c>
      <c r="E166" s="288">
        <f>314323.24+57428.95</f>
        <v>371752.19</v>
      </c>
      <c r="F166" s="287" t="s">
        <v>710</v>
      </c>
      <c r="G166" s="287" t="s">
        <v>711</v>
      </c>
      <c r="H166" s="289">
        <v>44379</v>
      </c>
      <c r="I166" s="289">
        <v>44744</v>
      </c>
      <c r="J166" s="303"/>
    </row>
    <row r="167" spans="1:10" ht="36" x14ac:dyDescent="0.2">
      <c r="A167" s="286" t="s">
        <v>712</v>
      </c>
      <c r="B167" s="287" t="s">
        <v>713</v>
      </c>
      <c r="C167" s="287"/>
      <c r="D167" s="287" t="s">
        <v>706</v>
      </c>
      <c r="E167" s="288">
        <v>92720</v>
      </c>
      <c r="F167" s="287" t="s">
        <v>714</v>
      </c>
      <c r="G167" s="287" t="s">
        <v>651</v>
      </c>
      <c r="H167" s="289">
        <v>44320</v>
      </c>
      <c r="I167" s="289">
        <v>44328</v>
      </c>
      <c r="J167" s="303"/>
    </row>
    <row r="168" spans="1:10" ht="36" x14ac:dyDescent="0.2">
      <c r="A168" s="286" t="s">
        <v>684</v>
      </c>
      <c r="B168" s="287" t="s">
        <v>648</v>
      </c>
      <c r="C168" s="287"/>
      <c r="D168" s="287" t="s">
        <v>715</v>
      </c>
      <c r="E168" s="288">
        <f>66000+49500+118800</f>
        <v>234300</v>
      </c>
      <c r="F168" s="287" t="s">
        <v>716</v>
      </c>
      <c r="G168" s="287" t="s">
        <v>651</v>
      </c>
      <c r="H168" s="289">
        <v>44308</v>
      </c>
      <c r="I168" s="289">
        <v>44315</v>
      </c>
      <c r="J168" s="303"/>
    </row>
    <row r="169" spans="1:10" ht="36" x14ac:dyDescent="0.2">
      <c r="A169" s="286" t="s">
        <v>717</v>
      </c>
      <c r="B169" s="287" t="s">
        <v>648</v>
      </c>
      <c r="C169" s="287"/>
      <c r="D169" s="287" t="s">
        <v>718</v>
      </c>
      <c r="E169" s="288">
        <v>1833300</v>
      </c>
      <c r="F169" s="287" t="s">
        <v>654</v>
      </c>
      <c r="G169" s="287" t="s">
        <v>651</v>
      </c>
      <c r="H169" s="289">
        <v>44347</v>
      </c>
      <c r="I169" s="289">
        <v>44377</v>
      </c>
      <c r="J169" s="303"/>
    </row>
    <row r="170" spans="1:10" ht="36" x14ac:dyDescent="0.2">
      <c r="A170" s="286" t="s">
        <v>684</v>
      </c>
      <c r="B170" s="287" t="s">
        <v>648</v>
      </c>
      <c r="C170" s="287"/>
      <c r="D170" s="287" t="s">
        <v>719</v>
      </c>
      <c r="E170" s="288">
        <v>46200</v>
      </c>
      <c r="F170" s="287" t="s">
        <v>716</v>
      </c>
      <c r="G170" s="287" t="s">
        <v>651</v>
      </c>
      <c r="H170" s="289">
        <v>44327</v>
      </c>
      <c r="I170" s="289">
        <v>44334</v>
      </c>
      <c r="J170" s="303"/>
    </row>
    <row r="171" spans="1:10" ht="36" x14ac:dyDescent="0.2">
      <c r="A171" s="286" t="s">
        <v>720</v>
      </c>
      <c r="B171" s="287" t="s">
        <v>648</v>
      </c>
      <c r="C171" s="287"/>
      <c r="D171" s="287" t="s">
        <v>721</v>
      </c>
      <c r="E171" s="288">
        <v>855620</v>
      </c>
      <c r="F171" s="287" t="s">
        <v>722</v>
      </c>
      <c r="G171" s="287" t="s">
        <v>711</v>
      </c>
      <c r="H171" s="289">
        <v>44361</v>
      </c>
      <c r="I171" s="289">
        <v>44463</v>
      </c>
      <c r="J171" s="303"/>
    </row>
    <row r="172" spans="1:10" ht="36" x14ac:dyDescent="0.2">
      <c r="A172" s="286" t="s">
        <v>723</v>
      </c>
      <c r="B172" s="287" t="s">
        <v>648</v>
      </c>
      <c r="C172" s="287"/>
      <c r="D172" s="287" t="s">
        <v>724</v>
      </c>
      <c r="E172" s="288">
        <v>248698.94</v>
      </c>
      <c r="F172" s="287" t="s">
        <v>725</v>
      </c>
      <c r="G172" s="287" t="s">
        <v>711</v>
      </c>
      <c r="H172" s="289">
        <v>44364</v>
      </c>
      <c r="I172" s="289">
        <v>44396</v>
      </c>
      <c r="J172" s="303"/>
    </row>
    <row r="173" spans="1:10" ht="36" x14ac:dyDescent="0.2">
      <c r="A173" s="286" t="s">
        <v>726</v>
      </c>
      <c r="B173" s="287" t="s">
        <v>648</v>
      </c>
      <c r="C173" s="287"/>
      <c r="D173" s="287" t="s">
        <v>727</v>
      </c>
      <c r="E173" s="288">
        <v>47800</v>
      </c>
      <c r="F173" s="287" t="s">
        <v>728</v>
      </c>
      <c r="G173" s="287" t="s">
        <v>711</v>
      </c>
      <c r="H173" s="289">
        <v>44395</v>
      </c>
      <c r="I173" s="289">
        <v>44424</v>
      </c>
      <c r="J173" s="303"/>
    </row>
    <row r="174" spans="1:10" ht="24" x14ac:dyDescent="0.2">
      <c r="A174" s="286" t="s">
        <v>729</v>
      </c>
      <c r="B174" s="287" t="s">
        <v>648</v>
      </c>
      <c r="C174" s="287"/>
      <c r="D174" s="287" t="s">
        <v>730</v>
      </c>
      <c r="E174" s="288">
        <v>228000</v>
      </c>
      <c r="F174" s="287" t="s">
        <v>662</v>
      </c>
      <c r="G174" s="287" t="s">
        <v>731</v>
      </c>
      <c r="H174" s="289">
        <v>44456</v>
      </c>
      <c r="I174" s="289">
        <v>44821</v>
      </c>
      <c r="J174" s="303"/>
    </row>
    <row r="175" spans="1:10" ht="24" x14ac:dyDescent="0.2">
      <c r="A175" s="286" t="s">
        <v>732</v>
      </c>
      <c r="B175" s="287" t="s">
        <v>648</v>
      </c>
      <c r="C175" s="287"/>
      <c r="D175" s="287" t="s">
        <v>733</v>
      </c>
      <c r="E175" s="288">
        <v>3057240</v>
      </c>
      <c r="F175" s="287" t="s">
        <v>734</v>
      </c>
      <c r="G175" s="287" t="s">
        <v>711</v>
      </c>
      <c r="H175" s="289">
        <v>44466</v>
      </c>
      <c r="I175" s="289">
        <v>44470</v>
      </c>
      <c r="J175" s="303"/>
    </row>
    <row r="176" spans="1:10" ht="36" x14ac:dyDescent="0.2">
      <c r="A176" s="286" t="s">
        <v>735</v>
      </c>
      <c r="B176" s="287" t="s">
        <v>648</v>
      </c>
      <c r="C176" s="287"/>
      <c r="D176" s="287" t="s">
        <v>736</v>
      </c>
      <c r="E176" s="288">
        <v>5960550</v>
      </c>
      <c r="F176" s="287" t="s">
        <v>695</v>
      </c>
      <c r="G176" s="287" t="s">
        <v>711</v>
      </c>
      <c r="H176" s="289">
        <v>44466</v>
      </c>
      <c r="I176" s="289">
        <v>44470</v>
      </c>
      <c r="J176" s="303"/>
    </row>
    <row r="177" spans="1:10" ht="36" x14ac:dyDescent="0.2">
      <c r="A177" s="286" t="s">
        <v>737</v>
      </c>
      <c r="B177" s="287" t="s">
        <v>648</v>
      </c>
      <c r="C177" s="287"/>
      <c r="D177" s="287" t="s">
        <v>738</v>
      </c>
      <c r="E177" s="288">
        <v>2057990</v>
      </c>
      <c r="F177" s="287" t="s">
        <v>734</v>
      </c>
      <c r="G177" s="287" t="s">
        <v>711</v>
      </c>
      <c r="H177" s="289">
        <v>44466</v>
      </c>
      <c r="I177" s="289">
        <v>44470</v>
      </c>
      <c r="J177" s="303"/>
    </row>
    <row r="178" spans="1:10" x14ac:dyDescent="0.2">
      <c r="A178" s="291" t="s">
        <v>1027</v>
      </c>
      <c r="B178" s="292"/>
      <c r="C178" s="292"/>
      <c r="D178" s="304"/>
      <c r="E178" s="294"/>
      <c r="F178" s="292"/>
      <c r="G178" s="292"/>
      <c r="H178" s="292"/>
      <c r="I178" s="292"/>
      <c r="J178" s="305"/>
    </row>
    <row r="179" spans="1:10" ht="96.75" thickBot="1" x14ac:dyDescent="0.25">
      <c r="A179" s="875" t="s">
        <v>1028</v>
      </c>
      <c r="B179" s="876" t="s">
        <v>713</v>
      </c>
      <c r="C179" s="876" t="s">
        <v>1029</v>
      </c>
      <c r="D179" s="896" t="s">
        <v>1030</v>
      </c>
      <c r="E179" s="892">
        <v>102559.2</v>
      </c>
      <c r="F179" s="876" t="s">
        <v>1031</v>
      </c>
      <c r="G179" s="876" t="s">
        <v>651</v>
      </c>
      <c r="H179" s="893">
        <v>44098</v>
      </c>
      <c r="I179" s="876" t="s">
        <v>1032</v>
      </c>
      <c r="J179" s="897"/>
    </row>
    <row r="180" spans="1:10" ht="36" x14ac:dyDescent="0.2">
      <c r="A180" s="889" t="s">
        <v>1033</v>
      </c>
      <c r="B180" s="868" t="s">
        <v>648</v>
      </c>
      <c r="C180" s="868" t="s">
        <v>1029</v>
      </c>
      <c r="D180" s="894" t="s">
        <v>1034</v>
      </c>
      <c r="E180" s="890">
        <v>66587</v>
      </c>
      <c r="F180" s="868" t="s">
        <v>1035</v>
      </c>
      <c r="G180" s="868" t="s">
        <v>651</v>
      </c>
      <c r="H180" s="891">
        <v>44132</v>
      </c>
      <c r="I180" s="868" t="s">
        <v>1036</v>
      </c>
      <c r="J180" s="895"/>
    </row>
    <row r="181" spans="1:10" ht="72" x14ac:dyDescent="0.2">
      <c r="A181" s="286" t="s">
        <v>1037</v>
      </c>
      <c r="B181" s="287" t="s">
        <v>648</v>
      </c>
      <c r="C181" s="287" t="s">
        <v>1029</v>
      </c>
      <c r="D181" s="365" t="s">
        <v>1038</v>
      </c>
      <c r="E181" s="288">
        <v>296100</v>
      </c>
      <c r="F181" s="287" t="s">
        <v>1039</v>
      </c>
      <c r="G181" s="287" t="s">
        <v>651</v>
      </c>
      <c r="H181" s="289">
        <v>44468</v>
      </c>
      <c r="I181" s="287" t="s">
        <v>1040</v>
      </c>
      <c r="J181" s="308"/>
    </row>
    <row r="182" spans="1:10" ht="72" x14ac:dyDescent="0.2">
      <c r="A182" s="286" t="s">
        <v>1041</v>
      </c>
      <c r="B182" s="287" t="s">
        <v>648</v>
      </c>
      <c r="C182" s="287" t="s">
        <v>1029</v>
      </c>
      <c r="D182" s="365" t="s">
        <v>1042</v>
      </c>
      <c r="E182" s="288">
        <v>79500</v>
      </c>
      <c r="F182" s="287" t="s">
        <v>1043</v>
      </c>
      <c r="G182" s="287" t="s">
        <v>651</v>
      </c>
      <c r="H182" s="289">
        <v>44140</v>
      </c>
      <c r="I182" s="287" t="s">
        <v>1036</v>
      </c>
      <c r="J182" s="308"/>
    </row>
    <row r="183" spans="1:10" ht="36" x14ac:dyDescent="0.2">
      <c r="A183" s="286" t="s">
        <v>1044</v>
      </c>
      <c r="B183" s="287" t="s">
        <v>648</v>
      </c>
      <c r="C183" s="287" t="s">
        <v>1029</v>
      </c>
      <c r="D183" s="365" t="s">
        <v>1045</v>
      </c>
      <c r="E183" s="288">
        <v>97243.3</v>
      </c>
      <c r="F183" s="287" t="s">
        <v>1035</v>
      </c>
      <c r="G183" s="287" t="s">
        <v>651</v>
      </c>
      <c r="H183" s="289">
        <v>44166</v>
      </c>
      <c r="I183" s="287" t="s">
        <v>1036</v>
      </c>
      <c r="J183" s="308"/>
    </row>
    <row r="184" spans="1:10" ht="60" x14ac:dyDescent="0.2">
      <c r="A184" s="286" t="s">
        <v>1046</v>
      </c>
      <c r="B184" s="287" t="s">
        <v>648</v>
      </c>
      <c r="C184" s="287" t="s">
        <v>1029</v>
      </c>
      <c r="D184" s="365" t="s">
        <v>1047</v>
      </c>
      <c r="E184" s="288">
        <v>148100</v>
      </c>
      <c r="F184" s="287" t="s">
        <v>1048</v>
      </c>
      <c r="G184" s="287" t="s">
        <v>651</v>
      </c>
      <c r="H184" s="289">
        <v>44165</v>
      </c>
      <c r="I184" s="287" t="s">
        <v>1036</v>
      </c>
      <c r="J184" s="308"/>
    </row>
    <row r="185" spans="1:10" ht="48" x14ac:dyDescent="0.2">
      <c r="A185" s="286" t="s">
        <v>1049</v>
      </c>
      <c r="B185" s="287" t="s">
        <v>648</v>
      </c>
      <c r="C185" s="287" t="s">
        <v>1029</v>
      </c>
      <c r="D185" s="365" t="s">
        <v>1050</v>
      </c>
      <c r="E185" s="288">
        <v>137950.38</v>
      </c>
      <c r="F185" s="287" t="s">
        <v>1051</v>
      </c>
      <c r="G185" s="287" t="s">
        <v>651</v>
      </c>
      <c r="H185" s="289">
        <v>44166</v>
      </c>
      <c r="I185" s="287" t="s">
        <v>1036</v>
      </c>
      <c r="J185" s="308"/>
    </row>
    <row r="186" spans="1:10" ht="41.25" customHeight="1" x14ac:dyDescent="0.2">
      <c r="A186" s="286" t="s">
        <v>1052</v>
      </c>
      <c r="B186" s="287" t="s">
        <v>648</v>
      </c>
      <c r="C186" s="287" t="s">
        <v>1029</v>
      </c>
      <c r="D186" s="365" t="s">
        <v>1053</v>
      </c>
      <c r="E186" s="288">
        <v>70825</v>
      </c>
      <c r="F186" s="287" t="s">
        <v>1054</v>
      </c>
      <c r="G186" s="287" t="s">
        <v>651</v>
      </c>
      <c r="H186" s="289">
        <v>44183</v>
      </c>
      <c r="I186" s="287" t="s">
        <v>1055</v>
      </c>
      <c r="J186" s="308"/>
    </row>
    <row r="187" spans="1:10" ht="24" x14ac:dyDescent="0.2">
      <c r="A187" s="286" t="s">
        <v>1056</v>
      </c>
      <c r="B187" s="287" t="s">
        <v>648</v>
      </c>
      <c r="C187" s="287" t="s">
        <v>1029</v>
      </c>
      <c r="D187" s="365" t="s">
        <v>1057</v>
      </c>
      <c r="E187" s="288">
        <v>104555.1</v>
      </c>
      <c r="F187" s="287" t="s">
        <v>1058</v>
      </c>
      <c r="G187" s="287" t="s">
        <v>651</v>
      </c>
      <c r="H187" s="289">
        <v>44196</v>
      </c>
      <c r="I187" s="287" t="s">
        <v>1040</v>
      </c>
      <c r="J187" s="308"/>
    </row>
    <row r="188" spans="1:10" ht="36" x14ac:dyDescent="0.2">
      <c r="A188" s="286" t="s">
        <v>1059</v>
      </c>
      <c r="B188" s="287" t="s">
        <v>709</v>
      </c>
      <c r="C188" s="287" t="s">
        <v>1029</v>
      </c>
      <c r="D188" s="365" t="s">
        <v>1060</v>
      </c>
      <c r="E188" s="288">
        <v>129826.6</v>
      </c>
      <c r="F188" s="287" t="s">
        <v>1061</v>
      </c>
      <c r="G188" s="287" t="s">
        <v>651</v>
      </c>
      <c r="H188" s="289">
        <v>43945</v>
      </c>
      <c r="I188" s="287" t="s">
        <v>1062</v>
      </c>
      <c r="J188" s="308"/>
    </row>
    <row r="189" spans="1:10" ht="84" x14ac:dyDescent="0.2">
      <c r="A189" s="286" t="s">
        <v>1063</v>
      </c>
      <c r="B189" s="287" t="s">
        <v>709</v>
      </c>
      <c r="C189" s="287" t="s">
        <v>1029</v>
      </c>
      <c r="D189" s="365" t="s">
        <v>1064</v>
      </c>
      <c r="E189" s="288">
        <v>159838.79999999999</v>
      </c>
      <c r="F189" s="287" t="s">
        <v>1031</v>
      </c>
      <c r="G189" s="287" t="s">
        <v>651</v>
      </c>
      <c r="H189" s="289">
        <v>44098</v>
      </c>
      <c r="I189" s="287" t="s">
        <v>1032</v>
      </c>
      <c r="J189" s="308"/>
    </row>
    <row r="190" spans="1:10" ht="36" x14ac:dyDescent="0.2">
      <c r="A190" s="286" t="s">
        <v>1065</v>
      </c>
      <c r="B190" s="287" t="s">
        <v>648</v>
      </c>
      <c r="C190" s="287" t="s">
        <v>1029</v>
      </c>
      <c r="D190" s="365" t="s">
        <v>1066</v>
      </c>
      <c r="E190" s="288">
        <v>110874</v>
      </c>
      <c r="F190" s="287" t="s">
        <v>1067</v>
      </c>
      <c r="G190" s="287" t="s">
        <v>651</v>
      </c>
      <c r="H190" s="289">
        <v>44393</v>
      </c>
      <c r="I190" s="287" t="s">
        <v>1040</v>
      </c>
      <c r="J190" s="308"/>
    </row>
    <row r="191" spans="1:10" ht="36" x14ac:dyDescent="0.2">
      <c r="A191" s="286" t="s">
        <v>1068</v>
      </c>
      <c r="B191" s="287" t="s">
        <v>648</v>
      </c>
      <c r="C191" s="287" t="s">
        <v>1029</v>
      </c>
      <c r="D191" s="365" t="s">
        <v>1069</v>
      </c>
      <c r="E191" s="288">
        <v>140623</v>
      </c>
      <c r="F191" s="287" t="s">
        <v>1067</v>
      </c>
      <c r="G191" s="287" t="s">
        <v>651</v>
      </c>
      <c r="H191" s="289">
        <v>44273</v>
      </c>
      <c r="I191" s="287" t="s">
        <v>1040</v>
      </c>
      <c r="J191" s="308"/>
    </row>
    <row r="192" spans="1:10" ht="36" x14ac:dyDescent="0.2">
      <c r="A192" s="286" t="s">
        <v>1070</v>
      </c>
      <c r="B192" s="287" t="s">
        <v>648</v>
      </c>
      <c r="C192" s="287" t="s">
        <v>1029</v>
      </c>
      <c r="D192" s="365" t="s">
        <v>1071</v>
      </c>
      <c r="E192" s="288">
        <v>119646</v>
      </c>
      <c r="F192" s="287" t="s">
        <v>1072</v>
      </c>
      <c r="G192" s="287" t="s">
        <v>651</v>
      </c>
      <c r="H192" s="289">
        <v>44267</v>
      </c>
      <c r="I192" s="287" t="s">
        <v>1040</v>
      </c>
      <c r="J192" s="308"/>
    </row>
    <row r="193" spans="1:10" ht="48" x14ac:dyDescent="0.2">
      <c r="A193" s="286" t="s">
        <v>1073</v>
      </c>
      <c r="B193" s="287" t="s">
        <v>709</v>
      </c>
      <c r="C193" s="287" t="s">
        <v>1029</v>
      </c>
      <c r="D193" s="366" t="s">
        <v>1074</v>
      </c>
      <c r="E193" s="288">
        <v>206707.65</v>
      </c>
      <c r="F193" s="287" t="s">
        <v>1075</v>
      </c>
      <c r="G193" s="287" t="s">
        <v>651</v>
      </c>
      <c r="H193" s="289">
        <v>44330</v>
      </c>
      <c r="I193" s="287" t="s">
        <v>1076</v>
      </c>
      <c r="J193" s="308"/>
    </row>
    <row r="194" spans="1:10" ht="36" x14ac:dyDescent="0.2">
      <c r="A194" s="286" t="s">
        <v>1077</v>
      </c>
      <c r="B194" s="287" t="s">
        <v>713</v>
      </c>
      <c r="C194" s="287" t="s">
        <v>1029</v>
      </c>
      <c r="D194" s="365" t="s">
        <v>1078</v>
      </c>
      <c r="E194" s="288">
        <v>81000</v>
      </c>
      <c r="F194" s="287" t="s">
        <v>1079</v>
      </c>
      <c r="G194" s="287" t="s">
        <v>651</v>
      </c>
      <c r="H194" s="289">
        <v>44335</v>
      </c>
      <c r="I194" s="287" t="s">
        <v>1062</v>
      </c>
      <c r="J194" s="308"/>
    </row>
    <row r="195" spans="1:10" ht="48" x14ac:dyDescent="0.2">
      <c r="A195" s="286" t="s">
        <v>1080</v>
      </c>
      <c r="B195" s="287" t="s">
        <v>713</v>
      </c>
      <c r="C195" s="287" t="s">
        <v>1029</v>
      </c>
      <c r="D195" s="365" t="s">
        <v>1081</v>
      </c>
      <c r="E195" s="288">
        <v>150000</v>
      </c>
      <c r="F195" s="287" t="s">
        <v>1082</v>
      </c>
      <c r="G195" s="287" t="s">
        <v>651</v>
      </c>
      <c r="H195" s="289">
        <v>44361</v>
      </c>
      <c r="I195" s="287" t="s">
        <v>1076</v>
      </c>
      <c r="J195" s="308"/>
    </row>
    <row r="196" spans="1:10" ht="36" x14ac:dyDescent="0.2">
      <c r="A196" s="286" t="s">
        <v>1083</v>
      </c>
      <c r="B196" s="287" t="s">
        <v>705</v>
      </c>
      <c r="C196" s="287" t="s">
        <v>1029</v>
      </c>
      <c r="D196" s="365" t="s">
        <v>1084</v>
      </c>
      <c r="E196" s="288">
        <v>57350</v>
      </c>
      <c r="F196" s="287" t="s">
        <v>1085</v>
      </c>
      <c r="G196" s="287" t="s">
        <v>1086</v>
      </c>
      <c r="H196" s="287"/>
      <c r="I196" s="287"/>
      <c r="J196" s="308"/>
    </row>
    <row r="197" spans="1:10" ht="72.75" thickBot="1" x14ac:dyDescent="0.25">
      <c r="A197" s="875" t="s">
        <v>1087</v>
      </c>
      <c r="B197" s="876" t="s">
        <v>713</v>
      </c>
      <c r="C197" s="876" t="s">
        <v>1029</v>
      </c>
      <c r="D197" s="896" t="s">
        <v>1088</v>
      </c>
      <c r="E197" s="892">
        <v>124272.83</v>
      </c>
      <c r="F197" s="876"/>
      <c r="G197" s="876" t="s">
        <v>1089</v>
      </c>
      <c r="H197" s="876"/>
      <c r="I197" s="876"/>
      <c r="J197" s="897"/>
    </row>
    <row r="198" spans="1:10" ht="36" x14ac:dyDescent="0.2">
      <c r="A198" s="889" t="s">
        <v>1090</v>
      </c>
      <c r="B198" s="868" t="s">
        <v>713</v>
      </c>
      <c r="C198" s="868" t="s">
        <v>1029</v>
      </c>
      <c r="D198" s="894" t="s">
        <v>1091</v>
      </c>
      <c r="E198" s="890">
        <v>65205</v>
      </c>
      <c r="F198" s="868"/>
      <c r="G198" s="868" t="s">
        <v>1089</v>
      </c>
      <c r="H198" s="868"/>
      <c r="I198" s="868"/>
      <c r="J198" s="895"/>
    </row>
    <row r="199" spans="1:10" ht="24" x14ac:dyDescent="0.2">
      <c r="A199" s="286" t="s">
        <v>1092</v>
      </c>
      <c r="B199" s="287" t="s">
        <v>709</v>
      </c>
      <c r="C199" s="287" t="s">
        <v>1029</v>
      </c>
      <c r="D199" s="365"/>
      <c r="E199" s="288">
        <v>202000</v>
      </c>
      <c r="F199" s="287"/>
      <c r="G199" s="287"/>
      <c r="H199" s="287"/>
      <c r="I199" s="287"/>
      <c r="J199" s="308"/>
    </row>
    <row r="200" spans="1:10" ht="24" x14ac:dyDescent="0.2">
      <c r="A200" s="286" t="s">
        <v>1093</v>
      </c>
      <c r="B200" s="287" t="s">
        <v>713</v>
      </c>
      <c r="C200" s="287" t="s">
        <v>1029</v>
      </c>
      <c r="D200" s="365"/>
      <c r="E200" s="288">
        <v>120000</v>
      </c>
      <c r="F200" s="287"/>
      <c r="G200" s="287"/>
      <c r="H200" s="287"/>
      <c r="I200" s="287"/>
      <c r="J200" s="308"/>
    </row>
    <row r="201" spans="1:10" ht="24" x14ac:dyDescent="0.2">
      <c r="A201" s="286" t="s">
        <v>1094</v>
      </c>
      <c r="B201" s="287" t="s">
        <v>713</v>
      </c>
      <c r="C201" s="287" t="s">
        <v>1029</v>
      </c>
      <c r="D201" s="365"/>
      <c r="E201" s="288">
        <v>81000</v>
      </c>
      <c r="F201" s="287"/>
      <c r="G201" s="287"/>
      <c r="H201" s="287"/>
      <c r="I201" s="287"/>
      <c r="J201" s="308"/>
    </row>
    <row r="202" spans="1:10" ht="24" x14ac:dyDescent="0.2">
      <c r="A202" s="286" t="s">
        <v>1095</v>
      </c>
      <c r="B202" s="287" t="s">
        <v>713</v>
      </c>
      <c r="C202" s="287" t="s">
        <v>1029</v>
      </c>
      <c r="D202" s="365"/>
      <c r="E202" s="288">
        <v>180000</v>
      </c>
      <c r="F202" s="287"/>
      <c r="G202" s="287"/>
      <c r="H202" s="287"/>
      <c r="I202" s="287"/>
      <c r="J202" s="308"/>
    </row>
    <row r="203" spans="1:10" x14ac:dyDescent="0.2">
      <c r="A203" s="291" t="s">
        <v>1096</v>
      </c>
      <c r="B203" s="292"/>
      <c r="C203" s="292"/>
      <c r="D203" s="293"/>
      <c r="E203" s="294"/>
      <c r="F203" s="292"/>
      <c r="G203" s="292"/>
      <c r="H203" s="292"/>
      <c r="I203" s="295"/>
      <c r="J203" s="296"/>
    </row>
    <row r="204" spans="1:10" x14ac:dyDescent="0.2">
      <c r="A204" s="367" t="s">
        <v>1097</v>
      </c>
      <c r="B204" s="299" t="s">
        <v>1098</v>
      </c>
      <c r="C204" s="299" t="s">
        <v>1099</v>
      </c>
      <c r="D204" s="299" t="s">
        <v>1100</v>
      </c>
      <c r="E204" s="300">
        <v>57425</v>
      </c>
      <c r="F204" s="299">
        <v>20537991756</v>
      </c>
      <c r="G204" s="299" t="s">
        <v>1101</v>
      </c>
      <c r="H204" s="302">
        <v>43928</v>
      </c>
      <c r="I204" s="299"/>
      <c r="J204" s="303"/>
    </row>
    <row r="205" spans="1:10" x14ac:dyDescent="0.2">
      <c r="A205" s="367" t="s">
        <v>1102</v>
      </c>
      <c r="B205" s="299" t="s">
        <v>1098</v>
      </c>
      <c r="C205" s="299" t="s">
        <v>1099</v>
      </c>
      <c r="D205" s="299" t="s">
        <v>1103</v>
      </c>
      <c r="E205" s="300">
        <v>41000</v>
      </c>
      <c r="F205" s="299">
        <v>20605470310</v>
      </c>
      <c r="G205" s="299" t="s">
        <v>1101</v>
      </c>
      <c r="H205" s="302">
        <v>43979</v>
      </c>
      <c r="I205" s="299"/>
      <c r="J205" s="303"/>
    </row>
    <row r="206" spans="1:10" x14ac:dyDescent="0.2">
      <c r="A206" s="367" t="s">
        <v>1104</v>
      </c>
      <c r="B206" s="299" t="s">
        <v>1098</v>
      </c>
      <c r="C206" s="299" t="s">
        <v>1099</v>
      </c>
      <c r="D206" s="299" t="s">
        <v>1105</v>
      </c>
      <c r="E206" s="300">
        <v>57000</v>
      </c>
      <c r="F206" s="299">
        <v>20602176526</v>
      </c>
      <c r="G206" s="299" t="s">
        <v>1101</v>
      </c>
      <c r="H206" s="302">
        <v>43962</v>
      </c>
      <c r="I206" s="299"/>
      <c r="J206" s="303"/>
    </row>
    <row r="207" spans="1:10" x14ac:dyDescent="0.2">
      <c r="A207" s="367" t="s">
        <v>1106</v>
      </c>
      <c r="B207" s="299" t="s">
        <v>1098</v>
      </c>
      <c r="C207" s="299" t="s">
        <v>1099</v>
      </c>
      <c r="D207" s="299" t="s">
        <v>1107</v>
      </c>
      <c r="E207" s="300">
        <v>180000</v>
      </c>
      <c r="F207" s="299">
        <v>20537139120</v>
      </c>
      <c r="G207" s="299" t="s">
        <v>1101</v>
      </c>
      <c r="H207" s="302">
        <v>43962</v>
      </c>
      <c r="I207" s="299"/>
      <c r="J207" s="303"/>
    </row>
    <row r="208" spans="1:10" x14ac:dyDescent="0.2">
      <c r="A208" s="367" t="s">
        <v>1108</v>
      </c>
      <c r="B208" s="299" t="s">
        <v>1098</v>
      </c>
      <c r="C208" s="299" t="s">
        <v>1099</v>
      </c>
      <c r="D208" s="299" t="s">
        <v>1109</v>
      </c>
      <c r="E208" s="300">
        <v>55600</v>
      </c>
      <c r="F208" s="299">
        <v>20602243894</v>
      </c>
      <c r="G208" s="299" t="s">
        <v>1101</v>
      </c>
      <c r="H208" s="302">
        <v>44000</v>
      </c>
      <c r="I208" s="299"/>
      <c r="J208" s="303"/>
    </row>
    <row r="209" spans="1:10" x14ac:dyDescent="0.2">
      <c r="A209" s="367" t="s">
        <v>1110</v>
      </c>
      <c r="B209" s="299" t="s">
        <v>1098</v>
      </c>
      <c r="C209" s="299" t="s">
        <v>1099</v>
      </c>
      <c r="D209" s="299" t="s">
        <v>1111</v>
      </c>
      <c r="E209" s="300">
        <v>51577.8</v>
      </c>
      <c r="F209" s="299">
        <v>10443870178</v>
      </c>
      <c r="G209" s="299" t="s">
        <v>1101</v>
      </c>
      <c r="H209" s="302">
        <v>44008</v>
      </c>
      <c r="I209" s="299"/>
      <c r="J209" s="303"/>
    </row>
    <row r="210" spans="1:10" x14ac:dyDescent="0.2">
      <c r="A210" s="367" t="s">
        <v>1112</v>
      </c>
      <c r="B210" s="299" t="s">
        <v>1098</v>
      </c>
      <c r="C210" s="299" t="s">
        <v>1099</v>
      </c>
      <c r="D210" s="299" t="s">
        <v>1113</v>
      </c>
      <c r="E210" s="300">
        <v>48000</v>
      </c>
      <c r="F210" s="299">
        <v>20523717759</v>
      </c>
      <c r="G210" s="299" t="s">
        <v>1101</v>
      </c>
      <c r="H210" s="302">
        <v>44054</v>
      </c>
      <c r="I210" s="299"/>
      <c r="J210" s="303"/>
    </row>
    <row r="211" spans="1:10" x14ac:dyDescent="0.2">
      <c r="A211" s="367" t="s">
        <v>1114</v>
      </c>
      <c r="B211" s="299" t="s">
        <v>1098</v>
      </c>
      <c r="C211" s="299" t="s">
        <v>1099</v>
      </c>
      <c r="D211" s="299" t="s">
        <v>1115</v>
      </c>
      <c r="E211" s="300">
        <v>48000</v>
      </c>
      <c r="F211" s="299">
        <v>20566294240</v>
      </c>
      <c r="G211" s="299" t="s">
        <v>1101</v>
      </c>
      <c r="H211" s="302">
        <v>44131</v>
      </c>
      <c r="I211" s="299"/>
      <c r="J211" s="303"/>
    </row>
    <row r="212" spans="1:10" x14ac:dyDescent="0.2">
      <c r="A212" s="367" t="s">
        <v>1116</v>
      </c>
      <c r="B212" s="299" t="s">
        <v>1098</v>
      </c>
      <c r="C212" s="299" t="s">
        <v>1099</v>
      </c>
      <c r="D212" s="299" t="s">
        <v>1117</v>
      </c>
      <c r="E212" s="300">
        <v>75000</v>
      </c>
      <c r="F212" s="299">
        <v>20502130723</v>
      </c>
      <c r="G212" s="299" t="s">
        <v>1101</v>
      </c>
      <c r="H212" s="302">
        <v>44321</v>
      </c>
      <c r="I212" s="299"/>
      <c r="J212" s="303"/>
    </row>
    <row r="213" spans="1:10" x14ac:dyDescent="0.2">
      <c r="A213" s="367" t="s">
        <v>1118</v>
      </c>
      <c r="B213" s="299" t="s">
        <v>1098</v>
      </c>
      <c r="C213" s="299" t="s">
        <v>1099</v>
      </c>
      <c r="D213" s="299" t="s">
        <v>1119</v>
      </c>
      <c r="E213" s="300">
        <v>88000</v>
      </c>
      <c r="F213" s="299">
        <v>20601895103</v>
      </c>
      <c r="G213" s="299" t="s">
        <v>1101</v>
      </c>
      <c r="H213" s="302">
        <v>44321</v>
      </c>
      <c r="I213" s="299"/>
      <c r="J213" s="303"/>
    </row>
    <row r="214" spans="1:10" x14ac:dyDescent="0.2">
      <c r="A214" s="367" t="s">
        <v>1120</v>
      </c>
      <c r="B214" s="299" t="s">
        <v>1098</v>
      </c>
      <c r="C214" s="299" t="s">
        <v>1099</v>
      </c>
      <c r="D214" s="299" t="s">
        <v>1121</v>
      </c>
      <c r="E214" s="300">
        <v>55000</v>
      </c>
      <c r="F214" s="299">
        <v>20193831053</v>
      </c>
      <c r="G214" s="299" t="s">
        <v>1101</v>
      </c>
      <c r="H214" s="302">
        <v>44361</v>
      </c>
      <c r="I214" s="299"/>
      <c r="J214" s="303"/>
    </row>
    <row r="215" spans="1:10" x14ac:dyDescent="0.2">
      <c r="A215" s="367" t="s">
        <v>1122</v>
      </c>
      <c r="B215" s="299" t="s">
        <v>1098</v>
      </c>
      <c r="C215" s="299" t="s">
        <v>1099</v>
      </c>
      <c r="D215" s="299" t="s">
        <v>1123</v>
      </c>
      <c r="E215" s="300">
        <v>50000</v>
      </c>
      <c r="F215" s="299">
        <v>20502130723</v>
      </c>
      <c r="G215" s="299" t="s">
        <v>1101</v>
      </c>
      <c r="H215" s="302">
        <v>44399</v>
      </c>
      <c r="I215" s="299"/>
      <c r="J215" s="303"/>
    </row>
    <row r="216" spans="1:10" x14ac:dyDescent="0.2">
      <c r="A216" s="367" t="s">
        <v>1124</v>
      </c>
      <c r="B216" s="299" t="s">
        <v>1098</v>
      </c>
      <c r="C216" s="299" t="s">
        <v>1099</v>
      </c>
      <c r="D216" s="299" t="s">
        <v>1125</v>
      </c>
      <c r="E216" s="300">
        <v>54000</v>
      </c>
      <c r="F216" s="299">
        <v>20193831053</v>
      </c>
      <c r="G216" s="299" t="s">
        <v>1101</v>
      </c>
      <c r="H216" s="302">
        <v>44399</v>
      </c>
      <c r="I216" s="299"/>
      <c r="J216" s="303"/>
    </row>
    <row r="217" spans="1:10" x14ac:dyDescent="0.2">
      <c r="A217" s="367" t="s">
        <v>1126</v>
      </c>
      <c r="B217" s="299" t="s">
        <v>1098</v>
      </c>
      <c r="C217" s="299" t="s">
        <v>1099</v>
      </c>
      <c r="D217" s="299" t="s">
        <v>1127</v>
      </c>
      <c r="E217" s="300">
        <v>55650</v>
      </c>
      <c r="F217" s="299">
        <v>20538597121</v>
      </c>
      <c r="G217" s="299" t="s">
        <v>1101</v>
      </c>
      <c r="H217" s="302">
        <v>44411</v>
      </c>
      <c r="I217" s="299"/>
      <c r="J217" s="303"/>
    </row>
    <row r="218" spans="1:10" x14ac:dyDescent="0.2">
      <c r="A218" s="367" t="s">
        <v>1128</v>
      </c>
      <c r="B218" s="299" t="s">
        <v>1098</v>
      </c>
      <c r="C218" s="299" t="s">
        <v>1099</v>
      </c>
      <c r="D218" s="299" t="s">
        <v>1129</v>
      </c>
      <c r="E218" s="300">
        <v>65000</v>
      </c>
      <c r="F218" s="299">
        <v>20506388806</v>
      </c>
      <c r="G218" s="299" t="s">
        <v>1101</v>
      </c>
      <c r="H218" s="302">
        <v>44455</v>
      </c>
      <c r="I218" s="299"/>
      <c r="J218" s="303"/>
    </row>
    <row r="219" spans="1:10" x14ac:dyDescent="0.2">
      <c r="A219" s="367" t="s">
        <v>1130</v>
      </c>
      <c r="B219" s="299" t="s">
        <v>1131</v>
      </c>
      <c r="C219" s="299" t="s">
        <v>1099</v>
      </c>
      <c r="D219" s="299" t="s">
        <v>1132</v>
      </c>
      <c r="E219" s="300">
        <v>71338</v>
      </c>
      <c r="F219" s="299">
        <v>20350218689</v>
      </c>
      <c r="G219" s="299" t="s">
        <v>1101</v>
      </c>
      <c r="H219" s="302">
        <v>44365</v>
      </c>
      <c r="I219" s="299"/>
      <c r="J219" s="303"/>
    </row>
    <row r="220" spans="1:10" x14ac:dyDescent="0.2">
      <c r="A220" s="291" t="s">
        <v>1133</v>
      </c>
      <c r="B220" s="368"/>
      <c r="C220" s="368"/>
      <c r="D220" s="369"/>
      <c r="E220" s="370"/>
      <c r="F220" s="368"/>
      <c r="G220" s="368"/>
      <c r="H220" s="368"/>
      <c r="I220" s="368"/>
      <c r="J220" s="371"/>
    </row>
    <row r="221" spans="1:10" ht="24" x14ac:dyDescent="0.2">
      <c r="A221" s="367" t="s">
        <v>1134</v>
      </c>
      <c r="B221" s="287" t="s">
        <v>713</v>
      </c>
      <c r="C221" s="287" t="s">
        <v>1135</v>
      </c>
      <c r="D221" s="299">
        <v>1</v>
      </c>
      <c r="E221" s="300">
        <v>83160</v>
      </c>
      <c r="F221" s="299"/>
      <c r="G221" s="299" t="s">
        <v>1136</v>
      </c>
      <c r="H221" s="299"/>
      <c r="I221" s="299" t="s">
        <v>1137</v>
      </c>
      <c r="J221" s="303"/>
    </row>
    <row r="222" spans="1:10" ht="24" x14ac:dyDescent="0.2">
      <c r="A222" s="286" t="s">
        <v>1138</v>
      </c>
      <c r="B222" s="287" t="s">
        <v>709</v>
      </c>
      <c r="C222" s="287" t="s">
        <v>1135</v>
      </c>
      <c r="D222" s="299">
        <v>2</v>
      </c>
      <c r="E222" s="300">
        <v>204120</v>
      </c>
      <c r="F222" s="299"/>
      <c r="G222" s="299" t="s">
        <v>1136</v>
      </c>
      <c r="H222" s="299"/>
      <c r="I222" s="299" t="s">
        <v>1137</v>
      </c>
      <c r="J222" s="303"/>
    </row>
    <row r="223" spans="1:10" ht="24" x14ac:dyDescent="0.2">
      <c r="A223" s="286" t="s">
        <v>1139</v>
      </c>
      <c r="B223" s="287" t="s">
        <v>713</v>
      </c>
      <c r="C223" s="287" t="s">
        <v>1135</v>
      </c>
      <c r="D223" s="299">
        <v>3</v>
      </c>
      <c r="E223" s="300">
        <v>60360</v>
      </c>
      <c r="F223" s="299"/>
      <c r="G223" s="299" t="s">
        <v>1136</v>
      </c>
      <c r="H223" s="299"/>
      <c r="I223" s="302" t="s">
        <v>1140</v>
      </c>
      <c r="J223" s="303"/>
    </row>
    <row r="224" spans="1:10" ht="36" x14ac:dyDescent="0.2">
      <c r="A224" s="286" t="s">
        <v>1141</v>
      </c>
      <c r="B224" s="287" t="s">
        <v>713</v>
      </c>
      <c r="C224" s="287" t="s">
        <v>1135</v>
      </c>
      <c r="D224" s="299">
        <v>4</v>
      </c>
      <c r="E224" s="300">
        <v>180000</v>
      </c>
      <c r="F224" s="299"/>
      <c r="G224" s="299" t="s">
        <v>1136</v>
      </c>
      <c r="H224" s="299"/>
      <c r="I224" s="299" t="s">
        <v>1142</v>
      </c>
      <c r="J224" s="303"/>
    </row>
    <row r="225" spans="1:10" ht="24" x14ac:dyDescent="0.2">
      <c r="A225" s="286" t="s">
        <v>1143</v>
      </c>
      <c r="B225" s="299" t="s">
        <v>1144</v>
      </c>
      <c r="C225" s="299" t="s">
        <v>1145</v>
      </c>
      <c r="D225" s="299"/>
      <c r="E225" s="300">
        <v>24000</v>
      </c>
      <c r="F225" s="299"/>
      <c r="G225" s="299" t="s">
        <v>1136</v>
      </c>
      <c r="H225" s="299"/>
      <c r="I225" s="299" t="s">
        <v>1137</v>
      </c>
      <c r="J225" s="303"/>
    </row>
    <row r="226" spans="1:10" ht="24" x14ac:dyDescent="0.2">
      <c r="A226" s="286" t="s">
        <v>1146</v>
      </c>
      <c r="B226" s="287" t="s">
        <v>713</v>
      </c>
      <c r="C226" s="287" t="s">
        <v>1135</v>
      </c>
      <c r="D226" s="299">
        <v>5</v>
      </c>
      <c r="E226" s="300">
        <v>126000</v>
      </c>
      <c r="F226" s="299"/>
      <c r="G226" s="299" t="s">
        <v>1136</v>
      </c>
      <c r="H226" s="299"/>
      <c r="I226" s="299" t="s">
        <v>1147</v>
      </c>
      <c r="J226" s="303"/>
    </row>
    <row r="227" spans="1:10" ht="24" x14ac:dyDescent="0.2">
      <c r="A227" s="286" t="s">
        <v>1148</v>
      </c>
      <c r="B227" s="287" t="s">
        <v>713</v>
      </c>
      <c r="C227" s="287" t="s">
        <v>1135</v>
      </c>
      <c r="D227" s="299">
        <v>6</v>
      </c>
      <c r="E227" s="300">
        <v>38000</v>
      </c>
      <c r="F227" s="299"/>
      <c r="G227" s="299" t="s">
        <v>1136</v>
      </c>
      <c r="H227" s="299"/>
      <c r="I227" s="299" t="s">
        <v>1147</v>
      </c>
      <c r="J227" s="303"/>
    </row>
    <row r="228" spans="1:10" ht="24" x14ac:dyDescent="0.2">
      <c r="A228" s="286" t="s">
        <v>1149</v>
      </c>
      <c r="B228" s="287" t="s">
        <v>713</v>
      </c>
      <c r="C228" s="287" t="s">
        <v>1135</v>
      </c>
      <c r="D228" s="299">
        <v>7</v>
      </c>
      <c r="E228" s="288">
        <v>380000</v>
      </c>
      <c r="F228" s="299"/>
      <c r="G228" s="299" t="s">
        <v>1136</v>
      </c>
      <c r="H228" s="299"/>
      <c r="I228" s="299" t="s">
        <v>1140</v>
      </c>
      <c r="J228" s="303"/>
    </row>
    <row r="229" spans="1:10" ht="24" x14ac:dyDescent="0.2">
      <c r="A229" s="286" t="s">
        <v>1150</v>
      </c>
      <c r="B229" s="287" t="s">
        <v>713</v>
      </c>
      <c r="C229" s="287" t="s">
        <v>1135</v>
      </c>
      <c r="D229" s="299">
        <v>8</v>
      </c>
      <c r="E229" s="300">
        <v>120000</v>
      </c>
      <c r="F229" s="299"/>
      <c r="G229" s="299" t="s">
        <v>1136</v>
      </c>
      <c r="H229" s="299"/>
      <c r="I229" s="299" t="s">
        <v>1140</v>
      </c>
      <c r="J229" s="303"/>
    </row>
    <row r="230" spans="1:10" ht="24" x14ac:dyDescent="0.2">
      <c r="A230" s="286" t="s">
        <v>1151</v>
      </c>
      <c r="B230" s="287" t="s">
        <v>713</v>
      </c>
      <c r="C230" s="287" t="s">
        <v>1135</v>
      </c>
      <c r="D230" s="299">
        <v>9</v>
      </c>
      <c r="E230" s="300">
        <v>80000</v>
      </c>
      <c r="F230" s="299"/>
      <c r="G230" s="299" t="s">
        <v>1136</v>
      </c>
      <c r="H230" s="299"/>
      <c r="I230" s="299" t="s">
        <v>1147</v>
      </c>
      <c r="J230" s="303"/>
    </row>
    <row r="231" spans="1:10" x14ac:dyDescent="0.2">
      <c r="A231" s="367" t="s">
        <v>1152</v>
      </c>
      <c r="B231" s="287" t="s">
        <v>1153</v>
      </c>
      <c r="C231" s="299" t="s">
        <v>1154</v>
      </c>
      <c r="D231" s="299">
        <v>10</v>
      </c>
      <c r="E231" s="300">
        <v>50000</v>
      </c>
      <c r="F231" s="299"/>
      <c r="G231" s="299" t="s">
        <v>1136</v>
      </c>
      <c r="H231" s="299"/>
      <c r="I231" s="299" t="s">
        <v>1140</v>
      </c>
      <c r="J231" s="303"/>
    </row>
    <row r="232" spans="1:10" ht="24" x14ac:dyDescent="0.2">
      <c r="A232" s="286" t="s">
        <v>1155</v>
      </c>
      <c r="B232" s="287" t="s">
        <v>713</v>
      </c>
      <c r="C232" s="287" t="s">
        <v>1135</v>
      </c>
      <c r="D232" s="299">
        <v>11</v>
      </c>
      <c r="E232" s="288">
        <v>320000</v>
      </c>
      <c r="F232" s="299"/>
      <c r="G232" s="299" t="s">
        <v>1136</v>
      </c>
      <c r="H232" s="299"/>
      <c r="I232" s="299" t="s">
        <v>1156</v>
      </c>
      <c r="J232" s="303"/>
    </row>
    <row r="233" spans="1:10" ht="24" x14ac:dyDescent="0.2">
      <c r="A233" s="286" t="s">
        <v>1157</v>
      </c>
      <c r="B233" s="287" t="s">
        <v>713</v>
      </c>
      <c r="C233" s="287" t="s">
        <v>1135</v>
      </c>
      <c r="D233" s="299">
        <v>12</v>
      </c>
      <c r="E233" s="288">
        <v>65000</v>
      </c>
      <c r="F233" s="299"/>
      <c r="G233" s="299" t="s">
        <v>1136</v>
      </c>
      <c r="H233" s="299"/>
      <c r="I233" s="299" t="s">
        <v>1147</v>
      </c>
      <c r="J233" s="303"/>
    </row>
    <row r="234" spans="1:10" ht="30" customHeight="1" x14ac:dyDescent="0.2">
      <c r="A234" s="286" t="s">
        <v>1158</v>
      </c>
      <c r="B234" s="299" t="s">
        <v>1144</v>
      </c>
      <c r="C234" s="299" t="s">
        <v>1145</v>
      </c>
      <c r="D234" s="299"/>
      <c r="E234" s="300">
        <v>34608</v>
      </c>
      <c r="F234" s="287" t="s">
        <v>1159</v>
      </c>
      <c r="G234" s="299" t="s">
        <v>1160</v>
      </c>
      <c r="H234" s="302">
        <v>44333</v>
      </c>
      <c r="I234" s="299" t="s">
        <v>1161</v>
      </c>
      <c r="J234" s="303"/>
    </row>
    <row r="235" spans="1:10" ht="33.75" customHeight="1" x14ac:dyDescent="0.2">
      <c r="A235" s="286" t="s">
        <v>1162</v>
      </c>
      <c r="B235" s="299" t="s">
        <v>1144</v>
      </c>
      <c r="C235" s="299" t="s">
        <v>1145</v>
      </c>
      <c r="D235" s="372"/>
      <c r="E235" s="300">
        <v>17100</v>
      </c>
      <c r="F235" s="287" t="s">
        <v>1163</v>
      </c>
      <c r="G235" s="299" t="s">
        <v>1160</v>
      </c>
      <c r="H235" s="302">
        <v>44469</v>
      </c>
      <c r="I235" s="299" t="s">
        <v>1164</v>
      </c>
      <c r="J235" s="303"/>
    </row>
    <row r="236" spans="1:10" ht="24" x14ac:dyDescent="0.2">
      <c r="A236" s="286" t="s">
        <v>1165</v>
      </c>
      <c r="B236" s="299" t="s">
        <v>1144</v>
      </c>
      <c r="C236" s="299" t="s">
        <v>1145</v>
      </c>
      <c r="D236" s="372"/>
      <c r="E236" s="300">
        <v>24498</v>
      </c>
      <c r="F236" s="287" t="s">
        <v>1166</v>
      </c>
      <c r="G236" s="299" t="s">
        <v>1167</v>
      </c>
      <c r="H236" s="302">
        <v>43893</v>
      </c>
      <c r="I236" s="299" t="s">
        <v>1147</v>
      </c>
      <c r="J236" s="303"/>
    </row>
    <row r="237" spans="1:10" ht="36" x14ac:dyDescent="0.2">
      <c r="A237" s="286" t="s">
        <v>1168</v>
      </c>
      <c r="B237" s="299" t="s">
        <v>1144</v>
      </c>
      <c r="C237" s="299" t="s">
        <v>1145</v>
      </c>
      <c r="D237" s="372"/>
      <c r="E237" s="300">
        <v>20211.91</v>
      </c>
      <c r="F237" s="287" t="s">
        <v>1169</v>
      </c>
      <c r="G237" s="299" t="s">
        <v>1167</v>
      </c>
      <c r="H237" s="302">
        <v>43899</v>
      </c>
      <c r="I237" s="299" t="s">
        <v>1147</v>
      </c>
      <c r="J237" s="303"/>
    </row>
    <row r="238" spans="1:10" ht="24" x14ac:dyDescent="0.2">
      <c r="A238" s="286" t="s">
        <v>1170</v>
      </c>
      <c r="B238" s="299" t="s">
        <v>1144</v>
      </c>
      <c r="C238" s="299" t="s">
        <v>1145</v>
      </c>
      <c r="D238" s="372"/>
      <c r="E238" s="288">
        <v>22800</v>
      </c>
      <c r="F238" s="287" t="s">
        <v>1171</v>
      </c>
      <c r="G238" s="299" t="s">
        <v>1167</v>
      </c>
      <c r="H238" s="302">
        <v>43907</v>
      </c>
      <c r="I238" s="299" t="s">
        <v>1137</v>
      </c>
      <c r="J238" s="303"/>
    </row>
    <row r="239" spans="1:10" ht="24" x14ac:dyDescent="0.2">
      <c r="A239" s="286" t="s">
        <v>1172</v>
      </c>
      <c r="B239" s="299" t="s">
        <v>1144</v>
      </c>
      <c r="C239" s="299" t="s">
        <v>1145</v>
      </c>
      <c r="D239" s="372"/>
      <c r="E239" s="288">
        <v>5500</v>
      </c>
      <c r="F239" s="287" t="s">
        <v>1173</v>
      </c>
      <c r="G239" s="299" t="s">
        <v>1167</v>
      </c>
      <c r="H239" s="302">
        <v>44026</v>
      </c>
      <c r="I239" s="299" t="s">
        <v>1174</v>
      </c>
      <c r="J239" s="303"/>
    </row>
    <row r="240" spans="1:10" x14ac:dyDescent="0.2">
      <c r="A240" s="291" t="s">
        <v>1175</v>
      </c>
      <c r="B240" s="292"/>
      <c r="C240" s="292"/>
      <c r="D240" s="293"/>
      <c r="E240" s="294"/>
      <c r="F240" s="292"/>
      <c r="G240" s="292"/>
      <c r="H240" s="292"/>
      <c r="I240" s="295"/>
      <c r="J240" s="296"/>
    </row>
    <row r="241" spans="1:10" ht="48" x14ac:dyDescent="0.2">
      <c r="A241" s="286" t="s">
        <v>1176</v>
      </c>
      <c r="B241" s="287" t="s">
        <v>768</v>
      </c>
      <c r="C241" s="299" t="s">
        <v>801</v>
      </c>
      <c r="D241" s="299">
        <v>1</v>
      </c>
      <c r="E241" s="300">
        <v>144000</v>
      </c>
      <c r="F241" s="287" t="s">
        <v>1177</v>
      </c>
      <c r="G241" s="299" t="s">
        <v>1178</v>
      </c>
      <c r="H241" s="302">
        <v>44312</v>
      </c>
      <c r="I241" s="302">
        <v>44313</v>
      </c>
      <c r="J241" s="303"/>
    </row>
    <row r="242" spans="1:10" ht="24" x14ac:dyDescent="0.2">
      <c r="A242" s="286" t="s">
        <v>1179</v>
      </c>
      <c r="B242" s="287" t="s">
        <v>1180</v>
      </c>
      <c r="C242" s="299" t="s">
        <v>801</v>
      </c>
      <c r="D242" s="299">
        <v>1</v>
      </c>
      <c r="E242" s="300">
        <v>57600</v>
      </c>
      <c r="F242" s="287" t="s">
        <v>1181</v>
      </c>
      <c r="G242" s="299" t="s">
        <v>1182</v>
      </c>
      <c r="H242" s="302">
        <v>44323</v>
      </c>
      <c r="I242" s="302">
        <v>44324</v>
      </c>
      <c r="J242" s="303"/>
    </row>
    <row r="243" spans="1:10" ht="24" x14ac:dyDescent="0.2">
      <c r="A243" s="286" t="s">
        <v>1183</v>
      </c>
      <c r="B243" s="287" t="s">
        <v>709</v>
      </c>
      <c r="C243" s="299" t="s">
        <v>1184</v>
      </c>
      <c r="D243" s="299">
        <v>1</v>
      </c>
      <c r="E243" s="300">
        <f>90196.9+42663.65</f>
        <v>132860.54999999999</v>
      </c>
      <c r="F243" s="287" t="s">
        <v>1185</v>
      </c>
      <c r="G243" s="299" t="s">
        <v>1178</v>
      </c>
      <c r="H243" s="302">
        <v>44361</v>
      </c>
      <c r="I243" s="302">
        <v>44362</v>
      </c>
      <c r="J243" s="303"/>
    </row>
    <row r="244" spans="1:10" ht="48" x14ac:dyDescent="0.2">
      <c r="A244" s="286" t="s">
        <v>1186</v>
      </c>
      <c r="B244" s="287" t="s">
        <v>950</v>
      </c>
      <c r="C244" s="299" t="s">
        <v>801</v>
      </c>
      <c r="D244" s="299">
        <v>1</v>
      </c>
      <c r="E244" s="300">
        <v>51975</v>
      </c>
      <c r="F244" s="287" t="s">
        <v>1187</v>
      </c>
      <c r="G244" s="299" t="s">
        <v>1178</v>
      </c>
      <c r="H244" s="302">
        <v>44355</v>
      </c>
      <c r="I244" s="302">
        <v>44356</v>
      </c>
      <c r="J244" s="303"/>
    </row>
    <row r="245" spans="1:10" ht="48" x14ac:dyDescent="0.2">
      <c r="A245" s="286" t="s">
        <v>1188</v>
      </c>
      <c r="B245" s="287" t="s">
        <v>1180</v>
      </c>
      <c r="C245" s="299" t="s">
        <v>801</v>
      </c>
      <c r="D245" s="299">
        <v>2</v>
      </c>
      <c r="E245" s="300">
        <v>49500</v>
      </c>
      <c r="F245" s="299" t="s">
        <v>1189</v>
      </c>
      <c r="G245" s="299" t="s">
        <v>1182</v>
      </c>
      <c r="H245" s="302">
        <v>44362</v>
      </c>
      <c r="I245" s="302">
        <v>44367</v>
      </c>
      <c r="J245" s="303"/>
    </row>
    <row r="246" spans="1:10" ht="24" x14ac:dyDescent="0.2">
      <c r="A246" s="286" t="s">
        <v>1190</v>
      </c>
      <c r="B246" s="287" t="s">
        <v>950</v>
      </c>
      <c r="C246" s="299" t="s">
        <v>1184</v>
      </c>
      <c r="D246" s="299">
        <v>2</v>
      </c>
      <c r="E246" s="300">
        <v>140292</v>
      </c>
      <c r="F246" s="299" t="s">
        <v>1191</v>
      </c>
      <c r="G246" s="299" t="s">
        <v>1182</v>
      </c>
      <c r="H246" s="302">
        <v>44424</v>
      </c>
      <c r="I246" s="302">
        <v>44434</v>
      </c>
      <c r="J246" s="303"/>
    </row>
    <row r="247" spans="1:10" ht="71.25" customHeight="1" x14ac:dyDescent="0.2">
      <c r="A247" s="286" t="s">
        <v>1192</v>
      </c>
      <c r="B247" s="287" t="s">
        <v>709</v>
      </c>
      <c r="C247" s="299" t="s">
        <v>801</v>
      </c>
      <c r="D247" s="299">
        <v>2</v>
      </c>
      <c r="E247" s="300">
        <v>203623</v>
      </c>
      <c r="F247" s="299" t="s">
        <v>1193</v>
      </c>
      <c r="G247" s="299" t="s">
        <v>1182</v>
      </c>
      <c r="H247" s="302">
        <v>44440</v>
      </c>
      <c r="I247" s="302">
        <v>44454</v>
      </c>
      <c r="J247" s="303"/>
    </row>
    <row r="248" spans="1:10" ht="36" x14ac:dyDescent="0.2">
      <c r="A248" s="286" t="s">
        <v>1194</v>
      </c>
      <c r="B248" s="287" t="s">
        <v>768</v>
      </c>
      <c r="C248" s="299" t="s">
        <v>1184</v>
      </c>
      <c r="D248" s="299">
        <v>3</v>
      </c>
      <c r="E248" s="300">
        <v>108200</v>
      </c>
      <c r="F248" s="299" t="s">
        <v>1195</v>
      </c>
      <c r="G248" s="299" t="s">
        <v>1182</v>
      </c>
      <c r="H248" s="287" t="s">
        <v>1196</v>
      </c>
      <c r="I248" s="302">
        <v>44423</v>
      </c>
      <c r="J248" s="303"/>
    </row>
    <row r="249" spans="1:10" ht="24" x14ac:dyDescent="0.2">
      <c r="A249" s="286" t="s">
        <v>1197</v>
      </c>
      <c r="B249" s="287" t="s">
        <v>950</v>
      </c>
      <c r="C249" s="299" t="s">
        <v>1184</v>
      </c>
      <c r="D249" s="299">
        <v>3</v>
      </c>
      <c r="E249" s="300">
        <v>49880</v>
      </c>
      <c r="F249" s="287" t="s">
        <v>1198</v>
      </c>
      <c r="G249" s="299" t="s">
        <v>1182</v>
      </c>
      <c r="H249" s="287" t="s">
        <v>1199</v>
      </c>
      <c r="I249" s="302">
        <v>44444</v>
      </c>
      <c r="J249" s="303"/>
    </row>
    <row r="250" spans="1:10" ht="48" x14ac:dyDescent="0.2">
      <c r="A250" s="286" t="s">
        <v>1200</v>
      </c>
      <c r="B250" s="287" t="s">
        <v>1180</v>
      </c>
      <c r="C250" s="299" t="s">
        <v>1184</v>
      </c>
      <c r="D250" s="299">
        <v>4</v>
      </c>
      <c r="E250" s="349"/>
      <c r="F250" s="299"/>
      <c r="G250" s="287" t="s">
        <v>1201</v>
      </c>
      <c r="H250" s="299"/>
      <c r="I250" s="299"/>
      <c r="J250" s="303"/>
    </row>
    <row r="251" spans="1:10" ht="24" x14ac:dyDescent="0.2">
      <c r="A251" s="286" t="s">
        <v>1202</v>
      </c>
      <c r="B251" s="287" t="s">
        <v>1180</v>
      </c>
      <c r="C251" s="299" t="s">
        <v>1184</v>
      </c>
      <c r="D251" s="299">
        <v>5</v>
      </c>
      <c r="E251" s="300">
        <v>65973.919999999998</v>
      </c>
      <c r="F251" s="299" t="s">
        <v>1203</v>
      </c>
      <c r="G251" s="299" t="s">
        <v>1182</v>
      </c>
      <c r="H251" s="302">
        <v>44390</v>
      </c>
      <c r="I251" s="302">
        <v>44395</v>
      </c>
      <c r="J251" s="303"/>
    </row>
    <row r="252" spans="1:10" ht="24" x14ac:dyDescent="0.2">
      <c r="A252" s="286" t="s">
        <v>1204</v>
      </c>
      <c r="B252" s="287" t="s">
        <v>1180</v>
      </c>
      <c r="C252" s="299" t="s">
        <v>1184</v>
      </c>
      <c r="D252" s="299">
        <v>6</v>
      </c>
      <c r="E252" s="300">
        <v>65156</v>
      </c>
      <c r="F252" s="287" t="s">
        <v>1205</v>
      </c>
      <c r="G252" s="299" t="s">
        <v>1182</v>
      </c>
      <c r="H252" s="302">
        <v>44386</v>
      </c>
      <c r="I252" s="302">
        <v>44392</v>
      </c>
      <c r="J252" s="303"/>
    </row>
    <row r="253" spans="1:10" ht="36" x14ac:dyDescent="0.2">
      <c r="A253" s="286" t="s">
        <v>1206</v>
      </c>
      <c r="B253" s="287" t="s">
        <v>1180</v>
      </c>
      <c r="C253" s="299" t="s">
        <v>1184</v>
      </c>
      <c r="D253" s="299">
        <v>7</v>
      </c>
      <c r="E253" s="300">
        <v>43785</v>
      </c>
      <c r="F253" s="287" t="s">
        <v>1207</v>
      </c>
      <c r="G253" s="299" t="s">
        <v>1178</v>
      </c>
      <c r="H253" s="302">
        <v>44468</v>
      </c>
      <c r="I253" s="299"/>
      <c r="J253" s="303"/>
    </row>
    <row r="254" spans="1:10" x14ac:dyDescent="0.2">
      <c r="A254" s="291" t="s">
        <v>1208</v>
      </c>
      <c r="B254" s="292"/>
      <c r="C254" s="292"/>
      <c r="D254" s="293"/>
      <c r="E254" s="294"/>
      <c r="F254" s="292"/>
      <c r="G254" s="292"/>
      <c r="H254" s="292"/>
      <c r="I254" s="295"/>
      <c r="J254" s="296"/>
    </row>
    <row r="255" spans="1:10" ht="36" x14ac:dyDescent="0.2">
      <c r="A255" s="345" t="s">
        <v>1209</v>
      </c>
      <c r="B255" s="299" t="s">
        <v>1210</v>
      </c>
      <c r="C255" s="299" t="s">
        <v>786</v>
      </c>
      <c r="D255" s="373"/>
      <c r="E255" s="374">
        <v>33870</v>
      </c>
      <c r="F255" s="375" t="s">
        <v>1211</v>
      </c>
      <c r="G255" s="299" t="s">
        <v>798</v>
      </c>
      <c r="H255" s="302">
        <v>43943</v>
      </c>
      <c r="I255" s="302">
        <v>43953</v>
      </c>
      <c r="J255" s="376"/>
    </row>
    <row r="256" spans="1:10" ht="60" x14ac:dyDescent="0.2">
      <c r="A256" s="345" t="s">
        <v>1212</v>
      </c>
      <c r="B256" s="299" t="s">
        <v>1210</v>
      </c>
      <c r="C256" s="299" t="s">
        <v>786</v>
      </c>
      <c r="D256" s="373"/>
      <c r="E256" s="374">
        <v>33083.300000000003</v>
      </c>
      <c r="F256" s="375" t="s">
        <v>1213</v>
      </c>
      <c r="G256" s="299" t="s">
        <v>798</v>
      </c>
      <c r="H256" s="302">
        <v>43962</v>
      </c>
      <c r="I256" s="302">
        <v>43976</v>
      </c>
      <c r="J256" s="376"/>
    </row>
    <row r="257" spans="1:10" ht="36" x14ac:dyDescent="0.2">
      <c r="A257" s="345" t="s">
        <v>1214</v>
      </c>
      <c r="B257" s="299" t="s">
        <v>1210</v>
      </c>
      <c r="C257" s="299" t="s">
        <v>786</v>
      </c>
      <c r="D257" s="373"/>
      <c r="E257" s="374">
        <v>34334</v>
      </c>
      <c r="F257" s="375" t="s">
        <v>1211</v>
      </c>
      <c r="G257" s="299" t="s">
        <v>798</v>
      </c>
      <c r="H257" s="302">
        <v>43984</v>
      </c>
      <c r="I257" s="302">
        <v>43994</v>
      </c>
      <c r="J257" s="376"/>
    </row>
    <row r="258" spans="1:10" ht="48" x14ac:dyDescent="0.2">
      <c r="A258" s="345" t="s">
        <v>1215</v>
      </c>
      <c r="B258" s="299" t="s">
        <v>1210</v>
      </c>
      <c r="C258" s="299" t="s">
        <v>786</v>
      </c>
      <c r="D258" s="373"/>
      <c r="E258" s="374">
        <v>25000</v>
      </c>
      <c r="F258" s="375" t="s">
        <v>1216</v>
      </c>
      <c r="G258" s="299" t="s">
        <v>798</v>
      </c>
      <c r="H258" s="302">
        <v>43999</v>
      </c>
      <c r="I258" s="302">
        <v>44006</v>
      </c>
      <c r="J258" s="376"/>
    </row>
    <row r="259" spans="1:10" ht="24" x14ac:dyDescent="0.2">
      <c r="A259" s="345" t="s">
        <v>1217</v>
      </c>
      <c r="B259" s="299" t="s">
        <v>648</v>
      </c>
      <c r="C259" s="299" t="s">
        <v>1218</v>
      </c>
      <c r="D259" s="373"/>
      <c r="E259" s="374">
        <v>46640</v>
      </c>
      <c r="F259" s="375" t="s">
        <v>1219</v>
      </c>
      <c r="G259" s="299" t="s">
        <v>798</v>
      </c>
      <c r="H259" s="302">
        <v>44012</v>
      </c>
      <c r="I259" s="302">
        <v>44022</v>
      </c>
      <c r="J259" s="376"/>
    </row>
    <row r="260" spans="1:10" ht="24" x14ac:dyDescent="0.2">
      <c r="A260" s="345" t="s">
        <v>1220</v>
      </c>
      <c r="B260" s="299" t="s">
        <v>648</v>
      </c>
      <c r="C260" s="299" t="s">
        <v>1218</v>
      </c>
      <c r="D260" s="373"/>
      <c r="E260" s="374">
        <v>48600</v>
      </c>
      <c r="F260" s="375" t="s">
        <v>1221</v>
      </c>
      <c r="G260" s="299" t="s">
        <v>798</v>
      </c>
      <c r="H260" s="302">
        <v>44024</v>
      </c>
      <c r="I260" s="299"/>
      <c r="J260" s="376"/>
    </row>
    <row r="261" spans="1:10" ht="24" x14ac:dyDescent="0.2">
      <c r="A261" s="345" t="s">
        <v>1222</v>
      </c>
      <c r="B261" s="299" t="s">
        <v>648</v>
      </c>
      <c r="C261" s="299" t="s">
        <v>1218</v>
      </c>
      <c r="D261" s="377"/>
      <c r="E261" s="374">
        <v>48200</v>
      </c>
      <c r="F261" s="375" t="s">
        <v>1223</v>
      </c>
      <c r="G261" s="299" t="s">
        <v>798</v>
      </c>
      <c r="H261" s="302">
        <v>44025</v>
      </c>
      <c r="I261" s="302">
        <v>44045</v>
      </c>
      <c r="J261" s="376"/>
    </row>
    <row r="262" spans="1:10" ht="24" x14ac:dyDescent="0.2">
      <c r="A262" s="345" t="s">
        <v>1224</v>
      </c>
      <c r="B262" s="299" t="s">
        <v>648</v>
      </c>
      <c r="C262" s="299" t="s">
        <v>1218</v>
      </c>
      <c r="D262" s="373"/>
      <c r="E262" s="374">
        <v>71265.600000000006</v>
      </c>
      <c r="F262" s="375" t="s">
        <v>1225</v>
      </c>
      <c r="G262" s="299" t="s">
        <v>798</v>
      </c>
      <c r="H262" s="302">
        <v>44027</v>
      </c>
      <c r="I262" s="302">
        <v>44042</v>
      </c>
      <c r="J262" s="376"/>
    </row>
    <row r="263" spans="1:10" ht="36" x14ac:dyDescent="0.2">
      <c r="A263" s="345" t="s">
        <v>1226</v>
      </c>
      <c r="B263" s="299" t="s">
        <v>1210</v>
      </c>
      <c r="C263" s="299" t="s">
        <v>786</v>
      </c>
      <c r="D263" s="373"/>
      <c r="E263" s="374">
        <v>29458.799999999999</v>
      </c>
      <c r="F263" s="375" t="s">
        <v>1227</v>
      </c>
      <c r="G263" s="299" t="s">
        <v>798</v>
      </c>
      <c r="H263" s="302">
        <v>44027</v>
      </c>
      <c r="I263" s="302">
        <v>44042</v>
      </c>
      <c r="J263" s="376"/>
    </row>
    <row r="264" spans="1:10" ht="24" x14ac:dyDescent="0.2">
      <c r="A264" s="345" t="s">
        <v>1228</v>
      </c>
      <c r="B264" s="299" t="s">
        <v>648</v>
      </c>
      <c r="C264" s="299" t="s">
        <v>1218</v>
      </c>
      <c r="D264" s="373"/>
      <c r="E264" s="374">
        <v>48272</v>
      </c>
      <c r="F264" s="375" t="s">
        <v>1229</v>
      </c>
      <c r="G264" s="299" t="s">
        <v>798</v>
      </c>
      <c r="H264" s="302">
        <v>44027</v>
      </c>
      <c r="I264" s="302">
        <v>44042</v>
      </c>
      <c r="J264" s="376"/>
    </row>
    <row r="265" spans="1:10" ht="36.75" thickBot="1" x14ac:dyDescent="0.25">
      <c r="A265" s="886" t="s">
        <v>1230</v>
      </c>
      <c r="B265" s="877" t="s">
        <v>648</v>
      </c>
      <c r="C265" s="877" t="s">
        <v>1218</v>
      </c>
      <c r="D265" s="902"/>
      <c r="E265" s="903">
        <v>168000</v>
      </c>
      <c r="F265" s="904" t="s">
        <v>1231</v>
      </c>
      <c r="G265" s="877" t="s">
        <v>798</v>
      </c>
      <c r="H265" s="881">
        <v>44027</v>
      </c>
      <c r="I265" s="881">
        <v>44042</v>
      </c>
      <c r="J265" s="905"/>
    </row>
    <row r="266" spans="1:10" ht="24" x14ac:dyDescent="0.2">
      <c r="A266" s="883" t="s">
        <v>1232</v>
      </c>
      <c r="B266" s="869" t="s">
        <v>648</v>
      </c>
      <c r="C266" s="869" t="s">
        <v>1218</v>
      </c>
      <c r="D266" s="898"/>
      <c r="E266" s="899">
        <v>39275.599999999999</v>
      </c>
      <c r="F266" s="900" t="s">
        <v>1229</v>
      </c>
      <c r="G266" s="869" t="s">
        <v>798</v>
      </c>
      <c r="H266" s="873">
        <v>44029</v>
      </c>
      <c r="I266" s="873">
        <v>44057</v>
      </c>
      <c r="J266" s="901"/>
    </row>
    <row r="267" spans="1:10" ht="24" x14ac:dyDescent="0.2">
      <c r="A267" s="345" t="s">
        <v>1233</v>
      </c>
      <c r="B267" s="299" t="s">
        <v>1210</v>
      </c>
      <c r="C267" s="299" t="s">
        <v>786</v>
      </c>
      <c r="D267" s="373"/>
      <c r="E267" s="374">
        <v>18000</v>
      </c>
      <c r="F267" s="375" t="s">
        <v>1234</v>
      </c>
      <c r="G267" s="299" t="s">
        <v>798</v>
      </c>
      <c r="H267" s="302">
        <v>44033</v>
      </c>
      <c r="I267" s="302">
        <v>44048</v>
      </c>
      <c r="J267" s="376"/>
    </row>
    <row r="268" spans="1:10" ht="36" x14ac:dyDescent="0.2">
      <c r="A268" s="345" t="s">
        <v>1235</v>
      </c>
      <c r="B268" s="299" t="s">
        <v>648</v>
      </c>
      <c r="C268" s="299" t="s">
        <v>1218</v>
      </c>
      <c r="D268" s="373"/>
      <c r="E268" s="374">
        <v>39000</v>
      </c>
      <c r="F268" s="375" t="s">
        <v>1236</v>
      </c>
      <c r="G268" s="299" t="s">
        <v>798</v>
      </c>
      <c r="H268" s="302">
        <v>44034</v>
      </c>
      <c r="I268" s="302">
        <v>44054</v>
      </c>
      <c r="J268" s="376"/>
    </row>
    <row r="269" spans="1:10" ht="36" x14ac:dyDescent="0.2">
      <c r="A269" s="345" t="s">
        <v>1237</v>
      </c>
      <c r="B269" s="299" t="s">
        <v>648</v>
      </c>
      <c r="C269" s="299" t="s">
        <v>1218</v>
      </c>
      <c r="D269" s="373"/>
      <c r="E269" s="374">
        <v>57200</v>
      </c>
      <c r="F269" s="375" t="s">
        <v>1236</v>
      </c>
      <c r="G269" s="299" t="s">
        <v>798</v>
      </c>
      <c r="H269" s="302">
        <v>44043</v>
      </c>
      <c r="I269" s="302">
        <v>44053</v>
      </c>
      <c r="J269" s="376"/>
    </row>
    <row r="270" spans="1:10" ht="24" x14ac:dyDescent="0.2">
      <c r="A270" s="345" t="s">
        <v>1238</v>
      </c>
      <c r="B270" s="299" t="s">
        <v>648</v>
      </c>
      <c r="C270" s="299" t="s">
        <v>1218</v>
      </c>
      <c r="D270" s="373"/>
      <c r="E270" s="374">
        <v>78496</v>
      </c>
      <c r="F270" s="375" t="s">
        <v>1239</v>
      </c>
      <c r="G270" s="299" t="s">
        <v>798</v>
      </c>
      <c r="H270" s="302">
        <v>44043</v>
      </c>
      <c r="I270" s="299"/>
      <c r="J270" s="376"/>
    </row>
    <row r="271" spans="1:10" ht="48" x14ac:dyDescent="0.2">
      <c r="A271" s="345" t="s">
        <v>1240</v>
      </c>
      <c r="B271" s="299" t="s">
        <v>648</v>
      </c>
      <c r="C271" s="299" t="s">
        <v>1218</v>
      </c>
      <c r="D271" s="373"/>
      <c r="E271" s="374">
        <v>54000</v>
      </c>
      <c r="F271" s="375" t="s">
        <v>1241</v>
      </c>
      <c r="G271" s="299" t="s">
        <v>798</v>
      </c>
      <c r="H271" s="302">
        <v>44047</v>
      </c>
      <c r="I271" s="302">
        <v>44062</v>
      </c>
      <c r="J271" s="376"/>
    </row>
    <row r="272" spans="1:10" ht="24" x14ac:dyDescent="0.2">
      <c r="A272" s="345" t="s">
        <v>1242</v>
      </c>
      <c r="B272" s="299" t="s">
        <v>648</v>
      </c>
      <c r="C272" s="299" t="s">
        <v>1218</v>
      </c>
      <c r="D272" s="373"/>
      <c r="E272" s="374">
        <v>45000</v>
      </c>
      <c r="F272" s="375" t="s">
        <v>1243</v>
      </c>
      <c r="G272" s="299" t="s">
        <v>798</v>
      </c>
      <c r="H272" s="302">
        <v>44047</v>
      </c>
      <c r="I272" s="299"/>
      <c r="J272" s="376"/>
    </row>
    <row r="273" spans="1:10" ht="36" x14ac:dyDescent="0.2">
      <c r="A273" s="345" t="s">
        <v>1244</v>
      </c>
      <c r="B273" s="299" t="s">
        <v>1210</v>
      </c>
      <c r="C273" s="299"/>
      <c r="D273" s="373"/>
      <c r="E273" s="374">
        <v>32345.7</v>
      </c>
      <c r="F273" s="375" t="s">
        <v>1236</v>
      </c>
      <c r="G273" s="299" t="s">
        <v>798</v>
      </c>
      <c r="H273" s="302">
        <v>44074</v>
      </c>
      <c r="I273" s="302">
        <v>44094</v>
      </c>
      <c r="J273" s="376"/>
    </row>
    <row r="274" spans="1:10" ht="36" x14ac:dyDescent="0.2">
      <c r="A274" s="345" t="s">
        <v>1245</v>
      </c>
      <c r="B274" s="299" t="s">
        <v>648</v>
      </c>
      <c r="C274" s="299" t="s">
        <v>1218</v>
      </c>
      <c r="D274" s="373"/>
      <c r="E274" s="374">
        <v>134100</v>
      </c>
      <c r="F274" s="375" t="s">
        <v>1246</v>
      </c>
      <c r="G274" s="299" t="s">
        <v>798</v>
      </c>
      <c r="H274" s="302">
        <v>44179</v>
      </c>
      <c r="I274" s="302">
        <v>44209</v>
      </c>
      <c r="J274" s="376"/>
    </row>
    <row r="275" spans="1:10" ht="36" x14ac:dyDescent="0.2">
      <c r="A275" s="345" t="s">
        <v>1247</v>
      </c>
      <c r="B275" s="299" t="s">
        <v>648</v>
      </c>
      <c r="C275" s="299" t="s">
        <v>1218</v>
      </c>
      <c r="D275" s="373"/>
      <c r="E275" s="374">
        <v>75000</v>
      </c>
      <c r="F275" s="375" t="s">
        <v>1248</v>
      </c>
      <c r="G275" s="299" t="s">
        <v>798</v>
      </c>
      <c r="H275" s="302">
        <v>44179</v>
      </c>
      <c r="I275" s="302">
        <v>44199</v>
      </c>
      <c r="J275" s="376"/>
    </row>
    <row r="276" spans="1:10" ht="36" x14ac:dyDescent="0.2">
      <c r="A276" s="345" t="s">
        <v>1249</v>
      </c>
      <c r="B276" s="299" t="s">
        <v>648</v>
      </c>
      <c r="C276" s="299" t="s">
        <v>1218</v>
      </c>
      <c r="D276" s="373"/>
      <c r="E276" s="374">
        <v>86540</v>
      </c>
      <c r="F276" s="375" t="s">
        <v>1236</v>
      </c>
      <c r="G276" s="299" t="s">
        <v>798</v>
      </c>
      <c r="H276" s="302">
        <v>44179</v>
      </c>
      <c r="I276" s="299" t="s">
        <v>1250</v>
      </c>
      <c r="J276" s="376"/>
    </row>
    <row r="277" spans="1:10" ht="48" x14ac:dyDescent="0.2">
      <c r="A277" s="345" t="s">
        <v>1251</v>
      </c>
      <c r="B277" s="299" t="s">
        <v>648</v>
      </c>
      <c r="C277" s="299" t="s">
        <v>1218</v>
      </c>
      <c r="D277" s="373"/>
      <c r="E277" s="374">
        <v>44700</v>
      </c>
      <c r="F277" s="375" t="s">
        <v>1246</v>
      </c>
      <c r="G277" s="299" t="s">
        <v>798</v>
      </c>
      <c r="H277" s="302">
        <v>44179</v>
      </c>
      <c r="I277" s="302">
        <v>44209</v>
      </c>
      <c r="J277" s="376"/>
    </row>
    <row r="278" spans="1:10" ht="36" x14ac:dyDescent="0.2">
      <c r="A278" s="345" t="s">
        <v>1252</v>
      </c>
      <c r="B278" s="299" t="s">
        <v>1210</v>
      </c>
      <c r="C278" s="299" t="s">
        <v>786</v>
      </c>
      <c r="D278" s="373"/>
      <c r="E278" s="374">
        <v>35000</v>
      </c>
      <c r="F278" s="375" t="s">
        <v>1253</v>
      </c>
      <c r="G278" s="299" t="s">
        <v>798</v>
      </c>
      <c r="H278" s="302">
        <v>44370</v>
      </c>
      <c r="I278" s="302">
        <v>44400</v>
      </c>
      <c r="J278" s="376"/>
    </row>
    <row r="279" spans="1:10" ht="36" x14ac:dyDescent="0.2">
      <c r="A279" s="345" t="s">
        <v>1254</v>
      </c>
      <c r="B279" s="299" t="s">
        <v>648</v>
      </c>
      <c r="C279" s="299" t="s">
        <v>1218</v>
      </c>
      <c r="D279" s="373"/>
      <c r="E279" s="374">
        <v>47001.599999999999</v>
      </c>
      <c r="F279" s="375" t="s">
        <v>1239</v>
      </c>
      <c r="G279" s="299" t="s">
        <v>798</v>
      </c>
      <c r="H279" s="302">
        <v>44379</v>
      </c>
      <c r="I279" s="299"/>
      <c r="J279" s="376"/>
    </row>
    <row r="280" spans="1:10" ht="36" x14ac:dyDescent="0.2">
      <c r="A280" s="345" t="s">
        <v>1255</v>
      </c>
      <c r="B280" s="299" t="s">
        <v>648</v>
      </c>
      <c r="C280" s="299" t="s">
        <v>1218</v>
      </c>
      <c r="D280" s="373"/>
      <c r="E280" s="374">
        <v>49120</v>
      </c>
      <c r="F280" s="375" t="s">
        <v>1256</v>
      </c>
      <c r="G280" s="299" t="s">
        <v>798</v>
      </c>
      <c r="H280" s="302">
        <v>44454</v>
      </c>
      <c r="I280" s="302">
        <v>44469</v>
      </c>
      <c r="J280" s="376"/>
    </row>
    <row r="281" spans="1:10" ht="24" x14ac:dyDescent="0.2">
      <c r="A281" s="345" t="s">
        <v>1257</v>
      </c>
      <c r="B281" s="299" t="s">
        <v>1210</v>
      </c>
      <c r="C281" s="299" t="s">
        <v>786</v>
      </c>
      <c r="D281" s="373"/>
      <c r="E281" s="374">
        <v>35160</v>
      </c>
      <c r="F281" s="375" t="s">
        <v>1236</v>
      </c>
      <c r="G281" s="299" t="s">
        <v>1258</v>
      </c>
      <c r="H281" s="302">
        <v>44454</v>
      </c>
      <c r="I281" s="302">
        <v>44479</v>
      </c>
      <c r="J281" s="376"/>
    </row>
    <row r="282" spans="1:10" ht="72" x14ac:dyDescent="0.2">
      <c r="A282" s="345" t="s">
        <v>1259</v>
      </c>
      <c r="B282" s="299" t="s">
        <v>648</v>
      </c>
      <c r="C282" s="299" t="s">
        <v>1218</v>
      </c>
      <c r="D282" s="373"/>
      <c r="E282" s="374">
        <v>128465</v>
      </c>
      <c r="F282" s="375" t="s">
        <v>1260</v>
      </c>
      <c r="G282" s="299" t="s">
        <v>1258</v>
      </c>
      <c r="H282" s="302">
        <v>44469</v>
      </c>
      <c r="I282" s="302">
        <v>44529</v>
      </c>
      <c r="J282" s="376"/>
    </row>
    <row r="283" spans="1:10" ht="16.5" customHeight="1" thickBot="1" x14ac:dyDescent="0.25">
      <c r="A283" s="378" t="s">
        <v>2</v>
      </c>
      <c r="B283" s="378"/>
      <c r="C283" s="378"/>
      <c r="D283" s="378"/>
      <c r="E283" s="379"/>
      <c r="F283" s="378"/>
      <c r="G283" s="378"/>
      <c r="H283" s="378"/>
      <c r="I283" s="378"/>
      <c r="J283" s="378"/>
    </row>
    <row r="284" spans="1:10" x14ac:dyDescent="0.2">
      <c r="A284" s="223"/>
      <c r="B284" s="223"/>
      <c r="C284" s="223"/>
      <c r="D284" s="223"/>
      <c r="E284" s="274"/>
      <c r="F284" s="223"/>
      <c r="G284" s="223"/>
    </row>
    <row r="285" spans="1:10" x14ac:dyDescent="0.2">
      <c r="A285" s="380"/>
      <c r="B285" s="381"/>
      <c r="C285" s="381"/>
      <c r="D285" s="380"/>
      <c r="E285" s="382"/>
      <c r="F285" s="381"/>
      <c r="G285" s="223"/>
    </row>
    <row r="286" spans="1:10" x14ac:dyDescent="0.2">
      <c r="A286" s="380"/>
    </row>
    <row r="287" spans="1:10" x14ac:dyDescent="0.2">
      <c r="A287" s="380"/>
    </row>
    <row r="288" spans="1:10" x14ac:dyDescent="0.2">
      <c r="A288" s="380"/>
    </row>
  </sheetData>
  <mergeCells count="4">
    <mergeCell ref="B109:B111"/>
    <mergeCell ref="C109:C111"/>
    <mergeCell ref="D109:D111"/>
    <mergeCell ref="E109:E111"/>
  </mergeCells>
  <phoneticPr fontId="13" type="noConversion"/>
  <printOptions horizontalCentered="1"/>
  <pageMargins left="0.23622047244094491" right="0.23622047244094491" top="0.74803149606299213" bottom="0.74803149606299213" header="0.31496062992125984" footer="0.31496062992125984"/>
  <pageSetup paperSize="9" scale="58" fitToHeight="0" orientation="landscape" r:id="rId1"/>
  <headerFooter alignWithMargins="0">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1">
    <tabColor theme="9" tint="-0.249977111117893"/>
    <pageSetUpPr fitToPage="1"/>
  </sheetPr>
  <dimension ref="A1:W133"/>
  <sheetViews>
    <sheetView topLeftCell="A70" zoomScaleNormal="100" zoomScaleSheetLayoutView="100" zoomScalePageLayoutView="85" workbookViewId="0">
      <selection activeCell="C77" sqref="C77"/>
    </sheetView>
  </sheetViews>
  <sheetFormatPr baseColWidth="10" defaultColWidth="11.42578125" defaultRowHeight="12" x14ac:dyDescent="0.2"/>
  <cols>
    <col min="1" max="1" width="44.5703125" style="50" customWidth="1"/>
    <col min="2" max="2" width="38.85546875" style="50" bestFit="1" customWidth="1"/>
    <col min="3" max="3" width="31.140625" style="50" customWidth="1"/>
    <col min="4" max="4" width="23.28515625" style="50" customWidth="1"/>
    <col min="5" max="5" width="22.28515625" style="50" customWidth="1"/>
    <col min="6" max="6" width="32.85546875" style="50" customWidth="1"/>
    <col min="7" max="7" width="39.5703125" style="50" customWidth="1"/>
    <col min="8" max="8" width="23.5703125" style="50" customWidth="1"/>
    <col min="9" max="16384" width="11.42578125" style="50"/>
  </cols>
  <sheetData>
    <row r="1" spans="1:23" x14ac:dyDescent="0.2">
      <c r="A1" s="230" t="s">
        <v>447</v>
      </c>
      <c r="B1" s="230"/>
      <c r="C1" s="230"/>
      <c r="D1" s="230"/>
      <c r="E1" s="230"/>
      <c r="F1" s="230"/>
      <c r="G1" s="230"/>
    </row>
    <row r="2" spans="1:23" x14ac:dyDescent="0.2">
      <c r="A2" s="230" t="s">
        <v>642</v>
      </c>
      <c r="B2" s="230"/>
      <c r="C2" s="230"/>
      <c r="D2" s="230"/>
      <c r="E2" s="230"/>
      <c r="F2" s="230"/>
      <c r="G2" s="230"/>
      <c r="H2" s="230"/>
      <c r="I2" s="230"/>
      <c r="J2" s="230"/>
      <c r="K2" s="230"/>
      <c r="L2" s="230"/>
      <c r="M2" s="230"/>
      <c r="N2" s="230"/>
      <c r="O2" s="230"/>
      <c r="P2" s="230"/>
      <c r="Q2" s="230"/>
      <c r="R2" s="230"/>
      <c r="S2" s="230"/>
      <c r="T2" s="230"/>
      <c r="U2" s="230"/>
      <c r="V2" s="230"/>
      <c r="W2" s="230"/>
    </row>
    <row r="3" spans="1:23" ht="12.75" thickBot="1" x14ac:dyDescent="0.25">
      <c r="A3" s="4"/>
      <c r="B3" s="4"/>
      <c r="C3" s="4"/>
      <c r="D3" s="384"/>
      <c r="E3" s="384"/>
      <c r="F3" s="384"/>
    </row>
    <row r="4" spans="1:23" ht="12.75" thickBot="1" x14ac:dyDescent="0.25">
      <c r="A4" s="1114" t="s">
        <v>50</v>
      </c>
      <c r="B4" s="1114" t="s">
        <v>374</v>
      </c>
      <c r="C4" s="1114" t="s">
        <v>375</v>
      </c>
      <c r="D4" s="107" t="s">
        <v>473</v>
      </c>
      <c r="E4" s="107" t="s">
        <v>474</v>
      </c>
      <c r="F4" s="813" t="s">
        <v>1261</v>
      </c>
      <c r="G4" s="1114" t="s">
        <v>65</v>
      </c>
      <c r="H4" s="1114" t="s">
        <v>129</v>
      </c>
    </row>
    <row r="5" spans="1:23" ht="12.75" customHeight="1" thickBot="1" x14ac:dyDescent="0.25">
      <c r="A5" s="1115"/>
      <c r="B5" s="1115"/>
      <c r="C5" s="1115"/>
      <c r="D5" s="108" t="s">
        <v>372</v>
      </c>
      <c r="E5" s="108" t="s">
        <v>372</v>
      </c>
      <c r="F5" s="108" t="s">
        <v>372</v>
      </c>
      <c r="G5" s="1116"/>
      <c r="H5" s="1116"/>
    </row>
    <row r="6" spans="1:23" ht="23.25" customHeight="1" x14ac:dyDescent="0.2">
      <c r="A6" s="281" t="s">
        <v>1262</v>
      </c>
      <c r="B6" s="283"/>
      <c r="C6" s="283"/>
      <c r="D6" s="385"/>
      <c r="E6" s="385"/>
      <c r="F6" s="385"/>
      <c r="G6" s="385"/>
      <c r="H6" s="386"/>
    </row>
    <row r="7" spans="1:23" ht="90" x14ac:dyDescent="0.2">
      <c r="A7" s="930" t="s">
        <v>1263</v>
      </c>
      <c r="B7" s="388" t="s">
        <v>1264</v>
      </c>
      <c r="C7" s="389"/>
      <c r="D7" s="390">
        <v>186480</v>
      </c>
      <c r="E7" s="391"/>
      <c r="F7" s="391"/>
      <c r="G7" s="387" t="s">
        <v>1263</v>
      </c>
      <c r="H7" s="392" t="s">
        <v>1265</v>
      </c>
    </row>
    <row r="8" spans="1:23" ht="78.75" x14ac:dyDescent="0.2">
      <c r="A8" s="930" t="s">
        <v>1266</v>
      </c>
      <c r="B8" s="389"/>
      <c r="C8" s="388" t="s">
        <v>1267</v>
      </c>
      <c r="D8" s="391"/>
      <c r="E8" s="391">
        <v>29659.25</v>
      </c>
      <c r="F8" s="391"/>
      <c r="G8" s="387" t="s">
        <v>1266</v>
      </c>
      <c r="H8" s="392" t="s">
        <v>1268</v>
      </c>
    </row>
    <row r="9" spans="1:23" ht="78.75" x14ac:dyDescent="0.2">
      <c r="A9" s="930" t="s">
        <v>1269</v>
      </c>
      <c r="B9" s="387"/>
      <c r="C9" s="387" t="s">
        <v>1270</v>
      </c>
      <c r="D9" s="393"/>
      <c r="E9" s="391"/>
      <c r="F9" s="391"/>
      <c r="G9" s="387" t="s">
        <v>1269</v>
      </c>
      <c r="H9" s="392" t="s">
        <v>1268</v>
      </c>
    </row>
    <row r="10" spans="1:23" ht="78.75" x14ac:dyDescent="0.2">
      <c r="A10" s="930" t="s">
        <v>1271</v>
      </c>
      <c r="B10" s="387" t="s">
        <v>1272</v>
      </c>
      <c r="C10" s="389"/>
      <c r="D10" s="391"/>
      <c r="E10" s="391">
        <v>984148.58</v>
      </c>
      <c r="F10" s="391"/>
      <c r="G10" s="387" t="s">
        <v>1271</v>
      </c>
      <c r="H10" s="392" t="s">
        <v>1273</v>
      </c>
    </row>
    <row r="11" spans="1:23" ht="56.25" x14ac:dyDescent="0.2">
      <c r="A11" s="930" t="s">
        <v>1274</v>
      </c>
      <c r="B11" s="387" t="s">
        <v>1275</v>
      </c>
      <c r="C11" s="389"/>
      <c r="D11" s="391">
        <v>133290</v>
      </c>
      <c r="E11" s="391"/>
      <c r="F11" s="391"/>
      <c r="G11" s="387" t="s">
        <v>1274</v>
      </c>
      <c r="H11" s="392" t="s">
        <v>1265</v>
      </c>
    </row>
    <row r="12" spans="1:23" ht="67.5" x14ac:dyDescent="0.2">
      <c r="A12" s="930" t="s">
        <v>1276</v>
      </c>
      <c r="B12" s="387" t="s">
        <v>1277</v>
      </c>
      <c r="C12" s="387"/>
      <c r="D12" s="393"/>
      <c r="E12" s="391"/>
      <c r="F12" s="391"/>
      <c r="G12" s="387" t="s">
        <v>1276</v>
      </c>
      <c r="H12" s="392" t="s">
        <v>1278</v>
      </c>
    </row>
    <row r="13" spans="1:23" ht="67.5" x14ac:dyDescent="0.2">
      <c r="A13" s="930" t="s">
        <v>1279</v>
      </c>
      <c r="B13" s="388" t="s">
        <v>1280</v>
      </c>
      <c r="C13" s="389"/>
      <c r="D13" s="391"/>
      <c r="E13" s="391"/>
      <c r="F13" s="391"/>
      <c r="G13" s="387" t="s">
        <v>1279</v>
      </c>
      <c r="H13" s="392" t="s">
        <v>1265</v>
      </c>
    </row>
    <row r="14" spans="1:23" ht="56.25" x14ac:dyDescent="0.2">
      <c r="A14" s="930" t="s">
        <v>1281</v>
      </c>
      <c r="B14" s="388" t="s">
        <v>1282</v>
      </c>
      <c r="C14" s="389"/>
      <c r="D14" s="391"/>
      <c r="E14" s="391"/>
      <c r="F14" s="391"/>
      <c r="G14" s="387" t="s">
        <v>1281</v>
      </c>
      <c r="H14" s="392" t="s">
        <v>1278</v>
      </c>
    </row>
    <row r="15" spans="1:23" ht="78.75" x14ac:dyDescent="0.2">
      <c r="A15" s="931" t="s">
        <v>1283</v>
      </c>
      <c r="B15" s="388" t="s">
        <v>1284</v>
      </c>
      <c r="C15" s="394"/>
      <c r="D15" s="391"/>
      <c r="E15" s="391"/>
      <c r="F15" s="391"/>
      <c r="G15" s="387" t="s">
        <v>1283</v>
      </c>
      <c r="H15" s="392" t="s">
        <v>1285</v>
      </c>
    </row>
    <row r="16" spans="1:23" ht="18.75" customHeight="1" x14ac:dyDescent="0.2">
      <c r="A16" s="395" t="s">
        <v>739</v>
      </c>
      <c r="B16" s="395"/>
      <c r="C16" s="395"/>
      <c r="D16" s="396"/>
      <c r="E16" s="914"/>
      <c r="F16" s="397"/>
      <c r="G16" s="398"/>
      <c r="H16" s="398"/>
    </row>
    <row r="17" spans="1:8" x14ac:dyDescent="0.2">
      <c r="A17" s="1120" t="s">
        <v>1286</v>
      </c>
      <c r="B17" s="1117" t="s">
        <v>105</v>
      </c>
      <c r="C17" s="1117">
        <v>43834709</v>
      </c>
      <c r="D17" s="1122">
        <v>53389.84</v>
      </c>
      <c r="E17" s="1121"/>
      <c r="F17" s="1117"/>
      <c r="G17" s="1118" t="s">
        <v>1287</v>
      </c>
      <c r="H17" s="1119" t="s">
        <v>1288</v>
      </c>
    </row>
    <row r="18" spans="1:8" x14ac:dyDescent="0.2">
      <c r="A18" s="1120"/>
      <c r="B18" s="1117"/>
      <c r="C18" s="1117"/>
      <c r="D18" s="1122"/>
      <c r="E18" s="1121"/>
      <c r="F18" s="1117"/>
      <c r="G18" s="1118"/>
      <c r="H18" s="1119"/>
    </row>
    <row r="19" spans="1:8" x14ac:dyDescent="0.2">
      <c r="A19" s="1120" t="s">
        <v>1286</v>
      </c>
      <c r="B19" s="1117" t="s">
        <v>105</v>
      </c>
      <c r="C19" s="1117">
        <v>17536053</v>
      </c>
      <c r="D19" s="1121">
        <v>61016.95</v>
      </c>
      <c r="E19" s="1121"/>
      <c r="F19" s="1117"/>
      <c r="G19" s="1118" t="s">
        <v>1289</v>
      </c>
      <c r="H19" s="1119" t="s">
        <v>1288</v>
      </c>
    </row>
    <row r="20" spans="1:8" x14ac:dyDescent="0.2">
      <c r="A20" s="1120"/>
      <c r="B20" s="1117"/>
      <c r="C20" s="1117"/>
      <c r="D20" s="1121"/>
      <c r="E20" s="1121"/>
      <c r="F20" s="1117"/>
      <c r="G20" s="1118"/>
      <c r="H20" s="1119"/>
    </row>
    <row r="21" spans="1:8" x14ac:dyDescent="0.2">
      <c r="A21" s="1120" t="s">
        <v>1286</v>
      </c>
      <c r="B21" s="1117" t="s">
        <v>105</v>
      </c>
      <c r="C21" s="1117">
        <v>40067376</v>
      </c>
      <c r="D21" s="1121">
        <v>113969.3</v>
      </c>
      <c r="E21" s="1121"/>
      <c r="F21" s="1117"/>
      <c r="G21" s="1118" t="s">
        <v>1290</v>
      </c>
      <c r="H21" s="1119" t="s">
        <v>1291</v>
      </c>
    </row>
    <row r="22" spans="1:8" x14ac:dyDescent="0.2">
      <c r="A22" s="1120"/>
      <c r="B22" s="1117"/>
      <c r="C22" s="1117"/>
      <c r="D22" s="1121"/>
      <c r="E22" s="1121"/>
      <c r="F22" s="1117"/>
      <c r="G22" s="1118"/>
      <c r="H22" s="1119"/>
    </row>
    <row r="23" spans="1:8" x14ac:dyDescent="0.2">
      <c r="A23" s="1120" t="s">
        <v>1286</v>
      </c>
      <c r="B23" s="1117">
        <v>20602068413</v>
      </c>
      <c r="C23" s="1117"/>
      <c r="D23" s="1121">
        <v>149842.26</v>
      </c>
      <c r="E23" s="1121"/>
      <c r="F23" s="1117"/>
      <c r="G23" s="1118" t="s">
        <v>1292</v>
      </c>
      <c r="H23" s="1119" t="s">
        <v>1291</v>
      </c>
    </row>
    <row r="24" spans="1:8" x14ac:dyDescent="0.2">
      <c r="A24" s="1120"/>
      <c r="B24" s="1117"/>
      <c r="C24" s="1117"/>
      <c r="D24" s="1121"/>
      <c r="E24" s="1121"/>
      <c r="F24" s="1117"/>
      <c r="G24" s="1118"/>
      <c r="H24" s="1119"/>
    </row>
    <row r="25" spans="1:8" x14ac:dyDescent="0.2">
      <c r="A25" s="1120" t="s">
        <v>1286</v>
      </c>
      <c r="B25" s="1117">
        <v>20487419754</v>
      </c>
      <c r="C25" s="1117"/>
      <c r="D25" s="1121">
        <v>95679.14</v>
      </c>
      <c r="E25" s="1121"/>
      <c r="F25" s="1117"/>
      <c r="G25" s="1118" t="s">
        <v>1293</v>
      </c>
      <c r="H25" s="1119" t="s">
        <v>1291</v>
      </c>
    </row>
    <row r="26" spans="1:8" x14ac:dyDescent="0.2">
      <c r="A26" s="1120"/>
      <c r="B26" s="1117"/>
      <c r="C26" s="1117"/>
      <c r="D26" s="1121"/>
      <c r="E26" s="1121"/>
      <c r="F26" s="1117"/>
      <c r="G26" s="1118"/>
      <c r="H26" s="1119"/>
    </row>
    <row r="27" spans="1:8" x14ac:dyDescent="0.2">
      <c r="A27" s="1120" t="s">
        <v>1286</v>
      </c>
      <c r="B27" s="1117">
        <v>20607839884</v>
      </c>
      <c r="C27" s="1117"/>
      <c r="D27" s="1121"/>
      <c r="E27" s="1121">
        <v>216608.65</v>
      </c>
      <c r="F27" s="1117"/>
      <c r="G27" s="1118" t="s">
        <v>1294</v>
      </c>
      <c r="H27" s="1119" t="s">
        <v>1291</v>
      </c>
    </row>
    <row r="28" spans="1:8" x14ac:dyDescent="0.2">
      <c r="A28" s="1120"/>
      <c r="B28" s="1117"/>
      <c r="C28" s="1117"/>
      <c r="D28" s="1121"/>
      <c r="E28" s="1121"/>
      <c r="F28" s="1117"/>
      <c r="G28" s="1118"/>
      <c r="H28" s="1119"/>
    </row>
    <row r="29" spans="1:8" x14ac:dyDescent="0.2">
      <c r="A29" s="1120" t="s">
        <v>1286</v>
      </c>
      <c r="B29" s="1117">
        <v>20601510368</v>
      </c>
      <c r="C29" s="1117"/>
      <c r="D29" s="1121"/>
      <c r="E29" s="1123">
        <v>55935.199999999997</v>
      </c>
      <c r="F29" s="1117"/>
      <c r="G29" s="1118" t="s">
        <v>1295</v>
      </c>
      <c r="H29" s="1119" t="s">
        <v>1288</v>
      </c>
    </row>
    <row r="30" spans="1:8" x14ac:dyDescent="0.2">
      <c r="A30" s="1120"/>
      <c r="B30" s="1117"/>
      <c r="C30" s="1117"/>
      <c r="D30" s="1121"/>
      <c r="E30" s="1123"/>
      <c r="F30" s="1117"/>
      <c r="G30" s="1118"/>
      <c r="H30" s="1119"/>
    </row>
    <row r="31" spans="1:8" x14ac:dyDescent="0.2">
      <c r="A31" s="1120" t="s">
        <v>1286</v>
      </c>
      <c r="B31" s="1117"/>
      <c r="C31" s="1117">
        <v>17536053</v>
      </c>
      <c r="D31" s="1121"/>
      <c r="E31" s="1121">
        <v>48555.01</v>
      </c>
      <c r="F31" s="1117"/>
      <c r="G31" s="1118" t="s">
        <v>1296</v>
      </c>
      <c r="H31" s="1119" t="s">
        <v>1288</v>
      </c>
    </row>
    <row r="32" spans="1:8" ht="19.5" customHeight="1" x14ac:dyDescent="0.2">
      <c r="A32" s="1120"/>
      <c r="B32" s="1117"/>
      <c r="C32" s="1117"/>
      <c r="D32" s="1121"/>
      <c r="E32" s="1121"/>
      <c r="F32" s="1117"/>
      <c r="G32" s="1118"/>
      <c r="H32" s="1119"/>
    </row>
    <row r="33" spans="1:8" x14ac:dyDescent="0.2">
      <c r="A33" s="1120" t="s">
        <v>1286</v>
      </c>
      <c r="B33" s="1117" t="s">
        <v>1297</v>
      </c>
      <c r="C33" s="1117" t="s">
        <v>1297</v>
      </c>
      <c r="D33" s="1121"/>
      <c r="E33" s="1121">
        <v>225031.24</v>
      </c>
      <c r="F33" s="1117"/>
      <c r="G33" s="1118" t="s">
        <v>1298</v>
      </c>
      <c r="H33" s="1119" t="s">
        <v>1288</v>
      </c>
    </row>
    <row r="34" spans="1:8" x14ac:dyDescent="0.2">
      <c r="A34" s="1120"/>
      <c r="B34" s="1117"/>
      <c r="C34" s="1117"/>
      <c r="D34" s="1121"/>
      <c r="E34" s="1121"/>
      <c r="F34" s="1117"/>
      <c r="G34" s="1118"/>
      <c r="H34" s="1119"/>
    </row>
    <row r="35" spans="1:8" x14ac:dyDescent="0.2">
      <c r="A35" s="1120" t="s">
        <v>1286</v>
      </c>
      <c r="B35" s="1117" t="s">
        <v>1299</v>
      </c>
      <c r="C35" s="1117" t="s">
        <v>1299</v>
      </c>
      <c r="D35" s="1121"/>
      <c r="E35" s="1121">
        <v>394480.53</v>
      </c>
      <c r="F35" s="1117"/>
      <c r="G35" s="1118" t="s">
        <v>1300</v>
      </c>
      <c r="H35" s="1119" t="s">
        <v>1288</v>
      </c>
    </row>
    <row r="36" spans="1:8" x14ac:dyDescent="0.2">
      <c r="A36" s="1120"/>
      <c r="B36" s="1117"/>
      <c r="C36" s="1117"/>
      <c r="D36" s="1121"/>
      <c r="E36" s="1121"/>
      <c r="F36" s="1117"/>
      <c r="G36" s="1118"/>
      <c r="H36" s="1119"/>
    </row>
    <row r="37" spans="1:8" ht="20.25" customHeight="1" x14ac:dyDescent="0.2">
      <c r="A37" s="395" t="s">
        <v>741</v>
      </c>
      <c r="B37" s="395"/>
      <c r="C37" s="395"/>
      <c r="D37" s="396"/>
      <c r="E37" s="914"/>
      <c r="F37" s="397"/>
      <c r="G37" s="398"/>
      <c r="H37" s="398"/>
    </row>
    <row r="38" spans="1:8" ht="45" x14ac:dyDescent="0.2">
      <c r="A38" s="915" t="s">
        <v>1301</v>
      </c>
      <c r="B38" s="810" t="s">
        <v>1302</v>
      </c>
      <c r="C38" s="809" t="s">
        <v>1303</v>
      </c>
      <c r="D38" s="400">
        <v>30000</v>
      </c>
      <c r="E38" s="401"/>
      <c r="F38" s="401"/>
      <c r="G38" s="810" t="s">
        <v>1304</v>
      </c>
      <c r="H38" s="928"/>
    </row>
    <row r="39" spans="1:8" ht="45" x14ac:dyDescent="0.2">
      <c r="A39" s="915" t="s">
        <v>1305</v>
      </c>
      <c r="B39" s="810" t="s">
        <v>1306</v>
      </c>
      <c r="C39" s="809" t="s">
        <v>1303</v>
      </c>
      <c r="D39" s="400">
        <v>30000</v>
      </c>
      <c r="E39" s="401"/>
      <c r="F39" s="401"/>
      <c r="G39" s="810" t="s">
        <v>1304</v>
      </c>
      <c r="H39" s="928"/>
    </row>
    <row r="40" spans="1:8" ht="33.75" x14ac:dyDescent="0.2">
      <c r="A40" s="915" t="s">
        <v>1307</v>
      </c>
      <c r="B40" s="810" t="s">
        <v>1302</v>
      </c>
      <c r="C40" s="809" t="s">
        <v>1303</v>
      </c>
      <c r="D40" s="400">
        <v>30000</v>
      </c>
      <c r="E40" s="401"/>
      <c r="F40" s="401"/>
      <c r="G40" s="810" t="s">
        <v>1304</v>
      </c>
      <c r="H40" s="928"/>
    </row>
    <row r="41" spans="1:8" ht="33.75" x14ac:dyDescent="0.2">
      <c r="A41" s="915" t="s">
        <v>1308</v>
      </c>
      <c r="B41" s="810" t="s">
        <v>1302</v>
      </c>
      <c r="C41" s="809" t="s">
        <v>1303</v>
      </c>
      <c r="D41" s="400">
        <v>34000</v>
      </c>
      <c r="E41" s="401"/>
      <c r="F41" s="401"/>
      <c r="G41" s="810" t="s">
        <v>1304</v>
      </c>
      <c r="H41" s="928"/>
    </row>
    <row r="42" spans="1:8" ht="56.25" x14ac:dyDescent="0.2">
      <c r="A42" s="915" t="s">
        <v>1309</v>
      </c>
      <c r="B42" s="810" t="s">
        <v>1306</v>
      </c>
      <c r="C42" s="809" t="s">
        <v>1303</v>
      </c>
      <c r="D42" s="400">
        <v>30000</v>
      </c>
      <c r="E42" s="401"/>
      <c r="F42" s="401"/>
      <c r="G42" s="810" t="s">
        <v>1304</v>
      </c>
      <c r="H42" s="928"/>
    </row>
    <row r="43" spans="1:8" ht="45" x14ac:dyDescent="0.2">
      <c r="A43" s="915" t="s">
        <v>1310</v>
      </c>
      <c r="B43" s="810" t="s">
        <v>1302</v>
      </c>
      <c r="C43" s="809" t="s">
        <v>1303</v>
      </c>
      <c r="D43" s="400">
        <v>30000</v>
      </c>
      <c r="E43" s="401"/>
      <c r="F43" s="401"/>
      <c r="G43" s="810" t="s">
        <v>1304</v>
      </c>
      <c r="H43" s="928"/>
    </row>
    <row r="44" spans="1:8" ht="45" x14ac:dyDescent="0.2">
      <c r="A44" s="915" t="s">
        <v>1311</v>
      </c>
      <c r="B44" s="810" t="s">
        <v>1312</v>
      </c>
      <c r="C44" s="810" t="s">
        <v>1313</v>
      </c>
      <c r="D44" s="400">
        <v>12000</v>
      </c>
      <c r="E44" s="401"/>
      <c r="F44" s="401"/>
      <c r="G44" s="810" t="s">
        <v>1304</v>
      </c>
      <c r="H44" s="928"/>
    </row>
    <row r="45" spans="1:8" ht="45" x14ac:dyDescent="0.2">
      <c r="A45" s="915" t="s">
        <v>1314</v>
      </c>
      <c r="B45" s="810" t="s">
        <v>1315</v>
      </c>
      <c r="C45" s="809" t="s">
        <v>1303</v>
      </c>
      <c r="D45" s="400">
        <v>25759.32</v>
      </c>
      <c r="E45" s="401"/>
      <c r="F45" s="401"/>
      <c r="G45" s="810" t="s">
        <v>1304</v>
      </c>
      <c r="H45" s="928"/>
    </row>
    <row r="46" spans="1:8" ht="45" x14ac:dyDescent="0.2">
      <c r="A46" s="915" t="s">
        <v>1316</v>
      </c>
      <c r="B46" s="810" t="s">
        <v>1317</v>
      </c>
      <c r="C46" s="809" t="s">
        <v>1303</v>
      </c>
      <c r="D46" s="400">
        <v>26389.83</v>
      </c>
      <c r="E46" s="401"/>
      <c r="F46" s="401"/>
      <c r="G46" s="810" t="s">
        <v>1304</v>
      </c>
      <c r="H46" s="928"/>
    </row>
    <row r="47" spans="1:8" x14ac:dyDescent="0.2">
      <c r="A47" s="1124" t="s">
        <v>1318</v>
      </c>
      <c r="B47" s="1125"/>
      <c r="C47" s="1125"/>
      <c r="D47" s="1125"/>
      <c r="E47" s="1125"/>
      <c r="F47" s="1125"/>
      <c r="G47" s="1125"/>
      <c r="H47" s="928"/>
    </row>
    <row r="48" spans="1:8" ht="56.25" x14ac:dyDescent="0.2">
      <c r="A48" s="915" t="s">
        <v>1319</v>
      </c>
      <c r="B48" s="810" t="s">
        <v>1320</v>
      </c>
      <c r="C48" s="809" t="s">
        <v>1303</v>
      </c>
      <c r="D48" s="400">
        <v>3130</v>
      </c>
      <c r="E48" s="401"/>
      <c r="F48" s="401"/>
      <c r="G48" s="810" t="s">
        <v>1304</v>
      </c>
      <c r="H48" s="928"/>
    </row>
    <row r="49" spans="1:8" ht="45" x14ac:dyDescent="0.2">
      <c r="A49" s="916" t="s">
        <v>1321</v>
      </c>
      <c r="B49" s="809" t="s">
        <v>1303</v>
      </c>
      <c r="C49" s="810" t="s">
        <v>1322</v>
      </c>
      <c r="D49" s="400">
        <v>11800</v>
      </c>
      <c r="E49" s="401"/>
      <c r="F49" s="401"/>
      <c r="G49" s="810" t="s">
        <v>1304</v>
      </c>
      <c r="H49" s="928"/>
    </row>
    <row r="50" spans="1:8" ht="56.25" x14ac:dyDescent="0.2">
      <c r="A50" s="915" t="s">
        <v>1323</v>
      </c>
      <c r="B50" s="809" t="s">
        <v>1303</v>
      </c>
      <c r="C50" s="810" t="s">
        <v>1324</v>
      </c>
      <c r="D50" s="400">
        <v>14704.57</v>
      </c>
      <c r="E50" s="401"/>
      <c r="F50" s="401"/>
      <c r="G50" s="810" t="s">
        <v>1304</v>
      </c>
      <c r="H50" s="928"/>
    </row>
    <row r="51" spans="1:8" x14ac:dyDescent="0.2">
      <c r="A51" s="1124">
        <v>2021</v>
      </c>
      <c r="B51" s="1125"/>
      <c r="C51" s="1125"/>
      <c r="D51" s="1125"/>
      <c r="E51" s="1125"/>
      <c r="F51" s="1125"/>
      <c r="G51" s="1125"/>
      <c r="H51" s="928"/>
    </row>
    <row r="52" spans="1:8" x14ac:dyDescent="0.2">
      <c r="A52" s="1124" t="s">
        <v>1325</v>
      </c>
      <c r="B52" s="1125"/>
      <c r="C52" s="1125"/>
      <c r="D52" s="1125"/>
      <c r="E52" s="1125"/>
      <c r="F52" s="1125"/>
      <c r="G52" s="1125"/>
      <c r="H52" s="928"/>
    </row>
    <row r="53" spans="1:8" ht="45" x14ac:dyDescent="0.2">
      <c r="A53" s="915" t="s">
        <v>1326</v>
      </c>
      <c r="B53" s="810" t="s">
        <v>1327</v>
      </c>
      <c r="C53" s="809" t="s">
        <v>1303</v>
      </c>
      <c r="D53" s="400"/>
      <c r="E53" s="400">
        <v>30000</v>
      </c>
      <c r="F53" s="401"/>
      <c r="G53" s="810" t="s">
        <v>1304</v>
      </c>
      <c r="H53" s="928"/>
    </row>
    <row r="54" spans="1:8" ht="45" x14ac:dyDescent="0.2">
      <c r="A54" s="915" t="s">
        <v>1328</v>
      </c>
      <c r="B54" s="810" t="s">
        <v>1329</v>
      </c>
      <c r="C54" s="809" t="s">
        <v>1303</v>
      </c>
      <c r="D54" s="400"/>
      <c r="E54" s="400">
        <v>32505</v>
      </c>
      <c r="F54" s="401"/>
      <c r="G54" s="810" t="s">
        <v>1304</v>
      </c>
      <c r="H54" s="928"/>
    </row>
    <row r="55" spans="1:8" ht="57" thickBot="1" x14ac:dyDescent="0.25">
      <c r="A55" s="996" t="s">
        <v>1330</v>
      </c>
      <c r="B55" s="997" t="s">
        <v>1331</v>
      </c>
      <c r="C55" s="998" t="s">
        <v>1303</v>
      </c>
      <c r="D55" s="999"/>
      <c r="E55" s="999">
        <v>30132.48</v>
      </c>
      <c r="F55" s="1000"/>
      <c r="G55" s="997" t="s">
        <v>1304</v>
      </c>
      <c r="H55" s="1001"/>
    </row>
    <row r="56" spans="1:8" ht="45" x14ac:dyDescent="0.2">
      <c r="A56" s="990" t="s">
        <v>1332</v>
      </c>
      <c r="B56" s="991" t="s">
        <v>1333</v>
      </c>
      <c r="C56" s="992" t="s">
        <v>1303</v>
      </c>
      <c r="D56" s="993"/>
      <c r="E56" s="993">
        <v>31275.9</v>
      </c>
      <c r="F56" s="994"/>
      <c r="G56" s="991" t="s">
        <v>1304</v>
      </c>
      <c r="H56" s="995"/>
    </row>
    <row r="57" spans="1:8" ht="33.75" x14ac:dyDescent="0.2">
      <c r="A57" s="915" t="s">
        <v>1334</v>
      </c>
      <c r="B57" s="810" t="s">
        <v>1335</v>
      </c>
      <c r="C57" s="809" t="s">
        <v>1303</v>
      </c>
      <c r="D57" s="400"/>
      <c r="E57" s="400">
        <v>27189</v>
      </c>
      <c r="F57" s="401"/>
      <c r="G57" s="810" t="s">
        <v>1304</v>
      </c>
      <c r="H57" s="928"/>
    </row>
    <row r="58" spans="1:8" ht="45" x14ac:dyDescent="0.2">
      <c r="A58" s="915" t="s">
        <v>1336</v>
      </c>
      <c r="B58" s="810" t="s">
        <v>1337</v>
      </c>
      <c r="C58" s="809" t="s">
        <v>1303</v>
      </c>
      <c r="D58" s="400"/>
      <c r="E58" s="400">
        <v>34800</v>
      </c>
      <c r="F58" s="401"/>
      <c r="G58" s="810" t="s">
        <v>1304</v>
      </c>
      <c r="H58" s="928"/>
    </row>
    <row r="59" spans="1:8" ht="56.25" x14ac:dyDescent="0.2">
      <c r="A59" s="915" t="s">
        <v>1338</v>
      </c>
      <c r="B59" s="809" t="s">
        <v>1303</v>
      </c>
      <c r="C59" s="399" t="s">
        <v>1339</v>
      </c>
      <c r="D59" s="400"/>
      <c r="E59" s="400">
        <v>30045.16</v>
      </c>
      <c r="F59" s="401"/>
      <c r="G59" s="810" t="s">
        <v>1304</v>
      </c>
      <c r="H59" s="928"/>
    </row>
    <row r="60" spans="1:8" ht="45" x14ac:dyDescent="0.2">
      <c r="A60" s="915" t="s">
        <v>1340</v>
      </c>
      <c r="B60" s="809" t="s">
        <v>1303</v>
      </c>
      <c r="C60" s="399" t="s">
        <v>1341</v>
      </c>
      <c r="D60" s="402"/>
      <c r="E60" s="400">
        <v>31003.32</v>
      </c>
      <c r="F60" s="401"/>
      <c r="G60" s="810" t="s">
        <v>1304</v>
      </c>
      <c r="H60" s="928"/>
    </row>
    <row r="61" spans="1:8" ht="45" x14ac:dyDescent="0.2">
      <c r="A61" s="915" t="s">
        <v>1342</v>
      </c>
      <c r="B61" s="809" t="s">
        <v>1303</v>
      </c>
      <c r="C61" s="399" t="s">
        <v>1343</v>
      </c>
      <c r="D61" s="402"/>
      <c r="E61" s="400">
        <v>30729.56</v>
      </c>
      <c r="F61" s="401"/>
      <c r="G61" s="810" t="s">
        <v>1304</v>
      </c>
      <c r="H61" s="928"/>
    </row>
    <row r="62" spans="1:8" ht="45" x14ac:dyDescent="0.2">
      <c r="A62" s="915" t="s">
        <v>1344</v>
      </c>
      <c r="B62" s="810" t="s">
        <v>1337</v>
      </c>
      <c r="C62" s="809" t="s">
        <v>1303</v>
      </c>
      <c r="D62" s="400"/>
      <c r="E62" s="812">
        <v>30328.95</v>
      </c>
      <c r="F62" s="401"/>
      <c r="G62" s="810" t="s">
        <v>1304</v>
      </c>
      <c r="H62" s="928"/>
    </row>
    <row r="63" spans="1:8" ht="56.25" x14ac:dyDescent="0.2">
      <c r="A63" s="915" t="s">
        <v>1345</v>
      </c>
      <c r="B63" s="810" t="s">
        <v>1346</v>
      </c>
      <c r="C63" s="809" t="s">
        <v>1303</v>
      </c>
      <c r="D63" s="400"/>
      <c r="E63" s="812">
        <v>34877.85</v>
      </c>
      <c r="F63" s="401"/>
      <c r="G63" s="810" t="s">
        <v>1304</v>
      </c>
      <c r="H63" s="928"/>
    </row>
    <row r="64" spans="1:8" ht="45" x14ac:dyDescent="0.2">
      <c r="A64" s="915" t="s">
        <v>1347</v>
      </c>
      <c r="B64" s="810" t="s">
        <v>1348</v>
      </c>
      <c r="C64" s="399" t="s">
        <v>1349</v>
      </c>
      <c r="D64" s="400"/>
      <c r="E64" s="400">
        <v>25000</v>
      </c>
      <c r="F64" s="401"/>
      <c r="G64" s="810" t="s">
        <v>1304</v>
      </c>
      <c r="H64" s="928"/>
    </row>
    <row r="65" spans="1:8" ht="45" x14ac:dyDescent="0.2">
      <c r="A65" s="915" t="s">
        <v>1350</v>
      </c>
      <c r="B65" s="810" t="s">
        <v>1351</v>
      </c>
      <c r="C65" s="809" t="s">
        <v>1348</v>
      </c>
      <c r="D65" s="400"/>
      <c r="E65" s="812">
        <v>34846</v>
      </c>
      <c r="F65" s="401"/>
      <c r="G65" s="810" t="s">
        <v>1304</v>
      </c>
      <c r="H65" s="928"/>
    </row>
    <row r="66" spans="1:8" ht="45" x14ac:dyDescent="0.2">
      <c r="A66" s="915" t="s">
        <v>1352</v>
      </c>
      <c r="B66" s="810" t="s">
        <v>1353</v>
      </c>
      <c r="C66" s="809" t="s">
        <v>1348</v>
      </c>
      <c r="D66" s="400"/>
      <c r="E66" s="812">
        <v>33201.96</v>
      </c>
      <c r="F66" s="401"/>
      <c r="G66" s="810" t="s">
        <v>1304</v>
      </c>
      <c r="H66" s="928"/>
    </row>
    <row r="67" spans="1:8" ht="21" customHeight="1" x14ac:dyDescent="0.2">
      <c r="A67" s="395" t="s">
        <v>1354</v>
      </c>
      <c r="B67" s="395"/>
      <c r="C67" s="395"/>
      <c r="D67" s="396"/>
      <c r="E67" s="914"/>
      <c r="F67" s="397"/>
      <c r="G67" s="398"/>
      <c r="H67" s="398"/>
    </row>
    <row r="68" spans="1:8" ht="67.5" x14ac:dyDescent="0.2">
      <c r="A68" s="917" t="s">
        <v>1355</v>
      </c>
      <c r="B68" s="403" t="s">
        <v>1356</v>
      </c>
      <c r="C68" s="404" t="s">
        <v>105</v>
      </c>
      <c r="D68" s="405">
        <v>150000</v>
      </c>
      <c r="E68" s="918">
        <v>145500</v>
      </c>
      <c r="F68" s="406"/>
      <c r="G68" s="407" t="s">
        <v>1357</v>
      </c>
      <c r="H68" s="408" t="s">
        <v>1358</v>
      </c>
    </row>
    <row r="69" spans="1:8" ht="56.25" x14ac:dyDescent="0.2">
      <c r="A69" s="917" t="s">
        <v>1359</v>
      </c>
      <c r="B69" s="403" t="s">
        <v>1360</v>
      </c>
      <c r="C69" s="404" t="s">
        <v>105</v>
      </c>
      <c r="D69" s="409" t="s">
        <v>1361</v>
      </c>
      <c r="E69" s="918">
        <v>20000</v>
      </c>
      <c r="F69" s="406"/>
      <c r="G69" s="407" t="s">
        <v>1357</v>
      </c>
      <c r="H69" s="408" t="s">
        <v>1358</v>
      </c>
    </row>
    <row r="70" spans="1:8" ht="67.5" x14ac:dyDescent="0.2">
      <c r="A70" s="917" t="s">
        <v>1362</v>
      </c>
      <c r="B70" s="403" t="s">
        <v>1363</v>
      </c>
      <c r="C70" s="404" t="s">
        <v>105</v>
      </c>
      <c r="D70" s="405">
        <v>99152.55</v>
      </c>
      <c r="E70" s="919"/>
      <c r="F70" s="406"/>
      <c r="G70" s="407" t="s">
        <v>1364</v>
      </c>
      <c r="H70" s="408" t="s">
        <v>1358</v>
      </c>
    </row>
    <row r="71" spans="1:8" ht="67.5" x14ac:dyDescent="0.2">
      <c r="A71" s="917" t="s">
        <v>1365</v>
      </c>
      <c r="B71" s="403" t="s">
        <v>1366</v>
      </c>
      <c r="C71" s="404" t="s">
        <v>105</v>
      </c>
      <c r="D71" s="405">
        <v>135000</v>
      </c>
      <c r="E71" s="919"/>
      <c r="F71" s="406"/>
      <c r="G71" s="407" t="s">
        <v>1364</v>
      </c>
      <c r="H71" s="408" t="s">
        <v>1358</v>
      </c>
    </row>
    <row r="72" spans="1:8" ht="68.25" thickBot="1" x14ac:dyDescent="0.25">
      <c r="A72" s="1013" t="s">
        <v>1367</v>
      </c>
      <c r="B72" s="1014" t="s">
        <v>1368</v>
      </c>
      <c r="C72" s="1015" t="s">
        <v>105</v>
      </c>
      <c r="D72" s="1016">
        <v>40677.919999999998</v>
      </c>
      <c r="E72" s="1017">
        <v>61017</v>
      </c>
      <c r="F72" s="1018"/>
      <c r="G72" s="1019" t="s">
        <v>1364</v>
      </c>
      <c r="H72" s="1020" t="s">
        <v>1358</v>
      </c>
    </row>
    <row r="73" spans="1:8" ht="90" x14ac:dyDescent="0.2">
      <c r="A73" s="917" t="s">
        <v>1369</v>
      </c>
      <c r="B73" s="411"/>
      <c r="C73" s="403" t="s">
        <v>1370</v>
      </c>
      <c r="D73" s="405">
        <v>179491.33</v>
      </c>
      <c r="E73" s="918">
        <v>34068</v>
      </c>
      <c r="F73" s="410"/>
      <c r="G73" s="407" t="s">
        <v>1364</v>
      </c>
      <c r="H73" s="408" t="s">
        <v>1358</v>
      </c>
    </row>
    <row r="74" spans="1:8" ht="78.75" x14ac:dyDescent="0.2">
      <c r="A74" s="917" t="s">
        <v>1371</v>
      </c>
      <c r="B74" s="411"/>
      <c r="C74" s="403" t="s">
        <v>1370</v>
      </c>
      <c r="D74" s="405">
        <v>82753.34</v>
      </c>
      <c r="E74" s="920">
        <v>35467</v>
      </c>
      <c r="F74" s="410"/>
      <c r="G74" s="407" t="s">
        <v>1364</v>
      </c>
      <c r="H74" s="408" t="s">
        <v>1358</v>
      </c>
    </row>
    <row r="75" spans="1:8" ht="67.5" x14ac:dyDescent="0.2">
      <c r="A75" s="411" t="s">
        <v>1372</v>
      </c>
      <c r="B75" s="403" t="s">
        <v>1373</v>
      </c>
      <c r="C75" s="403"/>
      <c r="D75" s="412"/>
      <c r="E75" s="918">
        <v>150000</v>
      </c>
      <c r="F75" s="413">
        <v>155261</v>
      </c>
      <c r="G75" s="407" t="s">
        <v>1357</v>
      </c>
      <c r="H75" s="408" t="s">
        <v>1358</v>
      </c>
    </row>
    <row r="76" spans="1:8" ht="33.75" x14ac:dyDescent="0.2">
      <c r="A76" s="411" t="s">
        <v>1374</v>
      </c>
      <c r="B76" s="403" t="s">
        <v>1375</v>
      </c>
      <c r="C76" s="403"/>
      <c r="D76" s="414"/>
      <c r="E76" s="919"/>
      <c r="F76" s="415">
        <v>307000</v>
      </c>
      <c r="G76" s="407" t="s">
        <v>1364</v>
      </c>
      <c r="H76" s="408" t="s">
        <v>1278</v>
      </c>
    </row>
    <row r="77" spans="1:8" ht="78.75" x14ac:dyDescent="0.2">
      <c r="A77" s="411" t="s">
        <v>1376</v>
      </c>
      <c r="B77" s="403" t="s">
        <v>1377</v>
      </c>
      <c r="C77" s="404"/>
      <c r="D77" s="416"/>
      <c r="E77" s="918">
        <v>45540</v>
      </c>
      <c r="F77" s="417">
        <v>106260</v>
      </c>
      <c r="G77" s="407" t="s">
        <v>1364</v>
      </c>
      <c r="H77" s="408" t="s">
        <v>1358</v>
      </c>
    </row>
    <row r="78" spans="1:8" ht="78.75" x14ac:dyDescent="0.2">
      <c r="A78" s="411" t="s">
        <v>1378</v>
      </c>
      <c r="B78" s="403" t="s">
        <v>1379</v>
      </c>
      <c r="C78" s="404"/>
      <c r="D78" s="414"/>
      <c r="E78" s="921"/>
      <c r="F78" s="417">
        <v>143000</v>
      </c>
      <c r="G78" s="407" t="s">
        <v>1364</v>
      </c>
      <c r="H78" s="408" t="s">
        <v>1358</v>
      </c>
    </row>
    <row r="79" spans="1:8" ht="45" x14ac:dyDescent="0.2">
      <c r="A79" s="411" t="s">
        <v>1380</v>
      </c>
      <c r="B79" s="403" t="s">
        <v>1381</v>
      </c>
      <c r="C79" s="404"/>
      <c r="D79" s="414"/>
      <c r="E79" s="918">
        <v>75483</v>
      </c>
      <c r="F79" s="417">
        <v>40000</v>
      </c>
      <c r="G79" s="407" t="s">
        <v>1357</v>
      </c>
      <c r="H79" s="408" t="s">
        <v>1382</v>
      </c>
    </row>
    <row r="80" spans="1:8" x14ac:dyDescent="0.2">
      <c r="A80" s="404"/>
      <c r="B80" s="404"/>
      <c r="C80" s="404"/>
      <c r="D80" s="414"/>
      <c r="E80" s="919"/>
      <c r="F80" s="406"/>
      <c r="G80" s="418"/>
      <c r="H80" s="418"/>
    </row>
    <row r="81" spans="1:8" ht="21" customHeight="1" x14ac:dyDescent="0.2">
      <c r="A81" s="395" t="s">
        <v>784</v>
      </c>
      <c r="B81" s="395"/>
      <c r="C81" s="395"/>
      <c r="D81" s="396"/>
      <c r="E81" s="914"/>
      <c r="F81" s="397"/>
      <c r="G81" s="398"/>
      <c r="H81" s="398"/>
    </row>
    <row r="82" spans="1:8" ht="112.5" x14ac:dyDescent="0.2">
      <c r="A82" s="922" t="s">
        <v>1383</v>
      </c>
      <c r="B82" s="419">
        <v>10079599064</v>
      </c>
      <c r="C82" s="419">
        <v>7959906</v>
      </c>
      <c r="D82" s="364">
        <v>300000</v>
      </c>
      <c r="E82" s="402"/>
      <c r="F82" s="420"/>
      <c r="G82" s="809" t="s">
        <v>1384</v>
      </c>
      <c r="H82" s="334"/>
    </row>
    <row r="83" spans="1:8" ht="22.5" x14ac:dyDescent="0.2">
      <c r="A83" s="922" t="s">
        <v>1385</v>
      </c>
      <c r="B83" s="419">
        <v>20606832118</v>
      </c>
      <c r="C83" s="809" t="s">
        <v>105</v>
      </c>
      <c r="D83" s="421"/>
      <c r="E83" s="923">
        <v>0</v>
      </c>
      <c r="F83" s="420">
        <v>0</v>
      </c>
      <c r="G83" s="809" t="s">
        <v>1386</v>
      </c>
      <c r="H83" s="334"/>
    </row>
    <row r="84" spans="1:8" ht="33.75" x14ac:dyDescent="0.2">
      <c r="A84" s="922" t="s">
        <v>1387</v>
      </c>
      <c r="B84" s="419">
        <v>20606493194</v>
      </c>
      <c r="C84" s="809" t="s">
        <v>105</v>
      </c>
      <c r="D84" s="364">
        <v>407547</v>
      </c>
      <c r="E84" s="364">
        <f>182994+606099</f>
        <v>789093</v>
      </c>
      <c r="F84" s="420">
        <f>371272.35+412056.74+63138.35+82919.66</f>
        <v>929387.1</v>
      </c>
      <c r="G84" s="809" t="s">
        <v>1386</v>
      </c>
      <c r="H84" s="334"/>
    </row>
    <row r="85" spans="1:8" ht="78.75" x14ac:dyDescent="0.2">
      <c r="A85" s="922" t="s">
        <v>1388</v>
      </c>
      <c r="B85" s="419">
        <v>1010276528</v>
      </c>
      <c r="C85" s="809" t="s">
        <v>105</v>
      </c>
      <c r="D85" s="364">
        <v>335006</v>
      </c>
      <c r="E85" s="364">
        <f>40622+55107</f>
        <v>95729</v>
      </c>
      <c r="F85" s="420">
        <v>0</v>
      </c>
      <c r="G85" s="809" t="s">
        <v>748</v>
      </c>
      <c r="H85" s="334"/>
    </row>
    <row r="86" spans="1:8" ht="33.75" x14ac:dyDescent="0.2">
      <c r="A86" s="922" t="s">
        <v>1389</v>
      </c>
      <c r="B86" s="419">
        <v>20606318945</v>
      </c>
      <c r="C86" s="809" t="s">
        <v>105</v>
      </c>
      <c r="D86" s="364">
        <v>689965</v>
      </c>
      <c r="E86" s="364">
        <f>283832+113276</f>
        <v>397108</v>
      </c>
      <c r="F86" s="420">
        <v>0</v>
      </c>
      <c r="G86" s="809" t="s">
        <v>1386</v>
      </c>
      <c r="H86" s="334"/>
    </row>
    <row r="87" spans="1:8" ht="67.5" x14ac:dyDescent="0.2">
      <c r="A87" s="922" t="s">
        <v>1390</v>
      </c>
      <c r="B87" s="422"/>
      <c r="C87" s="809"/>
      <c r="D87" s="423">
        <v>86422.88</v>
      </c>
      <c r="E87" s="364"/>
      <c r="F87" s="420">
        <v>0</v>
      </c>
      <c r="G87" s="809"/>
      <c r="H87" s="334"/>
    </row>
    <row r="88" spans="1:8" ht="23.25" thickBot="1" x14ac:dyDescent="0.25">
      <c r="A88" s="1008" t="s">
        <v>1391</v>
      </c>
      <c r="B88" s="1009"/>
      <c r="C88" s="1009"/>
      <c r="D88" s="1010">
        <v>76000</v>
      </c>
      <c r="E88" s="1010">
        <v>19000</v>
      </c>
      <c r="F88" s="1011">
        <v>0</v>
      </c>
      <c r="G88" s="998"/>
      <c r="H88" s="1012"/>
    </row>
    <row r="89" spans="1:8" ht="45" x14ac:dyDescent="0.2">
      <c r="A89" s="1002" t="s">
        <v>1392</v>
      </c>
      <c r="B89" s="1003"/>
      <c r="C89" s="1003"/>
      <c r="D89" s="1004">
        <v>220000</v>
      </c>
      <c r="E89" s="1005"/>
      <c r="F89" s="1006">
        <v>0</v>
      </c>
      <c r="G89" s="992"/>
      <c r="H89" s="1007"/>
    </row>
    <row r="90" spans="1:8" ht="56.25" x14ac:dyDescent="0.2">
      <c r="A90" s="922" t="s">
        <v>1393</v>
      </c>
      <c r="B90" s="811"/>
      <c r="C90" s="811"/>
      <c r="D90" s="423">
        <v>50000</v>
      </c>
      <c r="E90" s="364">
        <v>37500</v>
      </c>
      <c r="F90" s="420">
        <v>0</v>
      </c>
      <c r="G90" s="809"/>
      <c r="H90" s="334"/>
    </row>
    <row r="91" spans="1:8" ht="22.5" x14ac:dyDescent="0.2">
      <c r="A91" s="922" t="s">
        <v>1394</v>
      </c>
      <c r="B91" s="811"/>
      <c r="C91" s="811"/>
      <c r="D91" s="423">
        <v>47008.5</v>
      </c>
      <c r="E91" s="364"/>
      <c r="F91" s="420">
        <v>0</v>
      </c>
      <c r="G91" s="809"/>
      <c r="H91" s="334"/>
    </row>
    <row r="92" spans="1:8" ht="78.75" x14ac:dyDescent="0.2">
      <c r="A92" s="922" t="s">
        <v>1395</v>
      </c>
      <c r="B92" s="809">
        <v>20605985573</v>
      </c>
      <c r="C92" s="809"/>
      <c r="D92" s="423">
        <v>52169.48</v>
      </c>
      <c r="E92" s="364"/>
      <c r="F92" s="420">
        <v>0</v>
      </c>
      <c r="G92" s="809"/>
      <c r="H92" s="334"/>
    </row>
    <row r="93" spans="1:8" ht="78.75" x14ac:dyDescent="0.2">
      <c r="A93" s="922" t="s">
        <v>1396</v>
      </c>
      <c r="B93" s="809">
        <v>10201197517</v>
      </c>
      <c r="C93" s="924"/>
      <c r="D93" s="423">
        <v>108417.72</v>
      </c>
      <c r="E93" s="364"/>
      <c r="F93" s="420">
        <v>0</v>
      </c>
      <c r="G93" s="809"/>
      <c r="H93" s="334"/>
    </row>
    <row r="94" spans="1:8" ht="56.25" x14ac:dyDescent="0.2">
      <c r="A94" s="922" t="s">
        <v>1397</v>
      </c>
      <c r="B94" s="809"/>
      <c r="C94" s="809">
        <v>46114582</v>
      </c>
      <c r="D94" s="423">
        <v>39307.279999999999</v>
      </c>
      <c r="E94" s="364"/>
      <c r="F94" s="420">
        <v>0</v>
      </c>
      <c r="G94" s="809"/>
      <c r="H94" s="334"/>
    </row>
    <row r="95" spans="1:8" ht="78.75" x14ac:dyDescent="0.2">
      <c r="A95" s="922" t="s">
        <v>1398</v>
      </c>
      <c r="B95" s="424">
        <v>10437183037</v>
      </c>
      <c r="C95" s="424">
        <v>43718303</v>
      </c>
      <c r="D95" s="425"/>
      <c r="E95" s="423">
        <v>27000</v>
      </c>
      <c r="F95" s="420">
        <v>0</v>
      </c>
      <c r="G95" s="809" t="s">
        <v>748</v>
      </c>
      <c r="H95" s="334"/>
    </row>
    <row r="96" spans="1:8" ht="67.5" x14ac:dyDescent="0.25">
      <c r="A96" s="922" t="s">
        <v>1399</v>
      </c>
      <c r="B96" s="809"/>
      <c r="C96" s="809"/>
      <c r="D96" s="426"/>
      <c r="E96" s="402"/>
      <c r="F96" s="420">
        <v>0</v>
      </c>
      <c r="G96" s="809"/>
      <c r="H96" s="334"/>
    </row>
    <row r="97" spans="1:8" ht="56.25" x14ac:dyDescent="0.2">
      <c r="A97" s="925" t="s">
        <v>1400</v>
      </c>
      <c r="B97" s="809"/>
      <c r="C97" s="809"/>
      <c r="D97" s="401"/>
      <c r="E97" s="402"/>
      <c r="F97" s="420">
        <v>0</v>
      </c>
      <c r="G97" s="809"/>
      <c r="H97" s="334"/>
    </row>
    <row r="98" spans="1:8" ht="67.5" x14ac:dyDescent="0.2">
      <c r="A98" s="925" t="s">
        <v>1401</v>
      </c>
      <c r="B98" s="811"/>
      <c r="C98" s="811"/>
      <c r="D98" s="401"/>
      <c r="E98" s="402"/>
      <c r="F98" s="420">
        <v>0</v>
      </c>
      <c r="G98" s="809"/>
      <c r="H98" s="334"/>
    </row>
    <row r="99" spans="1:8" ht="56.25" x14ac:dyDescent="0.2">
      <c r="A99" s="922" t="s">
        <v>1402</v>
      </c>
      <c r="B99" s="427"/>
      <c r="C99" s="427"/>
      <c r="D99" s="428"/>
      <c r="E99" s="402"/>
      <c r="F99" s="420">
        <v>0</v>
      </c>
      <c r="G99" s="429"/>
      <c r="H99" s="929"/>
    </row>
    <row r="100" spans="1:8" ht="45" x14ac:dyDescent="0.2">
      <c r="A100" s="922" t="s">
        <v>1403</v>
      </c>
      <c r="B100" s="427"/>
      <c r="C100" s="427"/>
      <c r="D100" s="428"/>
      <c r="E100" s="402"/>
      <c r="F100" s="420">
        <v>0</v>
      </c>
      <c r="G100" s="429"/>
      <c r="H100" s="929"/>
    </row>
    <row r="101" spans="1:8" ht="90" x14ac:dyDescent="0.2">
      <c r="A101" s="922" t="s">
        <v>1404</v>
      </c>
      <c r="B101" s="427"/>
      <c r="C101" s="427"/>
      <c r="D101" s="428"/>
      <c r="E101" s="402"/>
      <c r="F101" s="420">
        <v>0</v>
      </c>
      <c r="G101" s="429"/>
      <c r="H101" s="929"/>
    </row>
    <row r="102" spans="1:8" ht="18" customHeight="1" x14ac:dyDescent="0.2">
      <c r="A102" s="395" t="s">
        <v>792</v>
      </c>
      <c r="B102" s="395"/>
      <c r="C102" s="395"/>
      <c r="D102" s="396"/>
      <c r="E102" s="914"/>
      <c r="F102" s="397"/>
      <c r="G102" s="398"/>
      <c r="H102" s="398"/>
    </row>
    <row r="103" spans="1:8" ht="33.75" x14ac:dyDescent="0.2">
      <c r="A103" s="411" t="s">
        <v>1405</v>
      </c>
      <c r="B103" s="430" t="s">
        <v>105</v>
      </c>
      <c r="C103" s="431" t="s">
        <v>1406</v>
      </c>
      <c r="D103" s="416">
        <v>5300</v>
      </c>
      <c r="E103" s="926"/>
      <c r="F103" s="432">
        <v>0</v>
      </c>
      <c r="G103" s="407" t="s">
        <v>1407</v>
      </c>
      <c r="H103" s="408" t="s">
        <v>1408</v>
      </c>
    </row>
    <row r="104" spans="1:8" ht="22.5" x14ac:dyDescent="0.2">
      <c r="A104" s="411" t="s">
        <v>1409</v>
      </c>
      <c r="B104" s="430" t="s">
        <v>105</v>
      </c>
      <c r="C104" s="403" t="s">
        <v>1410</v>
      </c>
      <c r="D104" s="416"/>
      <c r="E104" s="926">
        <v>5300</v>
      </c>
      <c r="F104" s="432">
        <v>0</v>
      </c>
      <c r="G104" s="407" t="s">
        <v>1411</v>
      </c>
      <c r="H104" s="408" t="s">
        <v>1408</v>
      </c>
    </row>
    <row r="105" spans="1:8" ht="23.25" customHeight="1" x14ac:dyDescent="0.2">
      <c r="A105" s="395" t="s">
        <v>814</v>
      </c>
      <c r="B105" s="395"/>
      <c r="C105" s="395"/>
      <c r="D105" s="396"/>
      <c r="E105" s="914"/>
      <c r="F105" s="397"/>
      <c r="G105" s="398"/>
      <c r="H105" s="398"/>
    </row>
    <row r="106" spans="1:8" ht="23.25" customHeight="1" x14ac:dyDescent="0.2">
      <c r="A106" s="404" t="s">
        <v>1412</v>
      </c>
      <c r="B106" s="404"/>
      <c r="C106" s="404"/>
      <c r="D106" s="414"/>
      <c r="E106" s="919"/>
      <c r="F106" s="406"/>
      <c r="G106" s="418"/>
      <c r="H106" s="418"/>
    </row>
    <row r="107" spans="1:8" ht="23.25" customHeight="1" x14ac:dyDescent="0.2">
      <c r="A107" s="395" t="s">
        <v>885</v>
      </c>
      <c r="B107" s="395"/>
      <c r="C107" s="395"/>
      <c r="D107" s="396"/>
      <c r="E107" s="914"/>
      <c r="F107" s="397"/>
      <c r="G107" s="398"/>
      <c r="H107" s="398"/>
    </row>
    <row r="108" spans="1:8" ht="23.25" customHeight="1" x14ac:dyDescent="0.2">
      <c r="A108" s="404" t="s">
        <v>1412</v>
      </c>
      <c r="B108" s="404"/>
      <c r="C108" s="404"/>
      <c r="D108" s="414"/>
      <c r="E108" s="919"/>
      <c r="F108" s="406"/>
      <c r="G108" s="418"/>
      <c r="H108" s="418"/>
    </row>
    <row r="109" spans="1:8" ht="23.25" customHeight="1" x14ac:dyDescent="0.2">
      <c r="A109" s="395" t="s">
        <v>935</v>
      </c>
      <c r="B109" s="395"/>
      <c r="C109" s="395"/>
      <c r="D109" s="396"/>
      <c r="E109" s="914"/>
      <c r="F109" s="397"/>
      <c r="G109" s="398"/>
      <c r="H109" s="398"/>
    </row>
    <row r="110" spans="1:8" ht="23.25" customHeight="1" x14ac:dyDescent="0.2">
      <c r="A110" s="404" t="s">
        <v>1412</v>
      </c>
      <c r="B110" s="404"/>
      <c r="C110" s="404"/>
      <c r="D110" s="414"/>
      <c r="E110" s="919"/>
      <c r="F110" s="406"/>
      <c r="G110" s="418"/>
      <c r="H110" s="418"/>
    </row>
    <row r="111" spans="1:8" ht="23.25" customHeight="1" x14ac:dyDescent="0.2">
      <c r="A111" s="395" t="s">
        <v>947</v>
      </c>
      <c r="B111" s="395"/>
      <c r="C111" s="395"/>
      <c r="D111" s="396"/>
      <c r="E111" s="914"/>
      <c r="F111" s="397"/>
      <c r="G111" s="398"/>
      <c r="H111" s="398"/>
    </row>
    <row r="112" spans="1:8" ht="23.25" customHeight="1" x14ac:dyDescent="0.2">
      <c r="A112" s="404" t="s">
        <v>1412</v>
      </c>
      <c r="B112" s="404"/>
      <c r="C112" s="404"/>
      <c r="D112" s="414"/>
      <c r="E112" s="919"/>
      <c r="F112" s="406"/>
      <c r="G112" s="418"/>
      <c r="H112" s="418"/>
    </row>
    <row r="113" spans="1:8" ht="23.25" customHeight="1" x14ac:dyDescent="0.2">
      <c r="A113" s="395" t="s">
        <v>981</v>
      </c>
      <c r="B113" s="395"/>
      <c r="C113" s="395"/>
      <c r="D113" s="396"/>
      <c r="E113" s="914"/>
      <c r="F113" s="397"/>
      <c r="G113" s="398"/>
      <c r="H113" s="398"/>
    </row>
    <row r="114" spans="1:8" ht="23.25" customHeight="1" x14ac:dyDescent="0.2">
      <c r="A114" s="404" t="s">
        <v>1412</v>
      </c>
      <c r="B114" s="404"/>
      <c r="C114" s="404"/>
      <c r="D114" s="414"/>
      <c r="E114" s="919"/>
      <c r="F114" s="406"/>
      <c r="G114" s="418"/>
      <c r="H114" s="418"/>
    </row>
    <row r="115" spans="1:8" ht="23.25" customHeight="1" x14ac:dyDescent="0.2">
      <c r="A115" s="395" t="s">
        <v>1026</v>
      </c>
      <c r="B115" s="395"/>
      <c r="C115" s="395"/>
      <c r="D115" s="396"/>
      <c r="E115" s="914"/>
      <c r="F115" s="397"/>
      <c r="G115" s="398"/>
      <c r="H115" s="398"/>
    </row>
    <row r="116" spans="1:8" ht="23.25" customHeight="1" x14ac:dyDescent="0.2">
      <c r="A116" s="404" t="s">
        <v>1412</v>
      </c>
      <c r="B116" s="404"/>
      <c r="C116" s="404"/>
      <c r="D116" s="414"/>
      <c r="E116" s="919"/>
      <c r="F116" s="406"/>
      <c r="G116" s="418"/>
      <c r="H116" s="418"/>
    </row>
    <row r="117" spans="1:8" ht="23.25" customHeight="1" x14ac:dyDescent="0.2">
      <c r="A117" s="395" t="s">
        <v>1413</v>
      </c>
      <c r="B117" s="395"/>
      <c r="C117" s="395"/>
      <c r="D117" s="396"/>
      <c r="E117" s="914"/>
      <c r="F117" s="397"/>
      <c r="G117" s="398"/>
      <c r="H117" s="398"/>
    </row>
    <row r="118" spans="1:8" ht="23.25" customHeight="1" x14ac:dyDescent="0.2">
      <c r="A118" s="404" t="s">
        <v>1412</v>
      </c>
      <c r="B118" s="404"/>
      <c r="C118" s="404"/>
      <c r="D118" s="414"/>
      <c r="E118" s="919"/>
      <c r="F118" s="406"/>
      <c r="G118" s="418"/>
      <c r="H118" s="418"/>
    </row>
    <row r="119" spans="1:8" ht="23.25" customHeight="1" x14ac:dyDescent="0.2">
      <c r="A119" s="395" t="s">
        <v>1096</v>
      </c>
      <c r="B119" s="395"/>
      <c r="C119" s="395"/>
      <c r="D119" s="396"/>
      <c r="E119" s="914"/>
      <c r="F119" s="397"/>
      <c r="G119" s="398"/>
      <c r="H119" s="398"/>
    </row>
    <row r="120" spans="1:8" ht="33.75" x14ac:dyDescent="0.2">
      <c r="A120" s="411" t="s">
        <v>1414</v>
      </c>
      <c r="B120" s="431">
        <v>10417786011</v>
      </c>
      <c r="C120" s="431">
        <v>41778601</v>
      </c>
      <c r="D120" s="416">
        <v>32000</v>
      </c>
      <c r="E120" s="926">
        <v>36000</v>
      </c>
      <c r="F120" s="415">
        <v>48000</v>
      </c>
      <c r="G120" s="407" t="s">
        <v>1415</v>
      </c>
      <c r="H120" s="408" t="s">
        <v>1416</v>
      </c>
    </row>
    <row r="121" spans="1:8" ht="33.75" x14ac:dyDescent="0.2">
      <c r="A121" s="411" t="s">
        <v>1417</v>
      </c>
      <c r="B121" s="431">
        <v>10096710637</v>
      </c>
      <c r="C121" s="433" t="s">
        <v>1418</v>
      </c>
      <c r="D121" s="416">
        <v>5000</v>
      </c>
      <c r="E121" s="926">
        <v>0</v>
      </c>
      <c r="F121" s="415">
        <v>5000</v>
      </c>
      <c r="G121" s="407" t="s">
        <v>1419</v>
      </c>
      <c r="H121" s="408" t="s">
        <v>1416</v>
      </c>
    </row>
    <row r="122" spans="1:8" ht="45" x14ac:dyDescent="0.2">
      <c r="A122" s="411" t="s">
        <v>1420</v>
      </c>
      <c r="B122" s="431">
        <v>10190828757</v>
      </c>
      <c r="C122" s="431" t="s">
        <v>105</v>
      </c>
      <c r="D122" s="416">
        <v>0</v>
      </c>
      <c r="E122" s="926">
        <v>20000</v>
      </c>
      <c r="F122" s="415">
        <v>30000</v>
      </c>
      <c r="G122" s="407" t="s">
        <v>1421</v>
      </c>
      <c r="H122" s="408" t="s">
        <v>1422</v>
      </c>
    </row>
    <row r="123" spans="1:8" ht="33.75" x14ac:dyDescent="0.2">
      <c r="A123" s="411" t="s">
        <v>1423</v>
      </c>
      <c r="B123" s="431">
        <v>20606162244</v>
      </c>
      <c r="C123" s="431" t="s">
        <v>105</v>
      </c>
      <c r="D123" s="416">
        <v>0</v>
      </c>
      <c r="E123" s="926">
        <v>7000</v>
      </c>
      <c r="F123" s="415">
        <v>14000</v>
      </c>
      <c r="G123" s="407" t="s">
        <v>1424</v>
      </c>
      <c r="H123" s="408" t="s">
        <v>1422</v>
      </c>
    </row>
    <row r="124" spans="1:8" ht="17.25" customHeight="1" x14ac:dyDescent="0.2">
      <c r="A124" s="395" t="s">
        <v>1425</v>
      </c>
      <c r="B124" s="395"/>
      <c r="C124" s="395"/>
      <c r="D124" s="396"/>
      <c r="E124" s="914"/>
      <c r="F124" s="397"/>
      <c r="G124" s="398"/>
      <c r="H124" s="398"/>
    </row>
    <row r="125" spans="1:8" ht="45" x14ac:dyDescent="0.2">
      <c r="A125" s="411" t="s">
        <v>1426</v>
      </c>
      <c r="B125" s="430" t="s">
        <v>105</v>
      </c>
      <c r="C125" s="431">
        <v>10266186750</v>
      </c>
      <c r="D125" s="416">
        <v>8000</v>
      </c>
      <c r="E125" s="927"/>
      <c r="F125" s="434"/>
      <c r="G125" s="407" t="s">
        <v>1427</v>
      </c>
      <c r="H125" s="408" t="s">
        <v>1428</v>
      </c>
    </row>
    <row r="126" spans="1:8" ht="22.5" customHeight="1" x14ac:dyDescent="0.2">
      <c r="A126" s="395" t="s">
        <v>1175</v>
      </c>
      <c r="B126" s="395"/>
      <c r="C126" s="395"/>
      <c r="D126" s="396"/>
      <c r="E126" s="914"/>
      <c r="F126" s="397"/>
      <c r="G126" s="398"/>
      <c r="H126" s="398"/>
    </row>
    <row r="127" spans="1:8" ht="18.75" customHeight="1" x14ac:dyDescent="0.2">
      <c r="A127" s="932" t="s">
        <v>1412</v>
      </c>
      <c r="B127" s="404"/>
      <c r="C127" s="404"/>
      <c r="D127" s="414"/>
      <c r="E127" s="919"/>
      <c r="F127" s="406"/>
      <c r="G127" s="418"/>
      <c r="H127" s="418"/>
    </row>
    <row r="128" spans="1:8" ht="24.75" customHeight="1" x14ac:dyDescent="0.2">
      <c r="A128" s="395" t="s">
        <v>1208</v>
      </c>
      <c r="B128" s="395"/>
      <c r="C128" s="395"/>
      <c r="D128" s="396"/>
      <c r="E128" s="914"/>
      <c r="F128" s="397"/>
      <c r="G128" s="398"/>
      <c r="H128" s="398"/>
    </row>
    <row r="129" spans="1:8" ht="18.75" customHeight="1" thickBot="1" x14ac:dyDescent="0.25">
      <c r="A129" s="932" t="s">
        <v>1412</v>
      </c>
      <c r="B129" s="404"/>
      <c r="C129" s="404"/>
      <c r="D129" s="414"/>
      <c r="E129" s="919"/>
      <c r="F129" s="406"/>
      <c r="G129" s="418"/>
      <c r="H129" s="418"/>
    </row>
    <row r="130" spans="1:8" ht="19.5" customHeight="1" thickBot="1" x14ac:dyDescent="0.25">
      <c r="A130" s="435" t="s">
        <v>51</v>
      </c>
      <c r="B130" s="436"/>
      <c r="C130" s="436"/>
      <c r="D130" s="437"/>
      <c r="E130" s="438"/>
      <c r="F130" s="439"/>
      <c r="G130" s="440"/>
      <c r="H130" s="440"/>
    </row>
    <row r="131" spans="1:8" x14ac:dyDescent="0.2">
      <c r="A131" s="223"/>
      <c r="B131" s="223"/>
      <c r="C131" s="223"/>
      <c r="D131" s="230"/>
      <c r="E131" s="230"/>
      <c r="F131" s="230"/>
    </row>
    <row r="132" spans="1:8" x14ac:dyDescent="0.2">
      <c r="A132" s="380" t="s">
        <v>66</v>
      </c>
      <c r="B132" s="380"/>
      <c r="C132" s="380"/>
      <c r="D132" s="230"/>
      <c r="E132" s="230"/>
      <c r="F132" s="230"/>
    </row>
    <row r="133" spans="1:8" x14ac:dyDescent="0.2">
      <c r="A133" s="229" t="s">
        <v>130</v>
      </c>
      <c r="B133" s="229"/>
      <c r="C133" s="229"/>
      <c r="D133" s="230"/>
      <c r="E133" s="230"/>
      <c r="F133" s="230"/>
    </row>
  </sheetData>
  <mergeCells count="88">
    <mergeCell ref="A47:G47"/>
    <mergeCell ref="A51:G51"/>
    <mergeCell ref="A52:G52"/>
    <mergeCell ref="F33:F34"/>
    <mergeCell ref="G33:G34"/>
    <mergeCell ref="H33:H34"/>
    <mergeCell ref="A35:A36"/>
    <mergeCell ref="B35:B36"/>
    <mergeCell ref="C35:C36"/>
    <mergeCell ref="D35:D36"/>
    <mergeCell ref="E35:E36"/>
    <mergeCell ref="F35:F36"/>
    <mergeCell ref="G35:G36"/>
    <mergeCell ref="H35:H36"/>
    <mergeCell ref="A33:A34"/>
    <mergeCell ref="B33:B34"/>
    <mergeCell ref="C33:C34"/>
    <mergeCell ref="D33:D34"/>
    <mergeCell ref="E33:E34"/>
    <mergeCell ref="F29:F30"/>
    <mergeCell ref="G29:G30"/>
    <mergeCell ref="H29:H30"/>
    <mergeCell ref="A31:A32"/>
    <mergeCell ref="B31:B32"/>
    <mergeCell ref="C31:C32"/>
    <mergeCell ref="D31:D32"/>
    <mergeCell ref="E31:E32"/>
    <mergeCell ref="F31:F32"/>
    <mergeCell ref="G31:G32"/>
    <mergeCell ref="H31:H32"/>
    <mergeCell ref="A29:A30"/>
    <mergeCell ref="B29:B30"/>
    <mergeCell ref="C29:C30"/>
    <mergeCell ref="D29:D30"/>
    <mergeCell ref="E29:E30"/>
    <mergeCell ref="F25:F26"/>
    <mergeCell ref="G25:G26"/>
    <mergeCell ref="H25:H26"/>
    <mergeCell ref="A27:A28"/>
    <mergeCell ref="B27:B28"/>
    <mergeCell ref="C27:C28"/>
    <mergeCell ref="D27:D28"/>
    <mergeCell ref="E27:E28"/>
    <mergeCell ref="F27:F28"/>
    <mergeCell ref="G27:G28"/>
    <mergeCell ref="H27:H28"/>
    <mergeCell ref="A25:A26"/>
    <mergeCell ref="B25:B26"/>
    <mergeCell ref="C25:C26"/>
    <mergeCell ref="D25:D26"/>
    <mergeCell ref="E25:E26"/>
    <mergeCell ref="F21:F22"/>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17:F18"/>
    <mergeCell ref="G17:G18"/>
    <mergeCell ref="H17:H18"/>
    <mergeCell ref="A19:A20"/>
    <mergeCell ref="B19:B20"/>
    <mergeCell ref="C19:C20"/>
    <mergeCell ref="D19:D20"/>
    <mergeCell ref="E19:E20"/>
    <mergeCell ref="F19:F20"/>
    <mergeCell ref="G19:G20"/>
    <mergeCell ref="H19:H20"/>
    <mergeCell ref="A17:A18"/>
    <mergeCell ref="B17:B18"/>
    <mergeCell ref="C17:C18"/>
    <mergeCell ref="D17:D18"/>
    <mergeCell ref="E17:E18"/>
    <mergeCell ref="B4:B5"/>
    <mergeCell ref="H4:H5"/>
    <mergeCell ref="A4:A5"/>
    <mergeCell ref="G4:G5"/>
    <mergeCell ref="C4:C5"/>
  </mergeCells>
  <phoneticPr fontId="0" type="noConversion"/>
  <printOptions horizontalCentered="1"/>
  <pageMargins left="0.23622047244094491" right="0.31496062992125984" top="0.74803149606299213" bottom="0.74803149606299213" header="0.31496062992125984" footer="0.31496062992125984"/>
  <pageSetup paperSize="9" scale="56" fitToHeight="0" orientation="landscape" r:id="rId1"/>
  <headerFooter alignWithMargins="0">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pageSetUpPr fitToPage="1"/>
  </sheetPr>
  <dimension ref="A1:V401"/>
  <sheetViews>
    <sheetView topLeftCell="A307" zoomScaleNormal="100" zoomScaleSheetLayoutView="100" zoomScalePageLayoutView="85" workbookViewId="0">
      <selection activeCell="A370" sqref="A370:H370"/>
    </sheetView>
  </sheetViews>
  <sheetFormatPr baseColWidth="10" defaultColWidth="11.42578125" defaultRowHeight="12" x14ac:dyDescent="0.2"/>
  <cols>
    <col min="1" max="1" width="39.5703125" style="159" customWidth="1"/>
    <col min="2" max="2" width="20.42578125" style="159" customWidth="1"/>
    <col min="3" max="3" width="36.5703125" style="159" customWidth="1"/>
    <col min="4" max="6" width="15.5703125" style="159" customWidth="1"/>
    <col min="7" max="7" width="17.5703125" style="159" customWidth="1"/>
    <col min="8" max="8" width="18.42578125" style="159" customWidth="1"/>
    <col min="9" max="16384" width="11.42578125" style="159"/>
  </cols>
  <sheetData>
    <row r="1" spans="1:22" s="511" customFormat="1" ht="15.75" x14ac:dyDescent="0.25">
      <c r="A1" s="510" t="s">
        <v>448</v>
      </c>
    </row>
    <row r="2" spans="1:22" s="512" customFormat="1" ht="15.75" x14ac:dyDescent="0.2">
      <c r="A2" s="230" t="s">
        <v>11139</v>
      </c>
      <c r="B2" s="1131"/>
      <c r="C2" s="1131"/>
      <c r="D2" s="222"/>
      <c r="E2" s="222"/>
      <c r="F2" s="222"/>
      <c r="G2" s="222"/>
      <c r="H2" s="222"/>
      <c r="I2" s="222"/>
      <c r="J2" s="222"/>
      <c r="K2" s="222"/>
      <c r="L2" s="222"/>
      <c r="M2" s="222"/>
      <c r="N2" s="222"/>
      <c r="O2" s="222"/>
      <c r="P2" s="222"/>
      <c r="Q2" s="222"/>
      <c r="R2" s="222"/>
      <c r="S2" s="222"/>
      <c r="T2" s="222"/>
      <c r="U2" s="222"/>
      <c r="V2" s="222"/>
    </row>
    <row r="3" spans="1:22" ht="12.75" thickBot="1" x14ac:dyDescent="0.25"/>
    <row r="4" spans="1:22" ht="12.75" thickBot="1" x14ac:dyDescent="0.25">
      <c r="A4" s="1129" t="s">
        <v>383</v>
      </c>
      <c r="B4" s="1127" t="s">
        <v>107</v>
      </c>
      <c r="C4" s="1126" t="s">
        <v>382</v>
      </c>
      <c r="D4" s="1126"/>
      <c r="E4" s="1126"/>
      <c r="F4" s="1126"/>
      <c r="G4" s="1126"/>
      <c r="H4" s="1126"/>
    </row>
    <row r="5" spans="1:22" s="517" customFormat="1" ht="27" customHeight="1" thickBot="1" x14ac:dyDescent="0.25">
      <c r="A5" s="1130"/>
      <c r="B5" s="1128"/>
      <c r="C5" s="513" t="s">
        <v>381</v>
      </c>
      <c r="D5" s="514" t="s">
        <v>380</v>
      </c>
      <c r="E5" s="515" t="s">
        <v>379</v>
      </c>
      <c r="F5" s="516" t="s">
        <v>378</v>
      </c>
      <c r="G5" s="516" t="s">
        <v>472</v>
      </c>
      <c r="H5" s="516" t="s">
        <v>477</v>
      </c>
    </row>
    <row r="6" spans="1:22" x14ac:dyDescent="0.2">
      <c r="A6" s="21"/>
      <c r="B6" s="7"/>
      <c r="C6" s="253"/>
      <c r="D6" s="254"/>
      <c r="E6" s="248"/>
      <c r="F6" s="253"/>
      <c r="G6" s="518"/>
      <c r="H6" s="518"/>
    </row>
    <row r="7" spans="1:22" x14ac:dyDescent="0.2">
      <c r="A7" s="5" t="s">
        <v>52</v>
      </c>
      <c r="B7" s="519" t="s">
        <v>1743</v>
      </c>
      <c r="C7" s="520" t="s">
        <v>1744</v>
      </c>
      <c r="D7" s="521" t="s">
        <v>1745</v>
      </c>
      <c r="E7" s="522">
        <v>38383</v>
      </c>
      <c r="F7" s="520" t="s">
        <v>1746</v>
      </c>
      <c r="G7" s="523">
        <v>0</v>
      </c>
      <c r="H7" s="523">
        <v>0</v>
      </c>
    </row>
    <row r="8" spans="1:22" x14ac:dyDescent="0.2">
      <c r="A8" s="5"/>
      <c r="B8" s="6"/>
      <c r="C8" s="253"/>
      <c r="D8" s="254"/>
      <c r="E8" s="524"/>
      <c r="F8" s="253"/>
      <c r="G8" s="523"/>
      <c r="H8" s="523"/>
    </row>
    <row r="9" spans="1:22" x14ac:dyDescent="0.2">
      <c r="A9" s="5" t="s">
        <v>53</v>
      </c>
      <c r="B9" s="519" t="s">
        <v>1743</v>
      </c>
      <c r="C9" s="520" t="s">
        <v>1744</v>
      </c>
      <c r="D9" s="521" t="s">
        <v>1747</v>
      </c>
      <c r="E9" s="522">
        <v>36922</v>
      </c>
      <c r="F9" s="520" t="s">
        <v>1746</v>
      </c>
      <c r="G9" s="520">
        <v>18927</v>
      </c>
      <c r="H9" s="520">
        <v>20200</v>
      </c>
    </row>
    <row r="10" spans="1:22" x14ac:dyDescent="0.2">
      <c r="A10" s="5"/>
      <c r="B10" s="6"/>
      <c r="C10" s="253"/>
      <c r="D10" s="254"/>
      <c r="E10" s="524"/>
      <c r="F10" s="253"/>
      <c r="G10" s="523"/>
      <c r="H10" s="523"/>
    </row>
    <row r="11" spans="1:22" x14ac:dyDescent="0.2">
      <c r="A11" s="5" t="s">
        <v>54</v>
      </c>
      <c r="B11" s="6"/>
      <c r="C11" s="253"/>
      <c r="D11" s="254"/>
      <c r="E11" s="524"/>
      <c r="F11" s="253"/>
      <c r="G11" s="523"/>
      <c r="H11" s="523"/>
    </row>
    <row r="12" spans="1:22" x14ac:dyDescent="0.2">
      <c r="A12" s="5" t="s">
        <v>377</v>
      </c>
      <c r="B12" s="519"/>
      <c r="C12" s="253"/>
      <c r="D12" s="254"/>
      <c r="E12" s="524"/>
      <c r="F12" s="253"/>
      <c r="G12" s="523"/>
      <c r="H12" s="523"/>
    </row>
    <row r="13" spans="1:22" x14ac:dyDescent="0.2">
      <c r="A13" s="5"/>
      <c r="B13" s="6"/>
      <c r="C13" s="253"/>
      <c r="D13" s="254"/>
      <c r="E13" s="524"/>
      <c r="F13" s="253"/>
      <c r="G13" s="523"/>
      <c r="H13" s="523"/>
    </row>
    <row r="14" spans="1:22" x14ac:dyDescent="0.2">
      <c r="A14" s="5" t="s">
        <v>55</v>
      </c>
      <c r="B14" s="519" t="s">
        <v>1743</v>
      </c>
      <c r="C14" s="520" t="s">
        <v>1744</v>
      </c>
      <c r="D14" s="521" t="s">
        <v>1748</v>
      </c>
      <c r="E14" s="522">
        <v>38017</v>
      </c>
      <c r="F14" s="520" t="s">
        <v>1746</v>
      </c>
      <c r="G14" s="523">
        <v>6</v>
      </c>
      <c r="H14" s="523">
        <v>6</v>
      </c>
    </row>
    <row r="15" spans="1:22" x14ac:dyDescent="0.2">
      <c r="A15" s="5"/>
      <c r="B15" s="6"/>
      <c r="C15" s="253"/>
      <c r="D15" s="254"/>
      <c r="E15" s="524"/>
      <c r="F15" s="253"/>
      <c r="G15" s="523"/>
      <c r="H15" s="523"/>
    </row>
    <row r="16" spans="1:22" x14ac:dyDescent="0.2">
      <c r="A16" s="5" t="s">
        <v>56</v>
      </c>
      <c r="B16" s="519" t="s">
        <v>1743</v>
      </c>
      <c r="C16" s="520" t="s">
        <v>1744</v>
      </c>
      <c r="D16" s="521" t="s">
        <v>1745</v>
      </c>
      <c r="E16" s="522">
        <v>39629</v>
      </c>
      <c r="F16" s="520" t="s">
        <v>1746</v>
      </c>
      <c r="G16" s="523">
        <v>2030880</v>
      </c>
      <c r="H16" s="523">
        <v>17408131</v>
      </c>
    </row>
    <row r="17" spans="1:8" x14ac:dyDescent="0.2">
      <c r="A17" s="5"/>
      <c r="B17" s="6"/>
      <c r="C17" s="253"/>
      <c r="D17" s="521"/>
      <c r="E17" s="522"/>
      <c r="F17" s="520"/>
      <c r="G17" s="520"/>
      <c r="H17" s="520"/>
    </row>
    <row r="18" spans="1:8" x14ac:dyDescent="0.2">
      <c r="A18" s="5"/>
      <c r="B18" s="6"/>
      <c r="C18" s="253"/>
      <c r="D18" s="521"/>
      <c r="E18" s="248"/>
      <c r="F18" s="253"/>
      <c r="G18" s="520"/>
      <c r="H18" s="520"/>
    </row>
    <row r="19" spans="1:8" x14ac:dyDescent="0.2">
      <c r="A19" s="5" t="s">
        <v>60</v>
      </c>
      <c r="B19" s="6"/>
      <c r="C19" s="253"/>
      <c r="D19" s="254"/>
      <c r="E19" s="248"/>
      <c r="F19" s="253"/>
      <c r="G19" s="520"/>
      <c r="H19" s="520"/>
    </row>
    <row r="20" spans="1:8" x14ac:dyDescent="0.2">
      <c r="A20" s="5" t="s">
        <v>61</v>
      </c>
      <c r="B20" s="6"/>
      <c r="C20" s="253"/>
      <c r="D20" s="254"/>
      <c r="E20" s="248"/>
      <c r="F20" s="253"/>
      <c r="G20" s="520"/>
      <c r="H20" s="520"/>
    </row>
    <row r="21" spans="1:8" x14ac:dyDescent="0.2">
      <c r="A21" s="5" t="s">
        <v>57</v>
      </c>
      <c r="B21" s="6"/>
      <c r="C21" s="253"/>
      <c r="D21" s="254"/>
      <c r="E21" s="248"/>
      <c r="F21" s="253"/>
      <c r="G21" s="520"/>
      <c r="H21" s="520"/>
    </row>
    <row r="22" spans="1:8" x14ac:dyDescent="0.2">
      <c r="A22" s="5" t="s">
        <v>58</v>
      </c>
      <c r="B22" s="6"/>
      <c r="C22" s="253"/>
      <c r="D22" s="254"/>
      <c r="E22" s="248"/>
      <c r="F22" s="253"/>
      <c r="G22" s="520"/>
      <c r="H22" s="520"/>
    </row>
    <row r="23" spans="1:8" x14ac:dyDescent="0.2">
      <c r="A23" s="5" t="s">
        <v>59</v>
      </c>
      <c r="B23" s="6"/>
      <c r="C23" s="253"/>
      <c r="D23" s="254"/>
      <c r="E23" s="248"/>
      <c r="F23" s="253"/>
      <c r="G23" s="520"/>
      <c r="H23" s="520"/>
    </row>
    <row r="24" spans="1:8" x14ac:dyDescent="0.2">
      <c r="A24" s="5" t="s">
        <v>376</v>
      </c>
      <c r="B24" s="6"/>
      <c r="C24" s="253"/>
      <c r="D24" s="254"/>
      <c r="E24" s="248"/>
      <c r="F24" s="253"/>
      <c r="G24" s="520"/>
      <c r="H24" s="520"/>
    </row>
    <row r="25" spans="1:8" ht="12.75" thickBot="1" x14ac:dyDescent="0.25">
      <c r="A25" s="22"/>
      <c r="B25" s="1"/>
      <c r="C25" s="6"/>
      <c r="D25" s="50"/>
      <c r="E25" s="5"/>
      <c r="F25" s="6"/>
      <c r="G25" s="525"/>
      <c r="H25" s="525"/>
    </row>
    <row r="26" spans="1:8" ht="12.75" thickBot="1" x14ac:dyDescent="0.25">
      <c r="A26" s="1132" t="s">
        <v>1749</v>
      </c>
      <c r="B26" s="1133"/>
      <c r="C26" s="1133"/>
      <c r="D26" s="1133"/>
      <c r="E26" s="1133"/>
      <c r="F26" s="1134"/>
      <c r="G26" s="526">
        <f>SUM(G6:G25)</f>
        <v>2049813</v>
      </c>
      <c r="H26" s="526">
        <f>SUM(H6:H25)</f>
        <v>17428337</v>
      </c>
    </row>
    <row r="27" spans="1:8" x14ac:dyDescent="0.2">
      <c r="A27" s="167"/>
      <c r="B27" s="527"/>
      <c r="C27" s="164"/>
      <c r="D27" s="528"/>
      <c r="E27" s="165"/>
      <c r="F27" s="164"/>
      <c r="G27" s="164"/>
      <c r="H27" s="164"/>
    </row>
    <row r="28" spans="1:8" x14ac:dyDescent="0.2">
      <c r="A28" s="161" t="s">
        <v>52</v>
      </c>
      <c r="B28" s="529" t="s">
        <v>1750</v>
      </c>
      <c r="C28" s="520" t="s">
        <v>1744</v>
      </c>
      <c r="D28" s="530" t="s">
        <v>1751</v>
      </c>
      <c r="E28" s="531" t="s">
        <v>1752</v>
      </c>
      <c r="F28" s="520" t="s">
        <v>1746</v>
      </c>
      <c r="G28" s="532">
        <v>0</v>
      </c>
      <c r="H28" s="532">
        <v>0</v>
      </c>
    </row>
    <row r="29" spans="1:8" x14ac:dyDescent="0.2">
      <c r="A29" s="161"/>
      <c r="B29" s="533"/>
      <c r="C29" s="534"/>
      <c r="D29" s="530"/>
      <c r="E29" s="535"/>
      <c r="F29" s="534"/>
      <c r="G29" s="534"/>
      <c r="H29" s="534"/>
    </row>
    <row r="30" spans="1:8" x14ac:dyDescent="0.2">
      <c r="A30" s="161" t="s">
        <v>53</v>
      </c>
      <c r="B30" s="529" t="s">
        <v>1750</v>
      </c>
      <c r="C30" s="520" t="s">
        <v>1744</v>
      </c>
      <c r="D30" s="530" t="s">
        <v>1753</v>
      </c>
      <c r="E30" s="531" t="s">
        <v>1754</v>
      </c>
      <c r="F30" s="520" t="s">
        <v>1746</v>
      </c>
      <c r="G30" s="536">
        <v>137.5</v>
      </c>
      <c r="H30" s="536">
        <v>479.41</v>
      </c>
    </row>
    <row r="31" spans="1:8" x14ac:dyDescent="0.2">
      <c r="A31" s="161"/>
      <c r="B31" s="533"/>
      <c r="C31" s="534"/>
      <c r="D31" s="530"/>
      <c r="E31" s="535"/>
      <c r="F31" s="534"/>
      <c r="G31" s="534"/>
      <c r="H31" s="534"/>
    </row>
    <row r="32" spans="1:8" x14ac:dyDescent="0.2">
      <c r="A32" s="161" t="s">
        <v>54</v>
      </c>
      <c r="B32" s="533"/>
      <c r="C32" s="534"/>
      <c r="D32" s="530"/>
      <c r="E32" s="535"/>
      <c r="F32" s="534"/>
      <c r="G32" s="534"/>
      <c r="H32" s="534"/>
    </row>
    <row r="33" spans="1:8" x14ac:dyDescent="0.2">
      <c r="A33" s="161" t="s">
        <v>377</v>
      </c>
      <c r="B33" s="533"/>
      <c r="C33" s="534"/>
      <c r="D33" s="530"/>
      <c r="E33" s="535"/>
      <c r="F33" s="534"/>
      <c r="G33" s="534"/>
      <c r="H33" s="534"/>
    </row>
    <row r="34" spans="1:8" x14ac:dyDescent="0.2">
      <c r="A34" s="161"/>
      <c r="B34" s="533"/>
      <c r="C34" s="534"/>
      <c r="D34" s="530"/>
      <c r="E34" s="535"/>
      <c r="F34" s="534"/>
      <c r="G34" s="536"/>
      <c r="H34" s="536"/>
    </row>
    <row r="35" spans="1:8" x14ac:dyDescent="0.2">
      <c r="A35" s="161" t="s">
        <v>55</v>
      </c>
      <c r="B35" s="529" t="s">
        <v>1750</v>
      </c>
      <c r="C35" s="520" t="s">
        <v>1744</v>
      </c>
      <c r="D35" s="530" t="s">
        <v>1755</v>
      </c>
      <c r="E35" s="531" t="s">
        <v>1756</v>
      </c>
      <c r="F35" s="520" t="s">
        <v>1746</v>
      </c>
      <c r="G35" s="536">
        <v>1068.58</v>
      </c>
      <c r="H35" s="536">
        <v>1068.58</v>
      </c>
    </row>
    <row r="36" spans="1:8" x14ac:dyDescent="0.2">
      <c r="A36" s="161"/>
      <c r="B36" s="529" t="s">
        <v>1750</v>
      </c>
      <c r="C36" s="520" t="s">
        <v>1744</v>
      </c>
      <c r="D36" s="537" t="s">
        <v>1757</v>
      </c>
      <c r="E36" s="531" t="s">
        <v>1758</v>
      </c>
      <c r="F36" s="520" t="s">
        <v>1746</v>
      </c>
      <c r="G36" s="536">
        <v>132</v>
      </c>
      <c r="H36" s="536">
        <v>132</v>
      </c>
    </row>
    <row r="37" spans="1:8" x14ac:dyDescent="0.2">
      <c r="A37" s="161"/>
      <c r="B37" s="529" t="s">
        <v>1750</v>
      </c>
      <c r="C37" s="520" t="s">
        <v>1744</v>
      </c>
      <c r="D37" s="530" t="s">
        <v>1759</v>
      </c>
      <c r="E37" s="531" t="s">
        <v>1760</v>
      </c>
      <c r="F37" s="520" t="s">
        <v>1746</v>
      </c>
      <c r="G37" s="536">
        <v>2.3199999999999998</v>
      </c>
      <c r="H37" s="536">
        <v>2.3199999999999998</v>
      </c>
    </row>
    <row r="38" spans="1:8" x14ac:dyDescent="0.2">
      <c r="A38" s="161"/>
      <c r="B38" s="529" t="s">
        <v>1750</v>
      </c>
      <c r="C38" s="520" t="s">
        <v>1744</v>
      </c>
      <c r="D38" s="530" t="s">
        <v>1761</v>
      </c>
      <c r="E38" s="531" t="s">
        <v>1762</v>
      </c>
      <c r="F38" s="520" t="s">
        <v>1746</v>
      </c>
      <c r="G38" s="536">
        <v>5</v>
      </c>
      <c r="H38" s="536">
        <v>5</v>
      </c>
    </row>
    <row r="39" spans="1:8" x14ac:dyDescent="0.2">
      <c r="A39" s="161"/>
      <c r="B39" s="529" t="s">
        <v>1750</v>
      </c>
      <c r="C39" s="520" t="s">
        <v>1744</v>
      </c>
      <c r="D39" s="530" t="s">
        <v>1763</v>
      </c>
      <c r="E39" s="531" t="s">
        <v>1764</v>
      </c>
      <c r="F39" s="520" t="s">
        <v>1746</v>
      </c>
      <c r="G39" s="536">
        <v>9.68</v>
      </c>
      <c r="H39" s="536">
        <v>9.68</v>
      </c>
    </row>
    <row r="40" spans="1:8" x14ac:dyDescent="0.2">
      <c r="A40" s="161" t="s">
        <v>56</v>
      </c>
      <c r="B40" s="533"/>
      <c r="C40" s="534"/>
      <c r="D40" s="530"/>
      <c r="E40" s="535"/>
      <c r="F40" s="534"/>
      <c r="G40" s="536"/>
      <c r="H40" s="536"/>
    </row>
    <row r="41" spans="1:8" x14ac:dyDescent="0.2">
      <c r="A41" s="161"/>
      <c r="B41" s="533"/>
      <c r="C41" s="534"/>
      <c r="D41" s="530"/>
      <c r="E41" s="535"/>
      <c r="F41" s="534"/>
      <c r="G41" s="536"/>
      <c r="H41" s="536"/>
    </row>
    <row r="42" spans="1:8" x14ac:dyDescent="0.2">
      <c r="A42" s="161" t="s">
        <v>60</v>
      </c>
      <c r="B42" s="529" t="s">
        <v>1750</v>
      </c>
      <c r="C42" s="520" t="s">
        <v>1744</v>
      </c>
      <c r="D42" s="537" t="s">
        <v>1765</v>
      </c>
      <c r="E42" s="531" t="s">
        <v>1766</v>
      </c>
      <c r="F42" s="520" t="s">
        <v>1746</v>
      </c>
      <c r="G42" s="536">
        <v>34297.93</v>
      </c>
      <c r="H42" s="536">
        <v>34297.93</v>
      </c>
    </row>
    <row r="43" spans="1:8" x14ac:dyDescent="0.2">
      <c r="A43" s="161" t="s">
        <v>61</v>
      </c>
      <c r="B43" s="533"/>
      <c r="C43" s="534"/>
      <c r="D43" s="530"/>
      <c r="E43" s="535"/>
      <c r="F43" s="164"/>
      <c r="G43" s="534"/>
      <c r="H43" s="534"/>
    </row>
    <row r="44" spans="1:8" x14ac:dyDescent="0.2">
      <c r="A44" s="161" t="s">
        <v>57</v>
      </c>
      <c r="B44" s="533"/>
      <c r="C44" s="164"/>
      <c r="D44" s="528"/>
      <c r="E44" s="165"/>
      <c r="F44" s="164"/>
      <c r="G44" s="534"/>
      <c r="H44" s="534"/>
    </row>
    <row r="45" spans="1:8" x14ac:dyDescent="0.2">
      <c r="A45" s="161" t="s">
        <v>58</v>
      </c>
      <c r="B45" s="533"/>
      <c r="C45" s="164"/>
      <c r="D45" s="528"/>
      <c r="E45" s="165"/>
      <c r="F45" s="164"/>
      <c r="G45" s="534"/>
      <c r="H45" s="534"/>
    </row>
    <row r="46" spans="1:8" x14ac:dyDescent="0.2">
      <c r="A46" s="161" t="s">
        <v>59</v>
      </c>
      <c r="B46" s="533"/>
      <c r="C46" s="164"/>
      <c r="D46" s="528"/>
      <c r="E46" s="165"/>
      <c r="F46" s="164"/>
      <c r="G46" s="534"/>
      <c r="H46" s="534"/>
    </row>
    <row r="47" spans="1:8" x14ac:dyDescent="0.2">
      <c r="A47" s="161" t="s">
        <v>376</v>
      </c>
      <c r="B47" s="533"/>
      <c r="C47" s="164"/>
      <c r="D47" s="528"/>
      <c r="E47" s="165"/>
      <c r="F47" s="164"/>
      <c r="G47" s="534"/>
      <c r="H47" s="534"/>
    </row>
    <row r="48" spans="1:8" ht="12.75" thickBot="1" x14ac:dyDescent="0.25">
      <c r="A48" s="163"/>
      <c r="B48" s="162"/>
      <c r="C48" s="160"/>
      <c r="E48" s="161"/>
      <c r="F48" s="160"/>
      <c r="G48" s="533"/>
      <c r="H48" s="533"/>
    </row>
    <row r="49" spans="1:8" ht="13.5" customHeight="1" thickBot="1" x14ac:dyDescent="0.25">
      <c r="A49" s="1135" t="s">
        <v>1767</v>
      </c>
      <c r="B49" s="1136"/>
      <c r="C49" s="1136"/>
      <c r="D49" s="1136"/>
      <c r="E49" s="1136"/>
      <c r="F49" s="1137"/>
      <c r="G49" s="538">
        <f>SUM(G27:G48)</f>
        <v>35653.01</v>
      </c>
      <c r="H49" s="538">
        <f>SUM(H27:H48)</f>
        <v>35994.92</v>
      </c>
    </row>
    <row r="50" spans="1:8" x14ac:dyDescent="0.2">
      <c r="A50" s="167"/>
      <c r="B50" s="166"/>
      <c r="C50" s="164"/>
      <c r="D50" s="528"/>
      <c r="E50" s="165"/>
      <c r="F50" s="164"/>
      <c r="G50" s="534"/>
      <c r="H50" s="534"/>
    </row>
    <row r="51" spans="1:8" x14ac:dyDescent="0.2">
      <c r="A51" s="161" t="s">
        <v>52</v>
      </c>
      <c r="B51" s="533" t="s">
        <v>1768</v>
      </c>
      <c r="C51" s="520" t="s">
        <v>1744</v>
      </c>
      <c r="D51" s="539" t="s">
        <v>1769</v>
      </c>
      <c r="E51" s="540" t="s">
        <v>1770</v>
      </c>
      <c r="F51" s="534" t="s">
        <v>1746</v>
      </c>
      <c r="G51" s="536">
        <v>0</v>
      </c>
      <c r="H51" s="536">
        <v>0</v>
      </c>
    </row>
    <row r="52" spans="1:8" x14ac:dyDescent="0.2">
      <c r="A52" s="161"/>
      <c r="B52" s="533"/>
      <c r="C52" s="534"/>
      <c r="D52" s="539"/>
      <c r="E52" s="541"/>
      <c r="F52" s="534"/>
      <c r="G52" s="536"/>
      <c r="H52" s="536"/>
    </row>
    <row r="53" spans="1:8" x14ac:dyDescent="0.2">
      <c r="A53" s="161" t="s">
        <v>53</v>
      </c>
      <c r="B53" s="533" t="s">
        <v>1768</v>
      </c>
      <c r="C53" s="520" t="s">
        <v>1744</v>
      </c>
      <c r="D53" s="539" t="s">
        <v>1771</v>
      </c>
      <c r="E53" s="540" t="s">
        <v>1770</v>
      </c>
      <c r="F53" s="534" t="s">
        <v>1746</v>
      </c>
      <c r="G53" s="536">
        <v>619.95000000000005</v>
      </c>
      <c r="H53" s="536">
        <v>1119.81</v>
      </c>
    </row>
    <row r="54" spans="1:8" ht="12.75" thickBot="1" x14ac:dyDescent="0.25">
      <c r="A54" s="163"/>
      <c r="B54" s="542"/>
      <c r="C54" s="933"/>
      <c r="D54" s="944"/>
      <c r="E54" s="945"/>
      <c r="F54" s="933"/>
      <c r="G54" s="939"/>
      <c r="H54" s="939"/>
    </row>
    <row r="55" spans="1:8" x14ac:dyDescent="0.2">
      <c r="A55" s="161" t="s">
        <v>54</v>
      </c>
      <c r="B55" s="533" t="s">
        <v>1768</v>
      </c>
      <c r="C55" s="534" t="s">
        <v>1772</v>
      </c>
      <c r="D55" s="539" t="s">
        <v>1769</v>
      </c>
      <c r="E55" s="540" t="s">
        <v>1773</v>
      </c>
      <c r="F55" s="534" t="s">
        <v>1746</v>
      </c>
      <c r="G55" s="536">
        <v>1692045.68</v>
      </c>
      <c r="H55" s="536">
        <v>2769.26</v>
      </c>
    </row>
    <row r="56" spans="1:8" x14ac:dyDescent="0.2">
      <c r="A56" s="161" t="s">
        <v>377</v>
      </c>
      <c r="B56" s="533"/>
      <c r="C56" s="534"/>
      <c r="D56" s="539"/>
      <c r="E56" s="541"/>
      <c r="F56" s="534"/>
      <c r="G56" s="536"/>
      <c r="H56" s="536"/>
    </row>
    <row r="57" spans="1:8" x14ac:dyDescent="0.2">
      <c r="A57" s="161"/>
      <c r="B57" s="533"/>
      <c r="C57" s="534"/>
      <c r="D57" s="539"/>
      <c r="E57" s="541"/>
      <c r="F57" s="534"/>
      <c r="G57" s="536"/>
      <c r="H57" s="536"/>
    </row>
    <row r="58" spans="1:8" x14ac:dyDescent="0.2">
      <c r="A58" s="161" t="s">
        <v>55</v>
      </c>
      <c r="B58" s="533" t="s">
        <v>1768</v>
      </c>
      <c r="C58" s="520" t="s">
        <v>1744</v>
      </c>
      <c r="D58" s="539" t="s">
        <v>1774</v>
      </c>
      <c r="E58" s="540" t="s">
        <v>1775</v>
      </c>
      <c r="F58" s="534" t="s">
        <v>1746</v>
      </c>
      <c r="G58" s="536">
        <v>0.32</v>
      </c>
      <c r="H58" s="536">
        <v>0.32</v>
      </c>
    </row>
    <row r="59" spans="1:8" x14ac:dyDescent="0.2">
      <c r="A59" s="161"/>
      <c r="B59" s="533"/>
      <c r="C59" s="534"/>
      <c r="D59" s="539"/>
      <c r="E59" s="541"/>
      <c r="F59" s="534"/>
      <c r="G59" s="536"/>
      <c r="H59" s="536"/>
    </row>
    <row r="60" spans="1:8" x14ac:dyDescent="0.2">
      <c r="A60" s="161" t="s">
        <v>56</v>
      </c>
      <c r="B60" s="533" t="s">
        <v>1768</v>
      </c>
      <c r="C60" s="520" t="s">
        <v>1744</v>
      </c>
      <c r="D60" s="539" t="s">
        <v>1776</v>
      </c>
      <c r="E60" s="540" t="s">
        <v>1777</v>
      </c>
      <c r="F60" s="534" t="s">
        <v>1746</v>
      </c>
      <c r="G60" s="536">
        <v>79.709999999999994</v>
      </c>
      <c r="H60" s="536">
        <v>79.709999999999994</v>
      </c>
    </row>
    <row r="61" spans="1:8" x14ac:dyDescent="0.2">
      <c r="A61" s="161"/>
      <c r="B61" s="533"/>
      <c r="C61" s="534"/>
      <c r="D61" s="539"/>
      <c r="E61" s="541"/>
      <c r="F61" s="534"/>
      <c r="G61" s="536"/>
      <c r="H61" s="536"/>
    </row>
    <row r="62" spans="1:8" x14ac:dyDescent="0.2">
      <c r="A62" s="161" t="s">
        <v>60</v>
      </c>
      <c r="B62" s="533" t="s">
        <v>1768</v>
      </c>
      <c r="C62" s="534" t="s">
        <v>1772</v>
      </c>
      <c r="D62" s="539" t="s">
        <v>1769</v>
      </c>
      <c r="E62" s="540" t="s">
        <v>1778</v>
      </c>
      <c r="F62" s="534" t="s">
        <v>1746</v>
      </c>
      <c r="G62" s="536">
        <v>0</v>
      </c>
      <c r="H62" s="536">
        <v>565081.34</v>
      </c>
    </row>
    <row r="63" spans="1:8" x14ac:dyDescent="0.2">
      <c r="A63" s="161" t="s">
        <v>61</v>
      </c>
      <c r="B63" s="533"/>
      <c r="C63" s="534"/>
      <c r="D63" s="539"/>
      <c r="E63" s="541"/>
      <c r="F63" s="534"/>
      <c r="G63" s="536"/>
      <c r="H63" s="536"/>
    </row>
    <row r="64" spans="1:8" x14ac:dyDescent="0.2">
      <c r="A64" s="161" t="s">
        <v>57</v>
      </c>
      <c r="B64" s="533"/>
      <c r="C64" s="534"/>
      <c r="D64" s="539"/>
      <c r="E64" s="541"/>
      <c r="F64" s="534"/>
      <c r="G64" s="536"/>
      <c r="H64" s="536"/>
    </row>
    <row r="65" spans="1:8" x14ac:dyDescent="0.2">
      <c r="A65" s="161" t="s">
        <v>58</v>
      </c>
      <c r="B65" s="533"/>
      <c r="C65" s="534"/>
      <c r="D65" s="539"/>
      <c r="E65" s="541"/>
      <c r="F65" s="534"/>
      <c r="G65" s="536"/>
      <c r="H65" s="536"/>
    </row>
    <row r="66" spans="1:8" x14ac:dyDescent="0.2">
      <c r="A66" s="161" t="s">
        <v>59</v>
      </c>
      <c r="B66" s="533"/>
      <c r="C66" s="534"/>
      <c r="D66" s="539"/>
      <c r="E66" s="541"/>
      <c r="F66" s="534"/>
      <c r="G66" s="536"/>
      <c r="H66" s="536"/>
    </row>
    <row r="67" spans="1:8" x14ac:dyDescent="0.2">
      <c r="A67" s="161" t="s">
        <v>376</v>
      </c>
      <c r="B67" s="533"/>
      <c r="C67" s="534"/>
      <c r="D67" s="539"/>
      <c r="E67" s="541"/>
      <c r="F67" s="534"/>
      <c r="G67" s="536"/>
      <c r="H67" s="536"/>
    </row>
    <row r="68" spans="1:8" ht="12.75" thickBot="1" x14ac:dyDescent="0.25">
      <c r="A68" s="163"/>
      <c r="B68" s="542"/>
      <c r="C68" s="533"/>
      <c r="D68" s="539"/>
      <c r="E68" s="541"/>
      <c r="F68" s="533"/>
      <c r="G68" s="536"/>
      <c r="H68" s="536"/>
    </row>
    <row r="69" spans="1:8" ht="13.5" customHeight="1" thickBot="1" x14ac:dyDescent="0.25">
      <c r="A69" s="1135" t="s">
        <v>1779</v>
      </c>
      <c r="B69" s="1136"/>
      <c r="C69" s="1136"/>
      <c r="D69" s="1136"/>
      <c r="E69" s="1136"/>
      <c r="F69" s="1137"/>
      <c r="G69" s="543">
        <f>SUM(G50:G68)</f>
        <v>1692745.66</v>
      </c>
      <c r="H69" s="538">
        <f>SUM(H50:H68)</f>
        <v>569050.43999999994</v>
      </c>
    </row>
    <row r="70" spans="1:8" x14ac:dyDescent="0.2">
      <c r="A70" s="167"/>
      <c r="B70" s="167"/>
      <c r="C70" s="544"/>
      <c r="D70" s="544"/>
      <c r="E70" s="544"/>
      <c r="F70" s="544"/>
      <c r="G70" s="544"/>
      <c r="H70" s="544"/>
    </row>
    <row r="71" spans="1:8" ht="12" customHeight="1" x14ac:dyDescent="0.2">
      <c r="A71" s="161" t="s">
        <v>52</v>
      </c>
      <c r="B71" s="1138" t="s">
        <v>1780</v>
      </c>
      <c r="C71" s="545"/>
      <c r="D71" s="545"/>
      <c r="E71" s="545"/>
      <c r="F71" s="545"/>
      <c r="G71" s="545"/>
      <c r="H71" s="545"/>
    </row>
    <row r="72" spans="1:8" x14ac:dyDescent="0.2">
      <c r="A72" s="161" t="s">
        <v>1781</v>
      </c>
      <c r="B72" s="1138"/>
      <c r="C72" s="535" t="s">
        <v>1744</v>
      </c>
      <c r="D72" s="540" t="s">
        <v>1782</v>
      </c>
      <c r="E72" s="540" t="s">
        <v>1783</v>
      </c>
      <c r="F72" s="535" t="s">
        <v>1746</v>
      </c>
      <c r="G72" s="546">
        <v>0</v>
      </c>
      <c r="H72" s="546">
        <v>0</v>
      </c>
    </row>
    <row r="73" spans="1:8" ht="24" x14ac:dyDescent="0.2">
      <c r="A73" s="547" t="s">
        <v>1784</v>
      </c>
      <c r="B73" s="1138"/>
      <c r="C73" s="535" t="s">
        <v>1744</v>
      </c>
      <c r="D73" s="540" t="s">
        <v>1782</v>
      </c>
      <c r="E73" s="540" t="s">
        <v>1783</v>
      </c>
      <c r="F73" s="535" t="s">
        <v>1746</v>
      </c>
      <c r="G73" s="546">
        <v>901608.82</v>
      </c>
      <c r="H73" s="546">
        <v>823115.81</v>
      </c>
    </row>
    <row r="74" spans="1:8" x14ac:dyDescent="0.2">
      <c r="A74" s="548" t="s">
        <v>1785</v>
      </c>
      <c r="B74" s="1138"/>
      <c r="C74" s="535" t="s">
        <v>1744</v>
      </c>
      <c r="D74" s="540" t="s">
        <v>1782</v>
      </c>
      <c r="E74" s="540" t="s">
        <v>1783</v>
      </c>
      <c r="F74" s="535" t="s">
        <v>1746</v>
      </c>
      <c r="G74" s="546">
        <v>1104292</v>
      </c>
      <c r="H74" s="546">
        <v>1104292</v>
      </c>
    </row>
    <row r="75" spans="1:8" x14ac:dyDescent="0.2">
      <c r="A75" s="1139" t="s">
        <v>53</v>
      </c>
      <c r="B75" s="548"/>
      <c r="C75" s="535"/>
      <c r="D75" s="540"/>
      <c r="E75" s="540"/>
      <c r="F75" s="535"/>
      <c r="G75" s="549"/>
      <c r="H75" s="546"/>
    </row>
    <row r="76" spans="1:8" ht="12" customHeight="1" x14ac:dyDescent="0.2">
      <c r="A76" s="1139"/>
      <c r="B76" s="1138" t="s">
        <v>1780</v>
      </c>
      <c r="C76" s="1140" t="s">
        <v>1744</v>
      </c>
      <c r="D76" s="540" t="s">
        <v>1782</v>
      </c>
      <c r="E76" s="540" t="s">
        <v>1783</v>
      </c>
      <c r="F76" s="535" t="s">
        <v>1746</v>
      </c>
      <c r="G76" s="546">
        <v>4452.33</v>
      </c>
      <c r="H76" s="546">
        <v>1911.99</v>
      </c>
    </row>
    <row r="77" spans="1:8" x14ac:dyDescent="0.2">
      <c r="A77" s="1139"/>
      <c r="B77" s="1138"/>
      <c r="C77" s="1140"/>
      <c r="D77" s="540" t="s">
        <v>1786</v>
      </c>
      <c r="E77" s="540" t="s">
        <v>1787</v>
      </c>
      <c r="F77" s="535" t="s">
        <v>1746</v>
      </c>
      <c r="G77" s="546">
        <v>63604.82</v>
      </c>
      <c r="H77" s="546">
        <v>65358.73</v>
      </c>
    </row>
    <row r="78" spans="1:8" x14ac:dyDescent="0.2">
      <c r="A78" s="161"/>
      <c r="B78" s="161"/>
      <c r="C78" s="535"/>
      <c r="D78" s="535"/>
      <c r="E78" s="535"/>
      <c r="F78" s="535"/>
      <c r="G78" s="546"/>
      <c r="H78" s="546"/>
    </row>
    <row r="79" spans="1:8" ht="12" customHeight="1" x14ac:dyDescent="0.2">
      <c r="A79" s="161" t="s">
        <v>54</v>
      </c>
      <c r="B79" s="1138" t="s">
        <v>1780</v>
      </c>
      <c r="C79" s="550"/>
      <c r="D79" s="550"/>
      <c r="E79" s="535"/>
      <c r="F79" s="550"/>
      <c r="G79" s="546"/>
      <c r="H79" s="546"/>
    </row>
    <row r="80" spans="1:8" x14ac:dyDescent="0.2">
      <c r="A80" s="161" t="s">
        <v>1788</v>
      </c>
      <c r="B80" s="1138"/>
      <c r="C80" s="535"/>
      <c r="D80" s="535"/>
      <c r="E80" s="535"/>
      <c r="F80" s="535"/>
      <c r="G80" s="546"/>
      <c r="H80" s="546"/>
    </row>
    <row r="81" spans="1:8" ht="24" x14ac:dyDescent="0.2">
      <c r="A81" s="547" t="s">
        <v>1789</v>
      </c>
      <c r="B81" s="1138"/>
      <c r="C81" s="535" t="s">
        <v>1744</v>
      </c>
      <c r="D81" s="535" t="s">
        <v>1782</v>
      </c>
      <c r="E81" s="535" t="s">
        <v>1783</v>
      </c>
      <c r="F81" s="535" t="s">
        <v>1746</v>
      </c>
      <c r="G81" s="546">
        <v>1100</v>
      </c>
      <c r="H81" s="546">
        <v>0</v>
      </c>
    </row>
    <row r="82" spans="1:8" ht="24" x14ac:dyDescent="0.2">
      <c r="A82" s="548" t="s">
        <v>1790</v>
      </c>
      <c r="B82" s="1138"/>
      <c r="C82" s="535" t="s">
        <v>1744</v>
      </c>
      <c r="D82" s="535" t="s">
        <v>1782</v>
      </c>
      <c r="E82" s="535" t="s">
        <v>1783</v>
      </c>
      <c r="F82" s="535" t="s">
        <v>1746</v>
      </c>
      <c r="G82" s="546">
        <v>0</v>
      </c>
      <c r="H82" s="546">
        <v>365816.39</v>
      </c>
    </row>
    <row r="83" spans="1:8" x14ac:dyDescent="0.2">
      <c r="A83" s="161" t="s">
        <v>1791</v>
      </c>
      <c r="B83" s="1138"/>
      <c r="C83" s="535" t="s">
        <v>1744</v>
      </c>
      <c r="D83" s="535" t="s">
        <v>1782</v>
      </c>
      <c r="E83" s="535" t="s">
        <v>1783</v>
      </c>
      <c r="F83" s="535" t="s">
        <v>1746</v>
      </c>
      <c r="G83" s="546">
        <v>5562899.7000000002</v>
      </c>
      <c r="H83" s="546">
        <v>2286975.9500000002</v>
      </c>
    </row>
    <row r="84" spans="1:8" x14ac:dyDescent="0.2">
      <c r="A84" s="161" t="s">
        <v>55</v>
      </c>
      <c r="B84" s="161"/>
      <c r="C84" s="535"/>
      <c r="D84" s="535"/>
      <c r="E84" s="535"/>
      <c r="F84" s="535"/>
      <c r="G84" s="546"/>
      <c r="H84" s="546"/>
    </row>
    <row r="85" spans="1:8" x14ac:dyDescent="0.2">
      <c r="A85" s="161"/>
      <c r="B85" s="161"/>
      <c r="C85" s="535"/>
      <c r="D85" s="535"/>
      <c r="E85" s="535"/>
      <c r="F85" s="535"/>
      <c r="G85" s="546"/>
      <c r="H85" s="546"/>
    </row>
    <row r="86" spans="1:8" ht="12" customHeight="1" x14ac:dyDescent="0.2">
      <c r="A86" s="161" t="s">
        <v>56</v>
      </c>
      <c r="B86" s="1138" t="s">
        <v>1780</v>
      </c>
      <c r="C86" s="1140" t="s">
        <v>1744</v>
      </c>
      <c r="D86" s="1140" t="s">
        <v>1782</v>
      </c>
      <c r="E86" s="1140" t="s">
        <v>1783</v>
      </c>
      <c r="F86" s="1140" t="s">
        <v>1746</v>
      </c>
      <c r="G86" s="1141">
        <v>0</v>
      </c>
      <c r="H86" s="1141">
        <v>9525923.6600000001</v>
      </c>
    </row>
    <row r="87" spans="1:8" x14ac:dyDescent="0.2">
      <c r="A87" s="161" t="s">
        <v>60</v>
      </c>
      <c r="B87" s="1138"/>
      <c r="C87" s="1140"/>
      <c r="D87" s="1140"/>
      <c r="E87" s="1140"/>
      <c r="F87" s="1140"/>
      <c r="G87" s="1141"/>
      <c r="H87" s="1141"/>
    </row>
    <row r="88" spans="1:8" x14ac:dyDescent="0.2">
      <c r="A88" s="161" t="s">
        <v>61</v>
      </c>
      <c r="B88" s="1138"/>
      <c r="C88" s="1140"/>
      <c r="D88" s="1140"/>
      <c r="E88" s="1140"/>
      <c r="F88" s="1140"/>
      <c r="G88" s="1141"/>
      <c r="H88" s="1141"/>
    </row>
    <row r="89" spans="1:8" x14ac:dyDescent="0.2">
      <c r="A89" s="161" t="s">
        <v>1792</v>
      </c>
      <c r="B89" s="1138"/>
      <c r="C89" s="1140"/>
      <c r="D89" s="1140"/>
      <c r="E89" s="1140"/>
      <c r="F89" s="1140"/>
      <c r="G89" s="1141"/>
      <c r="H89" s="1141"/>
    </row>
    <row r="90" spans="1:8" x14ac:dyDescent="0.2">
      <c r="A90" s="161"/>
      <c r="B90" s="551"/>
      <c r="C90" s="535"/>
      <c r="D90" s="535"/>
      <c r="E90" s="535"/>
      <c r="F90" s="535"/>
      <c r="G90" s="535"/>
      <c r="H90" s="535"/>
    </row>
    <row r="91" spans="1:8" x14ac:dyDescent="0.2">
      <c r="A91" s="161" t="s">
        <v>57</v>
      </c>
      <c r="B91" s="161"/>
      <c r="C91" s="535"/>
      <c r="D91" s="535"/>
      <c r="E91" s="535"/>
      <c r="F91" s="535"/>
      <c r="G91" s="535"/>
      <c r="H91" s="535"/>
    </row>
    <row r="92" spans="1:8" x14ac:dyDescent="0.2">
      <c r="A92" s="161" t="s">
        <v>58</v>
      </c>
      <c r="B92" s="161"/>
      <c r="C92" s="535"/>
      <c r="D92" s="535"/>
      <c r="E92" s="535"/>
      <c r="F92" s="535"/>
      <c r="G92" s="535"/>
      <c r="H92" s="535"/>
    </row>
    <row r="93" spans="1:8" x14ac:dyDescent="0.2">
      <c r="A93" s="161" t="s">
        <v>59</v>
      </c>
      <c r="B93" s="161"/>
      <c r="C93" s="535"/>
      <c r="D93" s="535"/>
      <c r="E93" s="535"/>
      <c r="F93" s="535"/>
      <c r="G93" s="535"/>
      <c r="H93" s="535"/>
    </row>
    <row r="94" spans="1:8" x14ac:dyDescent="0.2">
      <c r="A94" s="161" t="s">
        <v>376</v>
      </c>
      <c r="B94" s="161"/>
      <c r="C94" s="535"/>
      <c r="D94" s="535"/>
      <c r="E94" s="535"/>
      <c r="F94" s="535"/>
      <c r="G94" s="535"/>
      <c r="H94" s="535"/>
    </row>
    <row r="95" spans="1:8" ht="12.75" thickBot="1" x14ac:dyDescent="0.25">
      <c r="A95" s="163"/>
      <c r="B95" s="163"/>
      <c r="C95" s="552"/>
      <c r="D95" s="552"/>
      <c r="E95" s="552"/>
      <c r="F95" s="552"/>
      <c r="G95" s="552"/>
      <c r="H95" s="552"/>
    </row>
    <row r="96" spans="1:8" ht="13.5" customHeight="1" thickBot="1" x14ac:dyDescent="0.25">
      <c r="A96" s="1135" t="s">
        <v>1793</v>
      </c>
      <c r="B96" s="1136"/>
      <c r="C96" s="1136"/>
      <c r="D96" s="1136"/>
      <c r="E96" s="1136"/>
      <c r="F96" s="1137"/>
      <c r="G96" s="538">
        <f>SUM(G70:G95)</f>
        <v>7637957.6699999999</v>
      </c>
      <c r="H96" s="538">
        <f>SUM(H70:H95)</f>
        <v>14173394.530000001</v>
      </c>
    </row>
    <row r="97" spans="1:8" x14ac:dyDescent="0.2">
      <c r="A97" s="167"/>
      <c r="B97" s="167"/>
      <c r="C97" s="534"/>
      <c r="D97" s="528"/>
      <c r="E97" s="535"/>
      <c r="F97" s="164"/>
      <c r="G97" s="534"/>
      <c r="H97" s="534"/>
    </row>
    <row r="98" spans="1:8" x14ac:dyDescent="0.2">
      <c r="A98" s="161" t="s">
        <v>52</v>
      </c>
      <c r="B98" s="550" t="s">
        <v>1794</v>
      </c>
      <c r="C98" s="534" t="s">
        <v>1744</v>
      </c>
      <c r="D98" s="539" t="s">
        <v>1795</v>
      </c>
      <c r="E98" s="540">
        <v>2013</v>
      </c>
      <c r="F98" s="534" t="s">
        <v>1746</v>
      </c>
      <c r="G98" s="536">
        <v>0</v>
      </c>
      <c r="H98" s="536">
        <v>0</v>
      </c>
    </row>
    <row r="99" spans="1:8" x14ac:dyDescent="0.2">
      <c r="A99" s="161"/>
      <c r="B99" s="550"/>
      <c r="C99" s="534"/>
      <c r="D99" s="539"/>
      <c r="E99" s="540"/>
      <c r="F99" s="534"/>
      <c r="G99" s="536"/>
      <c r="H99" s="536"/>
    </row>
    <row r="100" spans="1:8" x14ac:dyDescent="0.2">
      <c r="A100" s="161" t="s">
        <v>53</v>
      </c>
      <c r="B100" s="550"/>
      <c r="C100" s="534"/>
      <c r="D100" s="539"/>
      <c r="E100" s="540"/>
      <c r="F100" s="534"/>
      <c r="G100" s="536"/>
      <c r="H100" s="536"/>
    </row>
    <row r="101" spans="1:8" x14ac:dyDescent="0.2">
      <c r="A101" s="161"/>
      <c r="B101" s="1142" t="s">
        <v>1794</v>
      </c>
      <c r="C101" s="534" t="s">
        <v>1744</v>
      </c>
      <c r="D101" s="539" t="s">
        <v>1796</v>
      </c>
      <c r="E101" s="540">
        <v>2017</v>
      </c>
      <c r="F101" s="534" t="s">
        <v>1746</v>
      </c>
      <c r="G101" s="536">
        <v>1897.7</v>
      </c>
      <c r="H101" s="536">
        <v>1897.7</v>
      </c>
    </row>
    <row r="102" spans="1:8" x14ac:dyDescent="0.2">
      <c r="A102" s="161"/>
      <c r="B102" s="1142"/>
      <c r="C102" s="534" t="s">
        <v>1744</v>
      </c>
      <c r="D102" s="539" t="s">
        <v>1795</v>
      </c>
      <c r="E102" s="540">
        <v>2013</v>
      </c>
      <c r="F102" s="534" t="s">
        <v>1746</v>
      </c>
      <c r="G102" s="536">
        <v>16008.560000000005</v>
      </c>
      <c r="H102" s="536">
        <v>16020.659999999996</v>
      </c>
    </row>
    <row r="103" spans="1:8" x14ac:dyDescent="0.2">
      <c r="A103" s="161"/>
      <c r="B103" s="1142"/>
      <c r="C103" s="534" t="s">
        <v>1744</v>
      </c>
      <c r="D103" s="539" t="s">
        <v>1797</v>
      </c>
      <c r="E103" s="540">
        <v>2017</v>
      </c>
      <c r="F103" s="534" t="s">
        <v>1746</v>
      </c>
      <c r="G103" s="536">
        <v>0</v>
      </c>
      <c r="H103" s="536">
        <v>0</v>
      </c>
    </row>
    <row r="104" spans="1:8" x14ac:dyDescent="0.2">
      <c r="A104" s="161"/>
      <c r="B104" s="550"/>
      <c r="C104" s="534"/>
      <c r="D104" s="539"/>
      <c r="E104" s="540"/>
      <c r="F104" s="534"/>
      <c r="G104" s="536"/>
      <c r="H104" s="536"/>
    </row>
    <row r="105" spans="1:8" x14ac:dyDescent="0.2">
      <c r="A105" s="161" t="s">
        <v>54</v>
      </c>
      <c r="B105" s="550"/>
      <c r="C105" s="534"/>
      <c r="D105" s="539"/>
      <c r="E105" s="540"/>
      <c r="F105" s="534"/>
      <c r="G105" s="536"/>
      <c r="H105" s="536"/>
    </row>
    <row r="106" spans="1:8" ht="12.75" customHeight="1" thickBot="1" x14ac:dyDescent="0.25">
      <c r="A106" s="163" t="s">
        <v>1798</v>
      </c>
      <c r="B106" s="1142" t="s">
        <v>1794</v>
      </c>
      <c r="C106" s="582" t="s">
        <v>1744</v>
      </c>
      <c r="D106" s="944" t="s">
        <v>1795</v>
      </c>
      <c r="E106" s="938">
        <v>2013</v>
      </c>
      <c r="F106" s="933" t="s">
        <v>1746</v>
      </c>
      <c r="G106" s="939">
        <v>0</v>
      </c>
      <c r="H106" s="939">
        <v>530934.92000000086</v>
      </c>
    </row>
    <row r="107" spans="1:8" x14ac:dyDescent="0.2">
      <c r="A107" s="161" t="s">
        <v>377</v>
      </c>
      <c r="B107" s="1142"/>
      <c r="C107" s="534" t="s">
        <v>1744</v>
      </c>
      <c r="D107" s="539">
        <v>4783008273</v>
      </c>
      <c r="E107" s="540">
        <v>2015</v>
      </c>
      <c r="F107" s="534" t="s">
        <v>1746</v>
      </c>
      <c r="G107" s="536">
        <v>0</v>
      </c>
      <c r="H107" s="536">
        <v>0</v>
      </c>
    </row>
    <row r="108" spans="1:8" x14ac:dyDescent="0.2">
      <c r="A108" s="161"/>
      <c r="B108" s="550"/>
      <c r="C108" s="534"/>
      <c r="D108" s="539"/>
      <c r="E108" s="540"/>
      <c r="F108" s="534"/>
      <c r="G108" s="536"/>
      <c r="H108" s="536"/>
    </row>
    <row r="109" spans="1:8" x14ac:dyDescent="0.2">
      <c r="A109" s="161" t="s">
        <v>55</v>
      </c>
      <c r="B109" s="550"/>
      <c r="C109" s="534"/>
      <c r="D109" s="539"/>
      <c r="E109" s="540"/>
      <c r="F109" s="534"/>
      <c r="G109" s="536"/>
      <c r="H109" s="536"/>
    </row>
    <row r="110" spans="1:8" x14ac:dyDescent="0.2">
      <c r="A110" s="161"/>
      <c r="B110" s="550"/>
      <c r="C110" s="534"/>
      <c r="D110" s="539"/>
      <c r="E110" s="540"/>
      <c r="F110" s="534"/>
      <c r="G110" s="536"/>
      <c r="H110" s="536"/>
    </row>
    <row r="111" spans="1:8" x14ac:dyDescent="0.2">
      <c r="A111" s="161" t="s">
        <v>56</v>
      </c>
      <c r="B111" s="550"/>
      <c r="C111" s="534"/>
      <c r="D111" s="539"/>
      <c r="E111" s="540"/>
      <c r="F111" s="534"/>
      <c r="G111" s="536">
        <v>0</v>
      </c>
      <c r="H111" s="536"/>
    </row>
    <row r="112" spans="1:8" x14ac:dyDescent="0.2">
      <c r="A112" s="161" t="s">
        <v>60</v>
      </c>
      <c r="B112" s="550" t="s">
        <v>1794</v>
      </c>
      <c r="C112" s="534" t="s">
        <v>1744</v>
      </c>
      <c r="D112" s="539" t="s">
        <v>1795</v>
      </c>
      <c r="E112" s="540">
        <v>2013</v>
      </c>
      <c r="F112" s="534" t="s">
        <v>1746</v>
      </c>
      <c r="G112" s="536"/>
      <c r="H112" s="536">
        <v>6842365.3100000005</v>
      </c>
    </row>
    <row r="113" spans="1:8" x14ac:dyDescent="0.2">
      <c r="A113" s="161" t="s">
        <v>61</v>
      </c>
      <c r="B113" s="550"/>
      <c r="C113" s="534"/>
      <c r="D113" s="539"/>
      <c r="E113" s="540"/>
      <c r="F113" s="534"/>
      <c r="G113" s="536"/>
      <c r="H113" s="536"/>
    </row>
    <row r="114" spans="1:8" x14ac:dyDescent="0.2">
      <c r="A114" s="161" t="s">
        <v>57</v>
      </c>
      <c r="B114" s="550"/>
      <c r="C114" s="534"/>
      <c r="D114" s="539"/>
      <c r="E114" s="540"/>
      <c r="F114" s="534"/>
      <c r="G114" s="536"/>
      <c r="H114" s="536"/>
    </row>
    <row r="115" spans="1:8" x14ac:dyDescent="0.2">
      <c r="A115" s="161" t="s">
        <v>58</v>
      </c>
      <c r="B115" s="550"/>
      <c r="C115" s="533"/>
      <c r="D115" s="539"/>
      <c r="E115" s="540"/>
      <c r="F115" s="533"/>
      <c r="G115" s="536"/>
      <c r="H115" s="536"/>
    </row>
    <row r="116" spans="1:8" x14ac:dyDescent="0.2">
      <c r="A116" s="161" t="s">
        <v>59</v>
      </c>
      <c r="B116" s="161"/>
      <c r="C116" s="534"/>
      <c r="D116" s="528"/>
      <c r="E116" s="535"/>
      <c r="F116" s="164"/>
      <c r="G116" s="534"/>
      <c r="H116" s="534"/>
    </row>
    <row r="117" spans="1:8" x14ac:dyDescent="0.2">
      <c r="A117" s="161" t="s">
        <v>376</v>
      </c>
      <c r="B117" s="550"/>
      <c r="C117" s="534"/>
      <c r="D117" s="539"/>
      <c r="E117" s="540"/>
      <c r="F117" s="534"/>
      <c r="G117" s="536"/>
      <c r="H117" s="536"/>
    </row>
    <row r="118" spans="1:8" ht="12.75" thickBot="1" x14ac:dyDescent="0.25">
      <c r="A118" s="163"/>
      <c r="B118" s="552"/>
      <c r="C118" s="534"/>
      <c r="D118" s="539"/>
      <c r="E118" s="540"/>
      <c r="F118" s="534"/>
      <c r="G118" s="536"/>
      <c r="H118" s="536"/>
    </row>
    <row r="119" spans="1:8" ht="13.5" customHeight="1" thickBot="1" x14ac:dyDescent="0.25">
      <c r="A119" s="1135" t="s">
        <v>1799</v>
      </c>
      <c r="B119" s="1136"/>
      <c r="C119" s="1136"/>
      <c r="D119" s="1136"/>
      <c r="E119" s="1136"/>
      <c r="F119" s="1137"/>
      <c r="G119" s="543">
        <f>SUM(G97:G118)</f>
        <v>17906.260000000006</v>
      </c>
      <c r="H119" s="538">
        <f>SUM(H97:H118)</f>
        <v>7391218.5900000017</v>
      </c>
    </row>
    <row r="120" spans="1:8" ht="15" x14ac:dyDescent="0.2">
      <c r="A120" s="167"/>
      <c r="B120" s="553"/>
      <c r="C120" s="534"/>
      <c r="D120" s="530"/>
      <c r="E120" s="535"/>
      <c r="F120" s="534"/>
      <c r="G120" s="536"/>
      <c r="H120" s="536"/>
    </row>
    <row r="121" spans="1:8" x14ac:dyDescent="0.2">
      <c r="A121" s="161" t="s">
        <v>52</v>
      </c>
      <c r="B121" s="554" t="s">
        <v>1800</v>
      </c>
      <c r="C121" s="534" t="s">
        <v>1744</v>
      </c>
      <c r="D121" s="530" t="s">
        <v>1801</v>
      </c>
      <c r="E121" s="540">
        <v>2005</v>
      </c>
      <c r="F121" s="520" t="s">
        <v>1746</v>
      </c>
      <c r="G121" s="536">
        <v>2069.44</v>
      </c>
      <c r="H121" s="536">
        <v>3644934.99</v>
      </c>
    </row>
    <row r="122" spans="1:8" x14ac:dyDescent="0.2">
      <c r="A122" s="161"/>
      <c r="B122" s="554"/>
      <c r="C122" s="534"/>
      <c r="D122" s="530"/>
      <c r="E122" s="540"/>
      <c r="F122" s="534"/>
      <c r="G122" s="536"/>
      <c r="H122" s="536"/>
    </row>
    <row r="123" spans="1:8" x14ac:dyDescent="0.2">
      <c r="A123" s="161" t="s">
        <v>53</v>
      </c>
      <c r="B123" s="554" t="s">
        <v>1800</v>
      </c>
      <c r="C123" s="534" t="s">
        <v>1744</v>
      </c>
      <c r="D123" s="530" t="s">
        <v>1802</v>
      </c>
      <c r="E123" s="540">
        <v>2001</v>
      </c>
      <c r="F123" s="520" t="s">
        <v>1746</v>
      </c>
      <c r="G123" s="536">
        <v>4528.91</v>
      </c>
      <c r="H123" s="536">
        <v>38291.89</v>
      </c>
    </row>
    <row r="124" spans="1:8" ht="15" x14ac:dyDescent="0.2">
      <c r="A124" s="161"/>
      <c r="B124" s="555"/>
      <c r="C124" s="534"/>
      <c r="D124" s="530"/>
      <c r="E124" s="540"/>
      <c r="F124" s="534"/>
      <c r="G124" s="536"/>
      <c r="H124" s="536"/>
    </row>
    <row r="125" spans="1:8" ht="15" x14ac:dyDescent="0.2">
      <c r="A125" s="161" t="s">
        <v>54</v>
      </c>
      <c r="B125" s="555"/>
      <c r="C125" s="534"/>
      <c r="D125" s="530"/>
      <c r="E125" s="540"/>
      <c r="F125" s="534"/>
      <c r="G125" s="536"/>
      <c r="H125" s="536"/>
    </row>
    <row r="126" spans="1:8" ht="15" x14ac:dyDescent="0.2">
      <c r="A126" s="161" t="s">
        <v>377</v>
      </c>
      <c r="B126" s="555"/>
      <c r="C126" s="534"/>
      <c r="D126" s="530"/>
      <c r="E126" s="540"/>
      <c r="F126" s="534"/>
      <c r="G126" s="536"/>
      <c r="H126" s="536"/>
    </row>
    <row r="127" spans="1:8" ht="15" x14ac:dyDescent="0.2">
      <c r="A127" s="161"/>
      <c r="B127" s="555"/>
      <c r="C127" s="534"/>
      <c r="D127" s="530"/>
      <c r="E127" s="540"/>
      <c r="F127" s="534"/>
      <c r="G127" s="536"/>
      <c r="H127" s="536"/>
    </row>
    <row r="128" spans="1:8" ht="15" x14ac:dyDescent="0.2">
      <c r="A128" s="161" t="s">
        <v>55</v>
      </c>
      <c r="B128" s="555"/>
      <c r="C128" s="534"/>
      <c r="D128" s="530"/>
      <c r="E128" s="540"/>
      <c r="F128" s="534"/>
      <c r="G128" s="536"/>
      <c r="H128" s="536"/>
    </row>
    <row r="129" spans="1:8" ht="15" x14ac:dyDescent="0.2">
      <c r="A129" s="161"/>
      <c r="B129" s="555"/>
      <c r="C129" s="534"/>
      <c r="D129" s="530"/>
      <c r="E129" s="540"/>
      <c r="F129" s="534"/>
      <c r="G129" s="536"/>
      <c r="H129" s="536"/>
    </row>
    <row r="130" spans="1:8" ht="15" x14ac:dyDescent="0.2">
      <c r="A130" s="161" t="s">
        <v>56</v>
      </c>
      <c r="B130" s="555"/>
      <c r="C130" s="534"/>
      <c r="D130" s="530"/>
      <c r="E130" s="540"/>
      <c r="F130" s="534"/>
      <c r="G130" s="536"/>
      <c r="H130" s="536"/>
    </row>
    <row r="131" spans="1:8" ht="15" x14ac:dyDescent="0.2">
      <c r="A131" s="161"/>
      <c r="B131" s="555"/>
      <c r="C131" s="534"/>
      <c r="D131" s="530"/>
      <c r="E131" s="540"/>
      <c r="F131" s="534"/>
      <c r="G131" s="536"/>
      <c r="H131" s="536"/>
    </row>
    <row r="132" spans="1:8" ht="15" x14ac:dyDescent="0.2">
      <c r="A132" s="161" t="s">
        <v>60</v>
      </c>
      <c r="B132" s="555"/>
      <c r="C132" s="534"/>
      <c r="D132" s="530"/>
      <c r="E132" s="540"/>
      <c r="F132" s="534"/>
      <c r="G132" s="536"/>
      <c r="H132" s="536"/>
    </row>
    <row r="133" spans="1:8" ht="15" x14ac:dyDescent="0.2">
      <c r="A133" s="161" t="s">
        <v>61</v>
      </c>
      <c r="B133" s="555"/>
      <c r="C133" s="534"/>
      <c r="D133" s="530"/>
      <c r="E133" s="540"/>
      <c r="F133" s="534"/>
      <c r="G133" s="536"/>
      <c r="H133" s="536"/>
    </row>
    <row r="134" spans="1:8" ht="15" x14ac:dyDescent="0.2">
      <c r="A134" s="161" t="s">
        <v>57</v>
      </c>
      <c r="B134" s="555"/>
      <c r="C134" s="534"/>
      <c r="D134" s="530"/>
      <c r="E134" s="540"/>
      <c r="F134" s="534"/>
      <c r="G134" s="536"/>
      <c r="H134" s="536"/>
    </row>
    <row r="135" spans="1:8" ht="15" x14ac:dyDescent="0.2">
      <c r="A135" s="161" t="s">
        <v>58</v>
      </c>
      <c r="B135" s="555"/>
      <c r="C135" s="534"/>
      <c r="D135" s="530"/>
      <c r="E135" s="540"/>
      <c r="F135" s="534"/>
      <c r="G135" s="536"/>
      <c r="H135" s="536"/>
    </row>
    <row r="136" spans="1:8" ht="15" x14ac:dyDescent="0.2">
      <c r="A136" s="161" t="s">
        <v>59</v>
      </c>
      <c r="B136" s="555"/>
      <c r="C136" s="534"/>
      <c r="D136" s="530"/>
      <c r="E136" s="540"/>
      <c r="F136" s="534"/>
      <c r="G136" s="536"/>
      <c r="H136" s="536"/>
    </row>
    <row r="137" spans="1:8" ht="15" x14ac:dyDescent="0.2">
      <c r="A137" s="161" t="s">
        <v>376</v>
      </c>
      <c r="B137" s="555"/>
      <c r="C137" s="534"/>
      <c r="D137" s="530"/>
      <c r="E137" s="540"/>
      <c r="F137" s="534"/>
      <c r="G137" s="536"/>
      <c r="H137" s="536"/>
    </row>
    <row r="138" spans="1:8" ht="15.75" thickBot="1" x14ac:dyDescent="0.25">
      <c r="A138" s="163"/>
      <c r="B138" s="556"/>
      <c r="C138" s="533"/>
      <c r="D138" s="557"/>
      <c r="E138" s="540"/>
      <c r="F138" s="533"/>
      <c r="G138" s="536"/>
      <c r="H138" s="536"/>
    </row>
    <row r="139" spans="1:8" ht="13.5" customHeight="1" thickBot="1" x14ac:dyDescent="0.25">
      <c r="A139" s="1135" t="s">
        <v>1803</v>
      </c>
      <c r="B139" s="1136"/>
      <c r="C139" s="1136"/>
      <c r="D139" s="1136"/>
      <c r="E139" s="1136"/>
      <c r="F139" s="1137"/>
      <c r="G139" s="538">
        <f>SUM(G120:G138)</f>
        <v>6598.35</v>
      </c>
      <c r="H139" s="538">
        <f>SUM(H120:H138)</f>
        <v>3683226.8800000004</v>
      </c>
    </row>
    <row r="140" spans="1:8" x14ac:dyDescent="0.2">
      <c r="A140" s="167"/>
      <c r="B140" s="166"/>
      <c r="C140" s="164"/>
      <c r="D140" s="528"/>
      <c r="E140" s="165"/>
      <c r="F140" s="164"/>
      <c r="G140" s="558"/>
      <c r="H140" s="558"/>
    </row>
    <row r="141" spans="1:8" x14ac:dyDescent="0.2">
      <c r="A141" s="161" t="s">
        <v>52</v>
      </c>
      <c r="B141" s="529" t="s">
        <v>1804</v>
      </c>
      <c r="C141" s="534" t="s">
        <v>1744</v>
      </c>
      <c r="D141" s="537" t="s">
        <v>1805</v>
      </c>
      <c r="E141" s="540">
        <v>2005</v>
      </c>
      <c r="F141" s="534" t="s">
        <v>1746</v>
      </c>
      <c r="G141" s="536">
        <v>0</v>
      </c>
      <c r="H141" s="536">
        <v>0</v>
      </c>
    </row>
    <row r="142" spans="1:8" x14ac:dyDescent="0.2">
      <c r="A142" s="161"/>
      <c r="B142" s="533"/>
      <c r="C142" s="534"/>
      <c r="D142" s="530"/>
      <c r="E142" s="540"/>
      <c r="F142" s="534"/>
      <c r="G142" s="558"/>
      <c r="H142" s="536"/>
    </row>
    <row r="143" spans="1:8" x14ac:dyDescent="0.2">
      <c r="A143" s="161" t="s">
        <v>53</v>
      </c>
      <c r="B143" s="529" t="s">
        <v>1804</v>
      </c>
      <c r="C143" s="534" t="s">
        <v>1744</v>
      </c>
      <c r="D143" s="537" t="s">
        <v>1806</v>
      </c>
      <c r="E143" s="540" t="s">
        <v>1807</v>
      </c>
      <c r="F143" s="534" t="s">
        <v>1746</v>
      </c>
      <c r="G143" s="536">
        <v>22224.639999999999</v>
      </c>
      <c r="H143" s="536">
        <v>62762.18</v>
      </c>
    </row>
    <row r="144" spans="1:8" x14ac:dyDescent="0.2">
      <c r="A144" s="161"/>
      <c r="B144" s="533"/>
      <c r="C144" s="534"/>
      <c r="D144" s="530"/>
      <c r="E144" s="540"/>
      <c r="F144" s="534"/>
      <c r="G144" s="558"/>
      <c r="H144" s="536"/>
    </row>
    <row r="145" spans="1:8" x14ac:dyDescent="0.2">
      <c r="A145" s="161" t="s">
        <v>54</v>
      </c>
      <c r="B145" s="529"/>
      <c r="C145" s="534"/>
      <c r="D145" s="537"/>
      <c r="E145" s="540"/>
      <c r="F145" s="534"/>
      <c r="G145" s="536"/>
      <c r="H145" s="536"/>
    </row>
    <row r="146" spans="1:8" x14ac:dyDescent="0.2">
      <c r="A146" s="161" t="s">
        <v>377</v>
      </c>
      <c r="B146" s="533"/>
      <c r="C146" s="534"/>
      <c r="D146" s="530"/>
      <c r="E146" s="540"/>
      <c r="F146" s="534"/>
      <c r="G146" s="536"/>
      <c r="H146" s="536"/>
    </row>
    <row r="147" spans="1:8" x14ac:dyDescent="0.2">
      <c r="A147" s="161"/>
      <c r="B147" s="533"/>
      <c r="C147" s="534"/>
      <c r="D147" s="537"/>
      <c r="E147" s="540"/>
      <c r="F147" s="534"/>
      <c r="G147" s="536"/>
      <c r="H147" s="536"/>
    </row>
    <row r="148" spans="1:8" x14ac:dyDescent="0.2">
      <c r="A148" s="161" t="s">
        <v>55</v>
      </c>
      <c r="B148" s="529"/>
      <c r="C148" s="534"/>
      <c r="D148" s="530"/>
      <c r="E148" s="540"/>
      <c r="F148" s="534"/>
      <c r="G148" s="536">
        <f>SUM(G150:G151)</f>
        <v>0</v>
      </c>
      <c r="H148" s="536">
        <f>SUM(H150:H151)</f>
        <v>2345804.19</v>
      </c>
    </row>
    <row r="149" spans="1:8" x14ac:dyDescent="0.2">
      <c r="A149" s="161"/>
      <c r="B149" s="529"/>
      <c r="C149" s="534"/>
      <c r="D149" s="537"/>
      <c r="E149" s="540"/>
      <c r="F149" s="534"/>
      <c r="G149" s="536"/>
      <c r="H149" s="536"/>
    </row>
    <row r="150" spans="1:8" x14ac:dyDescent="0.2">
      <c r="A150" s="161" t="s">
        <v>1808</v>
      </c>
      <c r="B150" s="529" t="s">
        <v>1804</v>
      </c>
      <c r="C150" s="534" t="s">
        <v>1744</v>
      </c>
      <c r="D150" s="530" t="s">
        <v>1806</v>
      </c>
      <c r="E150" s="540" t="s">
        <v>1807</v>
      </c>
      <c r="F150" s="534" t="s">
        <v>1746</v>
      </c>
      <c r="G150" s="536">
        <v>0</v>
      </c>
      <c r="H150" s="536">
        <v>117527.66</v>
      </c>
    </row>
    <row r="151" spans="1:8" x14ac:dyDescent="0.2">
      <c r="A151" s="161" t="s">
        <v>1809</v>
      </c>
      <c r="B151" s="529" t="s">
        <v>1804</v>
      </c>
      <c r="C151" s="534" t="s">
        <v>1744</v>
      </c>
      <c r="D151" s="537" t="s">
        <v>1806</v>
      </c>
      <c r="E151" s="540" t="s">
        <v>1810</v>
      </c>
      <c r="F151" s="534" t="s">
        <v>1746</v>
      </c>
      <c r="G151" s="536">
        <v>0</v>
      </c>
      <c r="H151" s="536">
        <v>2228276.5299999998</v>
      </c>
    </row>
    <row r="152" spans="1:8" x14ac:dyDescent="0.2">
      <c r="A152" s="161"/>
      <c r="B152" s="533"/>
      <c r="C152" s="534"/>
      <c r="D152" s="530"/>
      <c r="E152" s="540"/>
      <c r="F152" s="534"/>
      <c r="G152" s="536"/>
      <c r="H152" s="536"/>
    </row>
    <row r="153" spans="1:8" x14ac:dyDescent="0.2">
      <c r="A153" s="161" t="s">
        <v>56</v>
      </c>
      <c r="B153" s="529"/>
      <c r="C153" s="534"/>
      <c r="D153" s="537"/>
      <c r="E153" s="540"/>
      <c r="F153" s="534"/>
      <c r="G153" s="536">
        <v>0</v>
      </c>
      <c r="H153" s="536">
        <f>SUM(H155)</f>
        <v>348.29</v>
      </c>
    </row>
    <row r="154" spans="1:8" x14ac:dyDescent="0.2">
      <c r="A154" s="161"/>
      <c r="B154" s="533"/>
      <c r="C154" s="534"/>
      <c r="D154" s="530"/>
      <c r="E154" s="540"/>
      <c r="F154" s="534"/>
      <c r="G154" s="536"/>
      <c r="H154" s="536"/>
    </row>
    <row r="155" spans="1:8" x14ac:dyDescent="0.2">
      <c r="A155" s="161" t="s">
        <v>60</v>
      </c>
      <c r="B155" s="529" t="s">
        <v>1804</v>
      </c>
      <c r="C155" s="534" t="s">
        <v>1744</v>
      </c>
      <c r="D155" s="537" t="s">
        <v>1811</v>
      </c>
      <c r="E155" s="540" t="s">
        <v>1812</v>
      </c>
      <c r="F155" s="534" t="s">
        <v>1746</v>
      </c>
      <c r="G155" s="536">
        <v>13524.47</v>
      </c>
      <c r="H155" s="536">
        <v>348.29</v>
      </c>
    </row>
    <row r="156" spans="1:8" x14ac:dyDescent="0.2">
      <c r="A156" s="161" t="s">
        <v>61</v>
      </c>
      <c r="B156" s="519"/>
      <c r="C156" s="520"/>
      <c r="D156" s="530"/>
      <c r="E156" s="559"/>
      <c r="F156" s="520"/>
      <c r="G156" s="536"/>
      <c r="H156" s="536">
        <v>13524.47</v>
      </c>
    </row>
    <row r="157" spans="1:8" ht="12.75" thickBot="1" x14ac:dyDescent="0.25">
      <c r="A157" s="163" t="s">
        <v>57</v>
      </c>
      <c r="B157" s="941"/>
      <c r="C157" s="942"/>
      <c r="D157" s="937"/>
      <c r="E157" s="943"/>
      <c r="F157" s="942"/>
      <c r="G157" s="939"/>
      <c r="H157" s="939"/>
    </row>
    <row r="158" spans="1:8" x14ac:dyDescent="0.2">
      <c r="A158" s="161" t="s">
        <v>58</v>
      </c>
      <c r="B158" s="519"/>
      <c r="C158" s="520"/>
      <c r="D158" s="530"/>
      <c r="E158" s="559"/>
      <c r="F158" s="520"/>
      <c r="G158" s="536"/>
      <c r="H158" s="536"/>
    </row>
    <row r="159" spans="1:8" x14ac:dyDescent="0.2">
      <c r="A159" s="161" t="s">
        <v>59</v>
      </c>
      <c r="B159" s="160"/>
      <c r="C159" s="164"/>
      <c r="D159" s="537"/>
      <c r="E159" s="535"/>
      <c r="F159" s="534"/>
      <c r="G159" s="536"/>
      <c r="H159" s="536"/>
    </row>
    <row r="160" spans="1:8" x14ac:dyDescent="0.2">
      <c r="A160" s="161" t="s">
        <v>376</v>
      </c>
      <c r="B160" s="160"/>
      <c r="C160" s="164"/>
      <c r="D160" s="530"/>
      <c r="E160" s="535"/>
      <c r="F160" s="534"/>
      <c r="G160" s="536"/>
      <c r="H160" s="536"/>
    </row>
    <row r="161" spans="1:8" ht="12.75" thickBot="1" x14ac:dyDescent="0.25">
      <c r="A161" s="163"/>
      <c r="B161" s="162"/>
      <c r="C161" s="160"/>
      <c r="D161" s="557"/>
      <c r="E161" s="550"/>
      <c r="F161" s="533"/>
      <c r="G161" s="536"/>
      <c r="H161" s="536"/>
    </row>
    <row r="162" spans="1:8" ht="13.5" customHeight="1" thickBot="1" x14ac:dyDescent="0.25">
      <c r="A162" s="1135" t="s">
        <v>1813</v>
      </c>
      <c r="B162" s="1136"/>
      <c r="C162" s="1136"/>
      <c r="D162" s="1136"/>
      <c r="E162" s="1136"/>
      <c r="F162" s="1137"/>
      <c r="G162" s="538">
        <f>SUM(G140:G161)</f>
        <v>35749.11</v>
      </c>
      <c r="H162" s="538">
        <f>SUM(H140:H161)</f>
        <v>4768591.6100000003</v>
      </c>
    </row>
    <row r="163" spans="1:8" x14ac:dyDescent="0.2">
      <c r="A163" s="167"/>
      <c r="B163" s="166"/>
      <c r="C163" s="164"/>
      <c r="D163" s="528"/>
      <c r="E163" s="165"/>
      <c r="F163" s="164"/>
      <c r="G163" s="164"/>
      <c r="H163" s="164"/>
    </row>
    <row r="164" spans="1:8" x14ac:dyDescent="0.2">
      <c r="A164" s="161" t="s">
        <v>52</v>
      </c>
      <c r="B164" s="533" t="s">
        <v>1814</v>
      </c>
      <c r="C164" s="534" t="s">
        <v>1744</v>
      </c>
      <c r="D164" s="560" t="s">
        <v>1815</v>
      </c>
      <c r="E164" s="561">
        <v>37987</v>
      </c>
      <c r="F164" s="520" t="s">
        <v>1746</v>
      </c>
      <c r="G164" s="536">
        <v>0</v>
      </c>
      <c r="H164" s="536">
        <v>0</v>
      </c>
    </row>
    <row r="165" spans="1:8" x14ac:dyDescent="0.2">
      <c r="A165" s="161"/>
      <c r="B165" s="160"/>
      <c r="C165" s="164"/>
      <c r="D165" s="530"/>
      <c r="E165" s="535"/>
      <c r="F165" s="534"/>
      <c r="G165" s="534"/>
      <c r="H165" s="534"/>
    </row>
    <row r="166" spans="1:8" x14ac:dyDescent="0.2">
      <c r="A166" s="161" t="s">
        <v>53</v>
      </c>
      <c r="B166" s="533" t="s">
        <v>1814</v>
      </c>
      <c r="C166" s="534" t="s">
        <v>1744</v>
      </c>
      <c r="D166" s="557" t="s">
        <v>1816</v>
      </c>
      <c r="E166" s="561">
        <v>37622</v>
      </c>
      <c r="F166" s="520" t="s">
        <v>1746</v>
      </c>
      <c r="G166" s="536">
        <v>15.7</v>
      </c>
      <c r="H166" s="536">
        <v>8229.6299999999992</v>
      </c>
    </row>
    <row r="167" spans="1:8" x14ac:dyDescent="0.2">
      <c r="A167" s="161"/>
      <c r="B167" s="160"/>
      <c r="C167" s="164"/>
      <c r="D167" s="530"/>
      <c r="E167" s="535"/>
      <c r="F167" s="534"/>
      <c r="G167" s="534"/>
      <c r="H167" s="534"/>
    </row>
    <row r="168" spans="1:8" x14ac:dyDescent="0.2">
      <c r="A168" s="161" t="s">
        <v>54</v>
      </c>
      <c r="B168" s="160"/>
      <c r="C168" s="164"/>
      <c r="D168" s="530"/>
      <c r="E168" s="535"/>
      <c r="F168" s="534"/>
      <c r="G168" s="534"/>
      <c r="H168" s="534"/>
    </row>
    <row r="169" spans="1:8" x14ac:dyDescent="0.2">
      <c r="A169" s="161" t="s">
        <v>1798</v>
      </c>
      <c r="B169" s="160"/>
      <c r="C169" s="164"/>
      <c r="D169" s="530"/>
      <c r="E169" s="535"/>
      <c r="F169" s="534"/>
      <c r="G169" s="534"/>
      <c r="H169" s="534"/>
    </row>
    <row r="170" spans="1:8" x14ac:dyDescent="0.2">
      <c r="A170" s="161" t="s">
        <v>1817</v>
      </c>
      <c r="B170" s="533" t="s">
        <v>1814</v>
      </c>
      <c r="C170" s="534" t="s">
        <v>1744</v>
      </c>
      <c r="D170" s="560" t="s">
        <v>1815</v>
      </c>
      <c r="E170" s="561">
        <v>44193</v>
      </c>
      <c r="F170" s="520" t="s">
        <v>1746</v>
      </c>
      <c r="G170" s="536">
        <v>1246700</v>
      </c>
      <c r="H170" s="536">
        <v>0</v>
      </c>
    </row>
    <row r="171" spans="1:8" x14ac:dyDescent="0.2">
      <c r="A171" s="161" t="s">
        <v>1818</v>
      </c>
      <c r="B171" s="533" t="s">
        <v>1814</v>
      </c>
      <c r="C171" s="534" t="s">
        <v>1744</v>
      </c>
      <c r="D171" s="560" t="s">
        <v>1815</v>
      </c>
      <c r="E171" s="561">
        <v>44285</v>
      </c>
      <c r="F171" s="520" t="s">
        <v>1746</v>
      </c>
      <c r="G171" s="536">
        <v>0</v>
      </c>
      <c r="H171" s="536">
        <v>2328451.15</v>
      </c>
    </row>
    <row r="172" spans="1:8" x14ac:dyDescent="0.2">
      <c r="A172" s="161"/>
      <c r="B172" s="562"/>
      <c r="C172" s="164"/>
      <c r="D172" s="530"/>
      <c r="E172" s="535"/>
      <c r="F172" s="534"/>
      <c r="G172" s="534"/>
      <c r="H172" s="534"/>
    </row>
    <row r="173" spans="1:8" x14ac:dyDescent="0.2">
      <c r="A173" s="161" t="s">
        <v>55</v>
      </c>
      <c r="B173" s="533" t="s">
        <v>1814</v>
      </c>
      <c r="C173" s="534" t="s">
        <v>1744</v>
      </c>
      <c r="D173" s="557" t="s">
        <v>1819</v>
      </c>
      <c r="E173" s="561">
        <v>37622</v>
      </c>
      <c r="F173" s="520" t="s">
        <v>1746</v>
      </c>
      <c r="G173" s="536">
        <v>0</v>
      </c>
      <c r="H173" s="536">
        <v>0</v>
      </c>
    </row>
    <row r="174" spans="1:8" x14ac:dyDescent="0.2">
      <c r="A174" s="161"/>
      <c r="B174" s="562"/>
      <c r="C174" s="563"/>
      <c r="D174" s="530"/>
      <c r="E174" s="535"/>
      <c r="F174" s="534"/>
      <c r="G174" s="534"/>
      <c r="H174" s="534"/>
    </row>
    <row r="175" spans="1:8" x14ac:dyDescent="0.2">
      <c r="A175" s="161" t="s">
        <v>1820</v>
      </c>
      <c r="B175" s="562"/>
      <c r="C175" s="563"/>
      <c r="D175" s="530"/>
      <c r="E175" s="535"/>
      <c r="F175" s="534"/>
      <c r="G175" s="534"/>
      <c r="H175" s="534"/>
    </row>
    <row r="176" spans="1:8" x14ac:dyDescent="0.2">
      <c r="A176" s="161"/>
      <c r="B176" s="562"/>
      <c r="C176" s="164"/>
      <c r="D176" s="530"/>
      <c r="E176" s="535"/>
      <c r="F176" s="534"/>
      <c r="G176" s="534"/>
      <c r="H176" s="534"/>
    </row>
    <row r="177" spans="1:8" x14ac:dyDescent="0.2">
      <c r="A177" s="161" t="s">
        <v>60</v>
      </c>
      <c r="B177" s="533" t="s">
        <v>1814</v>
      </c>
      <c r="C177" s="534" t="s">
        <v>1744</v>
      </c>
      <c r="D177" s="557" t="s">
        <v>1815</v>
      </c>
      <c r="E177" s="561">
        <v>39995</v>
      </c>
      <c r="F177" s="520" t="s">
        <v>1746</v>
      </c>
      <c r="G177" s="536">
        <v>3601.09</v>
      </c>
      <c r="H177" s="536">
        <v>3603.77</v>
      </c>
    </row>
    <row r="178" spans="1:8" x14ac:dyDescent="0.2">
      <c r="A178" s="161" t="s">
        <v>61</v>
      </c>
      <c r="B178" s="160"/>
      <c r="C178" s="164"/>
      <c r="D178" s="530"/>
      <c r="E178" s="535"/>
      <c r="F178" s="534"/>
      <c r="G178" s="534"/>
      <c r="H178" s="534"/>
    </row>
    <row r="179" spans="1:8" x14ac:dyDescent="0.2">
      <c r="A179" s="161" t="s">
        <v>57</v>
      </c>
      <c r="B179" s="160"/>
      <c r="C179" s="164"/>
      <c r="D179" s="530"/>
      <c r="E179" s="535"/>
      <c r="F179" s="534"/>
      <c r="G179" s="534"/>
      <c r="H179" s="534"/>
    </row>
    <row r="180" spans="1:8" x14ac:dyDescent="0.2">
      <c r="A180" s="161" t="s">
        <v>58</v>
      </c>
      <c r="B180" s="160"/>
      <c r="C180" s="164"/>
      <c r="D180" s="530"/>
      <c r="E180" s="535"/>
      <c r="F180" s="534"/>
      <c r="G180" s="534"/>
      <c r="H180" s="534"/>
    </row>
    <row r="181" spans="1:8" x14ac:dyDescent="0.2">
      <c r="A181" s="161" t="s">
        <v>59</v>
      </c>
      <c r="B181" s="160"/>
      <c r="C181" s="164"/>
      <c r="D181" s="530"/>
      <c r="E181" s="535"/>
      <c r="F181" s="534"/>
      <c r="G181" s="534"/>
      <c r="H181" s="534"/>
    </row>
    <row r="182" spans="1:8" x14ac:dyDescent="0.2">
      <c r="A182" s="161" t="s">
        <v>1821</v>
      </c>
      <c r="B182" s="533" t="s">
        <v>1814</v>
      </c>
      <c r="C182" s="534" t="s">
        <v>1744</v>
      </c>
      <c r="D182" s="557" t="s">
        <v>1815</v>
      </c>
      <c r="E182" s="561">
        <v>41883</v>
      </c>
      <c r="F182" s="520" t="s">
        <v>1746</v>
      </c>
      <c r="G182" s="536">
        <v>261263.66</v>
      </c>
      <c r="H182" s="536">
        <v>290791.52</v>
      </c>
    </row>
    <row r="183" spans="1:8" x14ac:dyDescent="0.2">
      <c r="A183" s="161"/>
      <c r="B183" s="160"/>
      <c r="C183" s="164"/>
      <c r="D183" s="530"/>
      <c r="E183" s="535"/>
      <c r="F183" s="534"/>
      <c r="G183" s="534"/>
      <c r="H183" s="534"/>
    </row>
    <row r="184" spans="1:8" x14ac:dyDescent="0.2">
      <c r="A184" s="161" t="s">
        <v>1822</v>
      </c>
      <c r="B184" s="533" t="s">
        <v>1814</v>
      </c>
      <c r="C184" s="534" t="s">
        <v>1744</v>
      </c>
      <c r="D184" s="557" t="s">
        <v>1815</v>
      </c>
      <c r="E184" s="561">
        <v>41275</v>
      </c>
      <c r="F184" s="520" t="s">
        <v>1746</v>
      </c>
      <c r="G184" s="536">
        <v>23396.11</v>
      </c>
      <c r="H184" s="536">
        <v>20153.55</v>
      </c>
    </row>
    <row r="185" spans="1:8" x14ac:dyDescent="0.2">
      <c r="A185" s="161"/>
      <c r="B185" s="160"/>
      <c r="C185" s="164"/>
      <c r="D185" s="530"/>
      <c r="E185" s="535"/>
      <c r="F185" s="534"/>
      <c r="G185" s="534"/>
      <c r="H185" s="534"/>
    </row>
    <row r="186" spans="1:8" x14ac:dyDescent="0.2">
      <c r="A186" s="161" t="s">
        <v>1823</v>
      </c>
      <c r="B186" s="533" t="s">
        <v>1814</v>
      </c>
      <c r="C186" s="534" t="s">
        <v>1744</v>
      </c>
      <c r="D186" s="557" t="s">
        <v>1815</v>
      </c>
      <c r="E186" s="561">
        <v>42917</v>
      </c>
      <c r="F186" s="520" t="s">
        <v>1746</v>
      </c>
      <c r="G186" s="536">
        <v>167893.71</v>
      </c>
      <c r="H186" s="536">
        <v>128746.25</v>
      </c>
    </row>
    <row r="187" spans="1:8" x14ac:dyDescent="0.2">
      <c r="A187" s="161"/>
      <c r="B187" s="160"/>
      <c r="C187" s="164"/>
      <c r="D187" s="530"/>
      <c r="E187" s="535"/>
      <c r="F187" s="534"/>
      <c r="G187" s="534"/>
      <c r="H187" s="534"/>
    </row>
    <row r="188" spans="1:8" ht="12.75" thickBot="1" x14ac:dyDescent="0.25">
      <c r="A188" s="163"/>
      <c r="B188" s="162"/>
      <c r="C188" s="160"/>
      <c r="E188" s="550"/>
      <c r="F188" s="533"/>
      <c r="G188" s="533"/>
      <c r="H188" s="533"/>
    </row>
    <row r="189" spans="1:8" ht="13.5" customHeight="1" thickBot="1" x14ac:dyDescent="0.25">
      <c r="A189" s="1135" t="s">
        <v>1824</v>
      </c>
      <c r="B189" s="1136"/>
      <c r="C189" s="1136"/>
      <c r="D189" s="1136"/>
      <c r="E189" s="1136"/>
      <c r="F189" s="1137"/>
      <c r="G189" s="543">
        <f>SUM(G163:G188)</f>
        <v>1702870.27</v>
      </c>
      <c r="H189" s="538">
        <f>SUM(H163:H188)</f>
        <v>2779975.8699999996</v>
      </c>
    </row>
    <row r="190" spans="1:8" x14ac:dyDescent="0.2">
      <c r="A190" s="167"/>
      <c r="B190" s="166"/>
      <c r="C190" s="564"/>
      <c r="D190" s="530"/>
      <c r="E190" s="165"/>
      <c r="F190" s="164"/>
      <c r="G190" s="534"/>
      <c r="H190" s="534"/>
    </row>
    <row r="191" spans="1:8" x14ac:dyDescent="0.2">
      <c r="A191" s="161" t="s">
        <v>52</v>
      </c>
      <c r="B191" s="550" t="s">
        <v>1825</v>
      </c>
      <c r="C191" s="534" t="s">
        <v>1744</v>
      </c>
      <c r="D191" s="535" t="s">
        <v>1826</v>
      </c>
      <c r="E191" s="565">
        <v>2005</v>
      </c>
      <c r="F191" s="534" t="s">
        <v>1746</v>
      </c>
      <c r="G191" s="536">
        <v>0</v>
      </c>
      <c r="H191" s="536">
        <v>0</v>
      </c>
    </row>
    <row r="192" spans="1:8" x14ac:dyDescent="0.2">
      <c r="A192" s="161"/>
      <c r="B192" s="160"/>
      <c r="C192" s="165"/>
      <c r="D192" s="535"/>
      <c r="E192" s="565"/>
      <c r="F192" s="534"/>
      <c r="G192" s="536"/>
      <c r="H192" s="536"/>
    </row>
    <row r="193" spans="1:8" x14ac:dyDescent="0.2">
      <c r="A193" s="161" t="s">
        <v>53</v>
      </c>
      <c r="B193" s="550" t="s">
        <v>1825</v>
      </c>
      <c r="C193" s="534" t="s">
        <v>1744</v>
      </c>
      <c r="D193" s="535" t="s">
        <v>1827</v>
      </c>
      <c r="E193" s="565">
        <v>2001</v>
      </c>
      <c r="F193" s="534" t="s">
        <v>1746</v>
      </c>
      <c r="G193" s="536">
        <v>37530.410000000003</v>
      </c>
      <c r="H193" s="536">
        <v>47408.41</v>
      </c>
    </row>
    <row r="194" spans="1:8" x14ac:dyDescent="0.2">
      <c r="A194" s="161"/>
      <c r="B194" s="160"/>
      <c r="C194" s="165"/>
      <c r="D194" s="535"/>
      <c r="E194" s="565"/>
      <c r="F194" s="534"/>
      <c r="G194" s="536"/>
      <c r="H194" s="536"/>
    </row>
    <row r="195" spans="1:8" x14ac:dyDescent="0.2">
      <c r="A195" s="161" t="s">
        <v>54</v>
      </c>
      <c r="B195" s="533" t="s">
        <v>1828</v>
      </c>
      <c r="C195" s="535" t="s">
        <v>1828</v>
      </c>
      <c r="D195" s="535" t="s">
        <v>1828</v>
      </c>
      <c r="E195" s="565" t="s">
        <v>1828</v>
      </c>
      <c r="F195" s="534" t="s">
        <v>1828</v>
      </c>
      <c r="G195" s="536"/>
      <c r="H195" s="536"/>
    </row>
    <row r="196" spans="1:8" x14ac:dyDescent="0.2">
      <c r="A196" s="161" t="s">
        <v>377</v>
      </c>
      <c r="B196" s="160"/>
      <c r="C196" s="165"/>
      <c r="D196" s="535"/>
      <c r="E196" s="565"/>
      <c r="F196" s="534"/>
      <c r="G196" s="536"/>
      <c r="H196" s="536"/>
    </row>
    <row r="197" spans="1:8" x14ac:dyDescent="0.2">
      <c r="A197" s="161"/>
      <c r="B197" s="160"/>
      <c r="C197" s="165"/>
      <c r="D197" s="535"/>
      <c r="E197" s="565"/>
      <c r="F197" s="534"/>
      <c r="G197" s="536"/>
      <c r="H197" s="536"/>
    </row>
    <row r="198" spans="1:8" x14ac:dyDescent="0.2">
      <c r="A198" s="161" t="s">
        <v>55</v>
      </c>
      <c r="B198" s="550" t="s">
        <v>1825</v>
      </c>
      <c r="C198" s="534" t="s">
        <v>1744</v>
      </c>
      <c r="D198" s="535" t="s">
        <v>1826</v>
      </c>
      <c r="E198" s="565">
        <v>2017</v>
      </c>
      <c r="F198" s="534" t="s">
        <v>1746</v>
      </c>
      <c r="G198" s="536">
        <v>44093.64</v>
      </c>
      <c r="H198" s="536">
        <v>17683.04</v>
      </c>
    </row>
    <row r="199" spans="1:8" x14ac:dyDescent="0.2">
      <c r="A199" s="161"/>
      <c r="B199" s="160"/>
      <c r="C199" s="165"/>
      <c r="D199" s="535"/>
      <c r="E199" s="565"/>
      <c r="F199" s="534"/>
      <c r="G199" s="536"/>
      <c r="H199" s="536"/>
    </row>
    <row r="200" spans="1:8" x14ac:dyDescent="0.2">
      <c r="A200" s="161" t="s">
        <v>56</v>
      </c>
      <c r="B200" s="161"/>
      <c r="C200" s="535"/>
      <c r="D200" s="550"/>
      <c r="E200" s="565"/>
      <c r="F200" s="534"/>
      <c r="G200" s="536"/>
      <c r="H200" s="536"/>
    </row>
    <row r="201" spans="1:8" x14ac:dyDescent="0.2">
      <c r="A201" s="161"/>
      <c r="B201" s="160"/>
      <c r="C201" s="165"/>
      <c r="D201" s="535"/>
      <c r="E201" s="565"/>
      <c r="F201" s="534"/>
      <c r="G201" s="536"/>
      <c r="H201" s="536"/>
    </row>
    <row r="202" spans="1:8" ht="12.75" x14ac:dyDescent="0.2">
      <c r="A202" s="161" t="s">
        <v>60</v>
      </c>
      <c r="B202" s="566"/>
      <c r="C202" s="165"/>
      <c r="D202" s="535"/>
      <c r="E202" s="565"/>
      <c r="F202" s="534"/>
      <c r="G202" s="536"/>
      <c r="H202" s="536"/>
    </row>
    <row r="203" spans="1:8" x14ac:dyDescent="0.2">
      <c r="A203" s="161" t="s">
        <v>61</v>
      </c>
      <c r="B203" s="550" t="s">
        <v>1825</v>
      </c>
      <c r="C203" s="534" t="s">
        <v>1744</v>
      </c>
      <c r="D203" s="535" t="s">
        <v>1826</v>
      </c>
      <c r="E203" s="565">
        <v>2014</v>
      </c>
      <c r="F203" s="534" t="s">
        <v>1746</v>
      </c>
      <c r="G203" s="536">
        <v>153106.38</v>
      </c>
      <c r="H203" s="536">
        <v>105594.18</v>
      </c>
    </row>
    <row r="204" spans="1:8" x14ac:dyDescent="0.2">
      <c r="A204" s="161" t="s">
        <v>57</v>
      </c>
      <c r="B204" s="160"/>
      <c r="C204" s="165"/>
      <c r="D204" s="530"/>
      <c r="E204" s="165"/>
      <c r="F204" s="164"/>
      <c r="G204" s="534"/>
      <c r="H204" s="534"/>
    </row>
    <row r="205" spans="1:8" x14ac:dyDescent="0.2">
      <c r="A205" s="161" t="s">
        <v>58</v>
      </c>
      <c r="B205" s="160"/>
      <c r="C205" s="165"/>
      <c r="D205" s="530"/>
      <c r="E205" s="165"/>
      <c r="F205" s="164"/>
      <c r="G205" s="534"/>
      <c r="H205" s="534"/>
    </row>
    <row r="206" spans="1:8" x14ac:dyDescent="0.2">
      <c r="A206" s="161" t="s">
        <v>59</v>
      </c>
      <c r="B206" s="160"/>
      <c r="C206" s="165"/>
      <c r="D206" s="530"/>
      <c r="E206" s="165"/>
      <c r="F206" s="164"/>
      <c r="G206" s="534"/>
      <c r="H206" s="534"/>
    </row>
    <row r="207" spans="1:8" x14ac:dyDescent="0.2">
      <c r="A207" s="161" t="s">
        <v>376</v>
      </c>
      <c r="B207" s="160"/>
      <c r="C207" s="165"/>
      <c r="D207" s="530"/>
      <c r="E207" s="165"/>
      <c r="F207" s="164"/>
      <c r="G207" s="534"/>
      <c r="H207" s="534"/>
    </row>
    <row r="208" spans="1:8" ht="12.75" thickBot="1" x14ac:dyDescent="0.25">
      <c r="A208" s="163"/>
      <c r="B208" s="162"/>
      <c r="C208" s="163"/>
      <c r="D208" s="557"/>
      <c r="E208" s="161"/>
      <c r="F208" s="160"/>
      <c r="G208" s="533"/>
      <c r="H208" s="533"/>
    </row>
    <row r="209" spans="1:8" ht="13.5" customHeight="1" thickBot="1" x14ac:dyDescent="0.25">
      <c r="A209" s="1135" t="s">
        <v>1829</v>
      </c>
      <c r="B209" s="1136"/>
      <c r="C209" s="1136"/>
      <c r="D209" s="1136"/>
      <c r="E209" s="1136"/>
      <c r="F209" s="1137"/>
      <c r="G209" s="543">
        <f>SUM(G190:G208)</f>
        <v>234730.43</v>
      </c>
      <c r="H209" s="538">
        <f>SUM(H190:H208)</f>
        <v>170685.63</v>
      </c>
    </row>
    <row r="210" spans="1:8" x14ac:dyDescent="0.2">
      <c r="A210" s="167"/>
      <c r="B210" s="527"/>
      <c r="C210" s="164"/>
      <c r="D210" s="530"/>
      <c r="E210" s="540"/>
      <c r="F210" s="534"/>
      <c r="G210" s="534"/>
      <c r="H210" s="534"/>
    </row>
    <row r="211" spans="1:8" x14ac:dyDescent="0.2">
      <c r="A211" s="161" t="s">
        <v>52</v>
      </c>
      <c r="B211" s="533" t="s">
        <v>1830</v>
      </c>
      <c r="C211" s="534" t="s">
        <v>1744</v>
      </c>
      <c r="D211" s="530" t="s">
        <v>1831</v>
      </c>
      <c r="E211" s="540" t="s">
        <v>1832</v>
      </c>
      <c r="F211" s="534" t="s">
        <v>1746</v>
      </c>
      <c r="G211" s="534">
        <v>0</v>
      </c>
      <c r="H211" s="534"/>
    </row>
    <row r="212" spans="1:8" ht="12.75" thickBot="1" x14ac:dyDescent="0.25">
      <c r="A212" s="163"/>
      <c r="B212" s="542"/>
      <c r="C212" s="940"/>
      <c r="D212" s="935"/>
      <c r="E212" s="938"/>
      <c r="F212" s="933"/>
      <c r="G212" s="933"/>
      <c r="H212" s="933"/>
    </row>
    <row r="213" spans="1:8" x14ac:dyDescent="0.2">
      <c r="A213" s="161" t="s">
        <v>53</v>
      </c>
      <c r="B213" s="533" t="s">
        <v>1830</v>
      </c>
      <c r="C213" s="534" t="s">
        <v>1744</v>
      </c>
      <c r="D213" s="530" t="s">
        <v>1833</v>
      </c>
      <c r="E213" s="540" t="s">
        <v>1832</v>
      </c>
      <c r="F213" s="534" t="s">
        <v>1746</v>
      </c>
      <c r="G213" s="534"/>
      <c r="H213" s="536">
        <v>28109.39</v>
      </c>
    </row>
    <row r="214" spans="1:8" x14ac:dyDescent="0.2">
      <c r="A214" s="161"/>
      <c r="B214" s="533"/>
      <c r="C214" s="164"/>
      <c r="D214" s="530"/>
      <c r="E214" s="540"/>
      <c r="F214" s="534"/>
      <c r="G214" s="534"/>
      <c r="H214" s="534"/>
    </row>
    <row r="215" spans="1:8" x14ac:dyDescent="0.2">
      <c r="A215" s="161" t="s">
        <v>54</v>
      </c>
      <c r="B215" s="533"/>
      <c r="C215" s="164"/>
      <c r="D215" s="530"/>
      <c r="E215" s="540"/>
      <c r="F215" s="534"/>
      <c r="G215" s="534"/>
      <c r="H215" s="534"/>
    </row>
    <row r="216" spans="1:8" x14ac:dyDescent="0.2">
      <c r="A216" s="161" t="s">
        <v>377</v>
      </c>
      <c r="B216" s="533"/>
      <c r="C216" s="164"/>
      <c r="D216" s="530"/>
      <c r="E216" s="540"/>
      <c r="F216" s="534"/>
      <c r="G216" s="534"/>
      <c r="H216" s="534"/>
    </row>
    <row r="217" spans="1:8" x14ac:dyDescent="0.2">
      <c r="A217" s="161"/>
      <c r="B217" s="533"/>
      <c r="C217" s="164"/>
      <c r="D217" s="530"/>
      <c r="E217" s="540"/>
      <c r="F217" s="534"/>
      <c r="G217" s="534"/>
      <c r="H217" s="534"/>
    </row>
    <row r="218" spans="1:8" x14ac:dyDescent="0.2">
      <c r="A218" s="161" t="s">
        <v>55</v>
      </c>
      <c r="B218" s="533"/>
      <c r="C218" s="164"/>
      <c r="D218" s="530"/>
      <c r="E218" s="540"/>
      <c r="F218" s="534"/>
      <c r="G218" s="534"/>
      <c r="H218" s="534"/>
    </row>
    <row r="219" spans="1:8" x14ac:dyDescent="0.2">
      <c r="A219" s="161"/>
      <c r="B219" s="533"/>
      <c r="C219" s="164"/>
      <c r="D219" s="530"/>
      <c r="E219" s="540"/>
      <c r="F219" s="534"/>
      <c r="G219" s="534"/>
      <c r="H219" s="534"/>
    </row>
    <row r="220" spans="1:8" x14ac:dyDescent="0.2">
      <c r="A220" s="161" t="s">
        <v>56</v>
      </c>
      <c r="B220" s="533"/>
      <c r="C220" s="160"/>
      <c r="D220" s="533"/>
      <c r="E220" s="540"/>
      <c r="F220" s="533"/>
      <c r="G220" s="533"/>
      <c r="H220" s="534"/>
    </row>
    <row r="221" spans="1:8" x14ac:dyDescent="0.2">
      <c r="A221" s="161"/>
      <c r="B221" s="160"/>
      <c r="C221" s="160"/>
      <c r="D221" s="533"/>
      <c r="E221" s="540"/>
      <c r="F221" s="533"/>
      <c r="G221" s="533"/>
      <c r="H221" s="534"/>
    </row>
    <row r="222" spans="1:8" x14ac:dyDescent="0.2">
      <c r="A222" s="161" t="s">
        <v>60</v>
      </c>
      <c r="B222" s="160"/>
      <c r="C222" s="160"/>
      <c r="D222" s="533"/>
      <c r="E222" s="540"/>
      <c r="F222" s="533"/>
      <c r="G222" s="533"/>
      <c r="H222" s="534"/>
    </row>
    <row r="223" spans="1:8" x14ac:dyDescent="0.2">
      <c r="A223" s="161" t="s">
        <v>61</v>
      </c>
      <c r="B223" s="160"/>
      <c r="C223" s="164"/>
      <c r="D223" s="530"/>
      <c r="E223" s="540"/>
      <c r="F223" s="534"/>
      <c r="G223" s="534"/>
      <c r="H223" s="534"/>
    </row>
    <row r="224" spans="1:8" x14ac:dyDescent="0.2">
      <c r="A224" s="161" t="s">
        <v>57</v>
      </c>
      <c r="B224" s="160"/>
      <c r="C224" s="164"/>
      <c r="D224" s="530"/>
      <c r="E224" s="540"/>
      <c r="F224" s="534"/>
      <c r="G224" s="534"/>
      <c r="H224" s="534"/>
    </row>
    <row r="225" spans="1:8" x14ac:dyDescent="0.2">
      <c r="A225" s="161" t="s">
        <v>58</v>
      </c>
      <c r="B225" s="160"/>
      <c r="C225" s="164"/>
      <c r="D225" s="530"/>
      <c r="E225" s="540"/>
      <c r="F225" s="534"/>
      <c r="G225" s="534"/>
      <c r="H225" s="534"/>
    </row>
    <row r="226" spans="1:8" x14ac:dyDescent="0.2">
      <c r="A226" s="161" t="s">
        <v>59</v>
      </c>
      <c r="B226" s="160"/>
      <c r="C226" s="164"/>
      <c r="D226" s="530"/>
      <c r="E226" s="540"/>
      <c r="F226" s="534"/>
      <c r="G226" s="534"/>
      <c r="H226" s="534"/>
    </row>
    <row r="227" spans="1:8" ht="24" x14ac:dyDescent="0.2">
      <c r="A227" s="547" t="s">
        <v>1834</v>
      </c>
      <c r="B227" s="533" t="s">
        <v>1830</v>
      </c>
      <c r="C227" s="534" t="s">
        <v>1744</v>
      </c>
      <c r="D227" s="530" t="s">
        <v>1835</v>
      </c>
      <c r="E227" s="540" t="s">
        <v>1836</v>
      </c>
      <c r="F227" s="534" t="s">
        <v>1746</v>
      </c>
      <c r="G227" s="534">
        <v>0</v>
      </c>
      <c r="H227" s="534"/>
    </row>
    <row r="228" spans="1:8" ht="12.75" thickBot="1" x14ac:dyDescent="0.25">
      <c r="A228" s="163"/>
      <c r="B228" s="162"/>
      <c r="C228" s="160"/>
      <c r="D228" s="557"/>
      <c r="E228" s="540"/>
      <c r="F228" s="533"/>
      <c r="G228" s="533"/>
      <c r="H228" s="533"/>
    </row>
    <row r="229" spans="1:8" ht="13.5" customHeight="1" thickBot="1" x14ac:dyDescent="0.25">
      <c r="A229" s="1135" t="s">
        <v>1837</v>
      </c>
      <c r="B229" s="1136"/>
      <c r="C229" s="1136"/>
      <c r="D229" s="1136"/>
      <c r="E229" s="1136"/>
      <c r="F229" s="1137"/>
      <c r="G229" s="538">
        <f>SUM(G210:G228)</f>
        <v>0</v>
      </c>
      <c r="H229" s="538">
        <f>SUM(H210:H228)</f>
        <v>28109.39</v>
      </c>
    </row>
    <row r="230" spans="1:8" ht="12.75" x14ac:dyDescent="0.2">
      <c r="A230" s="167"/>
      <c r="B230" s="527"/>
      <c r="C230" s="564"/>
      <c r="D230" s="530"/>
      <c r="E230" s="535"/>
      <c r="F230" s="534"/>
      <c r="G230" s="567"/>
      <c r="H230" s="534"/>
    </row>
    <row r="231" spans="1:8" x14ac:dyDescent="0.2">
      <c r="A231" s="161" t="s">
        <v>52</v>
      </c>
      <c r="B231" s="533" t="s">
        <v>1838</v>
      </c>
      <c r="C231" s="535" t="s">
        <v>1744</v>
      </c>
      <c r="D231" s="539" t="s">
        <v>1839</v>
      </c>
      <c r="E231" s="540" t="s">
        <v>1840</v>
      </c>
      <c r="F231" s="534" t="s">
        <v>1746</v>
      </c>
      <c r="G231" s="568">
        <v>9792990.4600000009</v>
      </c>
      <c r="H231" s="568">
        <v>8722897.0700000003</v>
      </c>
    </row>
    <row r="232" spans="1:8" x14ac:dyDescent="0.2">
      <c r="A232" s="161"/>
      <c r="B232" s="533"/>
      <c r="C232" s="165"/>
      <c r="D232" s="530"/>
      <c r="E232" s="535"/>
      <c r="F232" s="534"/>
      <c r="G232" s="568"/>
      <c r="H232" s="568"/>
    </row>
    <row r="233" spans="1:8" x14ac:dyDescent="0.2">
      <c r="A233" s="161" t="s">
        <v>53</v>
      </c>
      <c r="B233" s="533" t="s">
        <v>1838</v>
      </c>
      <c r="C233" s="535" t="s">
        <v>1744</v>
      </c>
      <c r="D233" s="539" t="s">
        <v>1841</v>
      </c>
      <c r="E233" s="540" t="s">
        <v>1840</v>
      </c>
      <c r="F233" s="534" t="s">
        <v>1746</v>
      </c>
      <c r="G233" s="568">
        <v>35.21</v>
      </c>
      <c r="H233" s="568">
        <v>35.21</v>
      </c>
    </row>
    <row r="234" spans="1:8" x14ac:dyDescent="0.2">
      <c r="A234" s="161"/>
      <c r="B234" s="533"/>
      <c r="C234" s="165"/>
      <c r="D234" s="530"/>
      <c r="E234" s="535"/>
      <c r="F234" s="534"/>
      <c r="G234" s="568"/>
      <c r="H234" s="568"/>
    </row>
    <row r="235" spans="1:8" x14ac:dyDescent="0.2">
      <c r="A235" s="161" t="s">
        <v>54</v>
      </c>
      <c r="B235" s="533"/>
      <c r="C235" s="165"/>
      <c r="D235" s="530"/>
      <c r="E235" s="535"/>
      <c r="F235" s="534"/>
      <c r="G235" s="568"/>
      <c r="H235" s="568"/>
    </row>
    <row r="236" spans="1:8" x14ac:dyDescent="0.2">
      <c r="A236" s="161" t="s">
        <v>377</v>
      </c>
      <c r="B236" s="533"/>
      <c r="C236" s="165"/>
      <c r="D236" s="530"/>
      <c r="E236" s="535"/>
      <c r="F236" s="534"/>
      <c r="G236" s="568"/>
      <c r="H236" s="568"/>
    </row>
    <row r="237" spans="1:8" ht="25.5" x14ac:dyDescent="0.2">
      <c r="A237" s="569" t="s">
        <v>1842</v>
      </c>
      <c r="B237" s="533" t="s">
        <v>1838</v>
      </c>
      <c r="C237" s="535" t="s">
        <v>1744</v>
      </c>
      <c r="D237" s="539" t="s">
        <v>1839</v>
      </c>
      <c r="E237" s="540" t="s">
        <v>1840</v>
      </c>
      <c r="F237" s="534" t="s">
        <v>1746</v>
      </c>
      <c r="G237" s="568">
        <v>2396.2199999999998</v>
      </c>
      <c r="H237" s="568">
        <v>592.35</v>
      </c>
    </row>
    <row r="238" spans="1:8" ht="25.5" x14ac:dyDescent="0.2">
      <c r="A238" s="569" t="s">
        <v>1843</v>
      </c>
      <c r="B238" s="533" t="s">
        <v>1838</v>
      </c>
      <c r="C238" s="535" t="s">
        <v>1744</v>
      </c>
      <c r="D238" s="539" t="s">
        <v>1839</v>
      </c>
      <c r="E238" s="540" t="s">
        <v>1844</v>
      </c>
      <c r="F238" s="534" t="s">
        <v>1746</v>
      </c>
      <c r="G238" s="568">
        <v>200</v>
      </c>
      <c r="H238" s="568">
        <v>0</v>
      </c>
    </row>
    <row r="239" spans="1:8" ht="12.75" x14ac:dyDescent="0.2">
      <c r="A239" s="570" t="s">
        <v>1845</v>
      </c>
      <c r="B239" s="533" t="s">
        <v>1838</v>
      </c>
      <c r="C239" s="535" t="s">
        <v>1744</v>
      </c>
      <c r="D239" s="539" t="s">
        <v>1839</v>
      </c>
      <c r="E239" s="540" t="s">
        <v>1840</v>
      </c>
      <c r="F239" s="534" t="s">
        <v>1746</v>
      </c>
      <c r="G239" s="568">
        <v>308293.08</v>
      </c>
      <c r="H239" s="568">
        <v>202720.13</v>
      </c>
    </row>
    <row r="240" spans="1:8" ht="12.75" x14ac:dyDescent="0.2">
      <c r="A240" s="569" t="s">
        <v>1846</v>
      </c>
      <c r="B240" s="533" t="s">
        <v>1838</v>
      </c>
      <c r="C240" s="535" t="s">
        <v>1744</v>
      </c>
      <c r="D240" s="539" t="s">
        <v>1839</v>
      </c>
      <c r="E240" s="540" t="s">
        <v>1840</v>
      </c>
      <c r="F240" s="534" t="s">
        <v>1746</v>
      </c>
      <c r="G240" s="568">
        <v>430066.93</v>
      </c>
      <c r="H240" s="568">
        <v>327998.93</v>
      </c>
    </row>
    <row r="241" spans="1:8" x14ac:dyDescent="0.2">
      <c r="A241" s="161"/>
      <c r="B241" s="533"/>
      <c r="C241" s="165"/>
      <c r="D241" s="530"/>
      <c r="E241" s="535"/>
      <c r="F241" s="534"/>
      <c r="G241" s="568"/>
      <c r="H241" s="568"/>
    </row>
    <row r="242" spans="1:8" x14ac:dyDescent="0.2">
      <c r="A242" s="161" t="s">
        <v>55</v>
      </c>
      <c r="B242" s="533"/>
      <c r="C242" s="161"/>
      <c r="D242" s="530"/>
      <c r="E242" s="535"/>
      <c r="F242" s="534"/>
      <c r="G242" s="568"/>
      <c r="H242" s="568"/>
    </row>
    <row r="243" spans="1:8" x14ac:dyDescent="0.2">
      <c r="A243" s="161"/>
      <c r="B243" s="533"/>
      <c r="C243" s="165"/>
      <c r="D243" s="530"/>
      <c r="E243" s="535"/>
      <c r="F243" s="534"/>
      <c r="G243" s="568"/>
      <c r="H243" s="568"/>
    </row>
    <row r="244" spans="1:8" x14ac:dyDescent="0.2">
      <c r="A244" s="161" t="s">
        <v>56</v>
      </c>
      <c r="B244" s="533"/>
      <c r="C244" s="161"/>
      <c r="D244" s="533"/>
      <c r="E244" s="533"/>
      <c r="F244" s="533"/>
      <c r="G244" s="568"/>
      <c r="H244" s="568"/>
    </row>
    <row r="245" spans="1:8" x14ac:dyDescent="0.2">
      <c r="A245" s="161"/>
      <c r="B245" s="160"/>
      <c r="C245" s="161"/>
      <c r="D245" s="533"/>
      <c r="E245" s="533"/>
      <c r="F245" s="533"/>
      <c r="G245" s="568"/>
      <c r="H245" s="568"/>
    </row>
    <row r="246" spans="1:8" ht="12.75" x14ac:dyDescent="0.2">
      <c r="A246" s="161" t="s">
        <v>60</v>
      </c>
      <c r="B246" s="160"/>
      <c r="C246" s="161"/>
      <c r="D246" s="533"/>
      <c r="E246" s="533"/>
      <c r="F246" s="533"/>
      <c r="G246" s="567"/>
      <c r="H246" s="567"/>
    </row>
    <row r="247" spans="1:8" ht="12.75" x14ac:dyDescent="0.2">
      <c r="A247" s="161" t="s">
        <v>61</v>
      </c>
      <c r="B247" s="160"/>
      <c r="C247" s="165"/>
      <c r="D247" s="530"/>
      <c r="E247" s="535"/>
      <c r="F247" s="534"/>
      <c r="G247" s="534"/>
      <c r="H247" s="567"/>
    </row>
    <row r="248" spans="1:8" ht="12.75" x14ac:dyDescent="0.2">
      <c r="A248" s="161" t="s">
        <v>57</v>
      </c>
      <c r="B248" s="160"/>
      <c r="C248" s="165"/>
      <c r="D248" s="530"/>
      <c r="E248" s="535"/>
      <c r="F248" s="534"/>
      <c r="G248" s="534"/>
      <c r="H248" s="567"/>
    </row>
    <row r="249" spans="1:8" ht="12.75" x14ac:dyDescent="0.2">
      <c r="A249" s="161" t="s">
        <v>58</v>
      </c>
      <c r="B249" s="160"/>
      <c r="C249" s="165"/>
      <c r="D249" s="530"/>
      <c r="E249" s="535"/>
      <c r="F249" s="534"/>
      <c r="G249" s="534"/>
      <c r="H249" s="567"/>
    </row>
    <row r="250" spans="1:8" x14ac:dyDescent="0.2">
      <c r="A250" s="161" t="s">
        <v>59</v>
      </c>
      <c r="B250" s="160"/>
      <c r="C250" s="165"/>
      <c r="D250" s="530"/>
      <c r="E250" s="535"/>
      <c r="F250" s="534"/>
      <c r="G250" s="534"/>
      <c r="H250" s="534"/>
    </row>
    <row r="251" spans="1:8" x14ac:dyDescent="0.2">
      <c r="A251" s="161" t="s">
        <v>1834</v>
      </c>
      <c r="B251" s="533"/>
      <c r="C251" s="535"/>
      <c r="D251" s="530"/>
      <c r="E251" s="535"/>
      <c r="F251" s="534"/>
      <c r="G251" s="534"/>
      <c r="H251" s="534"/>
    </row>
    <row r="252" spans="1:8" ht="12.75" thickBot="1" x14ac:dyDescent="0.25">
      <c r="A252" s="163"/>
      <c r="B252" s="162"/>
      <c r="C252" s="163"/>
      <c r="D252" s="557"/>
      <c r="E252" s="550"/>
      <c r="F252" s="533"/>
      <c r="G252" s="533"/>
      <c r="H252" s="533"/>
    </row>
    <row r="253" spans="1:8" ht="13.5" customHeight="1" thickBot="1" x14ac:dyDescent="0.25">
      <c r="A253" s="1135" t="s">
        <v>1847</v>
      </c>
      <c r="B253" s="1136"/>
      <c r="C253" s="1136"/>
      <c r="D253" s="1136"/>
      <c r="E253" s="1136"/>
      <c r="F253" s="1137"/>
      <c r="G253" s="538">
        <f>SUM(G230:G252)</f>
        <v>10533981.900000002</v>
      </c>
      <c r="H253" s="538">
        <f>SUM(H230:H252)</f>
        <v>9254243.6900000013</v>
      </c>
    </row>
    <row r="254" spans="1:8" x14ac:dyDescent="0.2">
      <c r="A254" s="167"/>
      <c r="B254" s="166"/>
      <c r="C254" s="164"/>
      <c r="D254" s="528"/>
      <c r="E254" s="165"/>
      <c r="F254" s="164"/>
      <c r="G254" s="536"/>
      <c r="H254" s="536"/>
    </row>
    <row r="255" spans="1:8" x14ac:dyDescent="0.2">
      <c r="A255" s="161" t="s">
        <v>52</v>
      </c>
      <c r="B255" s="529" t="s">
        <v>1848</v>
      </c>
      <c r="C255" s="534" t="s">
        <v>1849</v>
      </c>
      <c r="D255" s="537" t="s">
        <v>1850</v>
      </c>
      <c r="E255" s="540">
        <v>2005</v>
      </c>
      <c r="F255" s="534" t="s">
        <v>1746</v>
      </c>
      <c r="G255" s="536">
        <v>0</v>
      </c>
      <c r="H255" s="536">
        <v>0</v>
      </c>
    </row>
    <row r="256" spans="1:8" x14ac:dyDescent="0.2">
      <c r="A256" s="161"/>
      <c r="B256" s="533"/>
      <c r="C256" s="534"/>
      <c r="D256" s="530"/>
      <c r="E256" s="540"/>
      <c r="F256" s="164"/>
      <c r="G256" s="536"/>
      <c r="H256" s="536"/>
    </row>
    <row r="257" spans="1:8" x14ac:dyDescent="0.2">
      <c r="A257" s="161" t="s">
        <v>53</v>
      </c>
      <c r="B257" s="529" t="s">
        <v>1848</v>
      </c>
      <c r="C257" s="534" t="s">
        <v>1849</v>
      </c>
      <c r="D257" s="530" t="s">
        <v>1850</v>
      </c>
      <c r="E257" s="540" t="s">
        <v>1807</v>
      </c>
      <c r="F257" s="534" t="s">
        <v>1746</v>
      </c>
      <c r="G257" s="536">
        <v>41160.58</v>
      </c>
      <c r="H257" s="536">
        <v>41227.699999999997</v>
      </c>
    </row>
    <row r="258" spans="1:8" x14ac:dyDescent="0.2">
      <c r="A258" s="161"/>
      <c r="B258" s="533"/>
      <c r="C258" s="534"/>
      <c r="D258" s="530"/>
      <c r="E258" s="540"/>
      <c r="F258" s="164"/>
      <c r="G258" s="536"/>
      <c r="H258" s="536"/>
    </row>
    <row r="259" spans="1:8" x14ac:dyDescent="0.2">
      <c r="A259" s="161" t="s">
        <v>54</v>
      </c>
      <c r="B259" s="529"/>
      <c r="C259" s="534"/>
      <c r="D259" s="530"/>
      <c r="E259" s="540"/>
      <c r="F259" s="164"/>
      <c r="G259" s="536"/>
      <c r="H259" s="536"/>
    </row>
    <row r="260" spans="1:8" x14ac:dyDescent="0.2">
      <c r="A260" s="161" t="s">
        <v>377</v>
      </c>
      <c r="B260" s="533"/>
      <c r="C260" s="534"/>
      <c r="D260" s="530"/>
      <c r="E260" s="540"/>
      <c r="F260" s="164"/>
      <c r="G260" s="536"/>
      <c r="H260" s="536"/>
    </row>
    <row r="261" spans="1:8" x14ac:dyDescent="0.2">
      <c r="A261" s="161"/>
      <c r="B261" s="533"/>
      <c r="C261" s="534"/>
      <c r="D261" s="530"/>
      <c r="E261" s="540"/>
      <c r="F261" s="164"/>
      <c r="G261" s="536"/>
      <c r="H261" s="536"/>
    </row>
    <row r="262" spans="1:8" x14ac:dyDescent="0.2">
      <c r="A262" s="161" t="s">
        <v>55</v>
      </c>
      <c r="B262" s="529"/>
      <c r="C262" s="534"/>
      <c r="D262" s="537"/>
      <c r="E262" s="540"/>
      <c r="F262" s="534"/>
      <c r="G262" s="536">
        <f>SUM(G264:G265)</f>
        <v>1335282.27</v>
      </c>
      <c r="H262" s="536">
        <f>SUM(H264:H265)</f>
        <v>2345804.19</v>
      </c>
    </row>
    <row r="263" spans="1:8" x14ac:dyDescent="0.2">
      <c r="A263" s="161"/>
      <c r="B263" s="529"/>
      <c r="C263" s="534"/>
      <c r="D263" s="537"/>
      <c r="E263" s="540"/>
      <c r="F263" s="534"/>
      <c r="G263" s="536"/>
      <c r="H263" s="536"/>
    </row>
    <row r="264" spans="1:8" ht="12.75" thickBot="1" x14ac:dyDescent="0.25">
      <c r="A264" s="163" t="s">
        <v>1808</v>
      </c>
      <c r="B264" s="936" t="s">
        <v>1848</v>
      </c>
      <c r="C264" s="933" t="s">
        <v>1849</v>
      </c>
      <c r="D264" s="937" t="s">
        <v>1850</v>
      </c>
      <c r="E264" s="938" t="s">
        <v>1851</v>
      </c>
      <c r="F264" s="933" t="s">
        <v>1746</v>
      </c>
      <c r="G264" s="939">
        <v>121162.66</v>
      </c>
      <c r="H264" s="939">
        <v>117527.66</v>
      </c>
    </row>
    <row r="265" spans="1:8" x14ac:dyDescent="0.2">
      <c r="A265" s="161" t="s">
        <v>1809</v>
      </c>
      <c r="B265" s="529" t="s">
        <v>1848</v>
      </c>
      <c r="C265" s="534" t="s">
        <v>1849</v>
      </c>
      <c r="D265" s="537" t="s">
        <v>1850</v>
      </c>
      <c r="E265" s="540" t="s">
        <v>1810</v>
      </c>
      <c r="F265" s="534" t="s">
        <v>1746</v>
      </c>
      <c r="G265" s="536">
        <v>1214119.6100000001</v>
      </c>
      <c r="H265" s="536">
        <v>2228276.5299999998</v>
      </c>
    </row>
    <row r="266" spans="1:8" x14ac:dyDescent="0.2">
      <c r="A266" s="161"/>
      <c r="B266" s="533"/>
      <c r="C266" s="534"/>
      <c r="D266" s="530"/>
      <c r="E266" s="540"/>
      <c r="F266" s="164"/>
      <c r="G266" s="536"/>
      <c r="H266" s="536"/>
    </row>
    <row r="267" spans="1:8" x14ac:dyDescent="0.2">
      <c r="A267" s="161" t="s">
        <v>56</v>
      </c>
      <c r="B267" s="529"/>
      <c r="C267" s="534"/>
      <c r="D267" s="537"/>
      <c r="E267" s="540"/>
      <c r="F267" s="534"/>
      <c r="G267" s="536">
        <f>SUM(G269)</f>
        <v>363791.69</v>
      </c>
      <c r="H267" s="536">
        <f>SUM(H269)</f>
        <v>597686.77</v>
      </c>
    </row>
    <row r="268" spans="1:8" x14ac:dyDescent="0.2">
      <c r="A268" s="161"/>
      <c r="B268" s="533"/>
      <c r="C268" s="534"/>
      <c r="D268" s="530"/>
      <c r="E268" s="540"/>
      <c r="F268" s="164"/>
      <c r="G268" s="536"/>
      <c r="H268" s="536"/>
    </row>
    <row r="269" spans="1:8" x14ac:dyDescent="0.2">
      <c r="A269" s="161" t="s">
        <v>60</v>
      </c>
      <c r="B269" s="529" t="s">
        <v>1848</v>
      </c>
      <c r="C269" s="534" t="s">
        <v>1849</v>
      </c>
      <c r="D269" s="537" t="s">
        <v>1850</v>
      </c>
      <c r="E269" s="540" t="s">
        <v>1812</v>
      </c>
      <c r="F269" s="534" t="s">
        <v>1746</v>
      </c>
      <c r="G269" s="536">
        <v>363791.69</v>
      </c>
      <c r="H269" s="536">
        <v>597686.77</v>
      </c>
    </row>
    <row r="270" spans="1:8" x14ac:dyDescent="0.2">
      <c r="A270" s="161" t="s">
        <v>61</v>
      </c>
      <c r="B270" s="519"/>
      <c r="C270" s="520"/>
      <c r="D270" s="530"/>
      <c r="E270" s="559"/>
      <c r="F270" s="520"/>
      <c r="G270" s="536"/>
      <c r="H270" s="536"/>
    </row>
    <row r="271" spans="1:8" x14ac:dyDescent="0.2">
      <c r="A271" s="161" t="s">
        <v>57</v>
      </c>
      <c r="B271" s="525"/>
      <c r="C271" s="520"/>
      <c r="D271" s="521"/>
      <c r="E271" s="559"/>
      <c r="F271" s="253"/>
      <c r="G271" s="536"/>
      <c r="H271" s="536"/>
    </row>
    <row r="272" spans="1:8" x14ac:dyDescent="0.2">
      <c r="A272" s="161" t="s">
        <v>58</v>
      </c>
      <c r="B272" s="519"/>
      <c r="C272" s="520"/>
      <c r="D272" s="571"/>
      <c r="E272" s="559"/>
      <c r="F272" s="520"/>
      <c r="G272" s="536"/>
      <c r="H272" s="536"/>
    </row>
    <row r="273" spans="1:8" x14ac:dyDescent="0.2">
      <c r="A273" s="161" t="s">
        <v>59</v>
      </c>
      <c r="B273" s="160"/>
      <c r="C273" s="164"/>
      <c r="D273" s="528"/>
      <c r="E273" s="165"/>
      <c r="F273" s="164"/>
      <c r="G273" s="536"/>
      <c r="H273" s="536"/>
    </row>
    <row r="274" spans="1:8" x14ac:dyDescent="0.2">
      <c r="A274" s="161" t="s">
        <v>376</v>
      </c>
      <c r="B274" s="160"/>
      <c r="C274" s="164"/>
      <c r="D274" s="528"/>
      <c r="E274" s="165"/>
      <c r="F274" s="164"/>
      <c r="G274" s="536"/>
      <c r="H274" s="536"/>
    </row>
    <row r="275" spans="1:8" ht="12.75" thickBot="1" x14ac:dyDescent="0.25">
      <c r="A275" s="163"/>
      <c r="B275" s="162"/>
      <c r="C275" s="160"/>
      <c r="E275" s="161"/>
      <c r="F275" s="160"/>
      <c r="G275" s="536"/>
      <c r="H275" s="536"/>
    </row>
    <row r="276" spans="1:8" ht="13.5" customHeight="1" thickBot="1" x14ac:dyDescent="0.25">
      <c r="A276" s="1135" t="s">
        <v>1852</v>
      </c>
      <c r="B276" s="1136"/>
      <c r="C276" s="1136"/>
      <c r="D276" s="1136"/>
      <c r="E276" s="1136"/>
      <c r="F276" s="1137"/>
      <c r="G276" s="538">
        <f>SUM(G254:G275)</f>
        <v>3439308.5</v>
      </c>
      <c r="H276" s="538">
        <f>SUM(H254:H275)</f>
        <v>5928209.6199999992</v>
      </c>
    </row>
    <row r="277" spans="1:8" x14ac:dyDescent="0.2">
      <c r="A277" s="167"/>
      <c r="B277" s="527"/>
      <c r="C277" s="534"/>
      <c r="D277" s="530"/>
      <c r="E277" s="535"/>
      <c r="F277" s="534"/>
      <c r="G277" s="534"/>
      <c r="H277" s="534"/>
    </row>
    <row r="278" spans="1:8" x14ac:dyDescent="0.2">
      <c r="A278" s="161" t="s">
        <v>52</v>
      </c>
      <c r="B278" s="533" t="s">
        <v>1853</v>
      </c>
      <c r="C278" s="534" t="s">
        <v>1744</v>
      </c>
      <c r="D278" s="530" t="s">
        <v>1854</v>
      </c>
      <c r="E278" s="565">
        <v>2005</v>
      </c>
      <c r="F278" s="534" t="s">
        <v>1855</v>
      </c>
      <c r="G278" s="536">
        <v>0</v>
      </c>
      <c r="H278" s="536">
        <v>0</v>
      </c>
    </row>
    <row r="279" spans="1:8" x14ac:dyDescent="0.2">
      <c r="A279" s="161"/>
      <c r="B279" s="533"/>
      <c r="C279" s="534"/>
      <c r="D279" s="530"/>
      <c r="E279" s="535"/>
      <c r="F279" s="534"/>
      <c r="G279" s="536"/>
      <c r="H279" s="536"/>
    </row>
    <row r="280" spans="1:8" x14ac:dyDescent="0.2">
      <c r="A280" s="161" t="s">
        <v>53</v>
      </c>
      <c r="B280" s="533"/>
      <c r="C280" s="534"/>
      <c r="D280" s="530"/>
      <c r="E280" s="535"/>
      <c r="F280" s="534"/>
      <c r="G280" s="536"/>
      <c r="H280" s="536"/>
    </row>
    <row r="281" spans="1:8" x14ac:dyDescent="0.2">
      <c r="A281" s="161" t="s">
        <v>1856</v>
      </c>
      <c r="B281" s="533" t="s">
        <v>1853</v>
      </c>
      <c r="C281" s="534" t="s">
        <v>1744</v>
      </c>
      <c r="D281" s="530" t="s">
        <v>1857</v>
      </c>
      <c r="E281" s="550">
        <v>2002</v>
      </c>
      <c r="F281" s="534" t="s">
        <v>1855</v>
      </c>
      <c r="G281" s="536">
        <v>6294.72</v>
      </c>
      <c r="H281" s="536">
        <v>773.75</v>
      </c>
    </row>
    <row r="282" spans="1:8" x14ac:dyDescent="0.2">
      <c r="A282" s="161" t="s">
        <v>1858</v>
      </c>
      <c r="B282" s="533" t="s">
        <v>1853</v>
      </c>
      <c r="C282" s="534" t="s">
        <v>1744</v>
      </c>
      <c r="D282" s="530" t="s">
        <v>1859</v>
      </c>
      <c r="E282" s="550">
        <v>2001</v>
      </c>
      <c r="F282" s="534" t="s">
        <v>1855</v>
      </c>
      <c r="G282" s="536">
        <v>4412.1499999999996</v>
      </c>
      <c r="H282" s="536">
        <v>3936.08</v>
      </c>
    </row>
    <row r="283" spans="1:8" x14ac:dyDescent="0.2">
      <c r="A283" s="161" t="s">
        <v>54</v>
      </c>
      <c r="B283" s="533"/>
      <c r="C283" s="534"/>
      <c r="D283" s="530"/>
      <c r="E283" s="535"/>
      <c r="F283" s="534"/>
      <c r="G283" s="536"/>
      <c r="H283" s="536"/>
    </row>
    <row r="284" spans="1:8" x14ac:dyDescent="0.2">
      <c r="A284" s="161" t="s">
        <v>377</v>
      </c>
      <c r="B284" s="533" t="s">
        <v>1853</v>
      </c>
      <c r="C284" s="534" t="s">
        <v>1744</v>
      </c>
      <c r="D284" s="530" t="s">
        <v>1860</v>
      </c>
      <c r="E284" s="565">
        <v>2020</v>
      </c>
      <c r="F284" s="534" t="s">
        <v>1855</v>
      </c>
      <c r="G284" s="536">
        <v>1108376.42</v>
      </c>
      <c r="H284" s="536">
        <v>629990</v>
      </c>
    </row>
    <row r="285" spans="1:8" x14ac:dyDescent="0.2">
      <c r="A285" s="161"/>
      <c r="B285" s="533"/>
      <c r="C285" s="534"/>
      <c r="D285" s="530"/>
      <c r="E285" s="535"/>
      <c r="F285" s="534"/>
      <c r="G285" s="536"/>
      <c r="H285" s="536"/>
    </row>
    <row r="286" spans="1:8" x14ac:dyDescent="0.2">
      <c r="A286" s="161" t="s">
        <v>55</v>
      </c>
      <c r="B286" s="533"/>
      <c r="C286" s="534"/>
      <c r="D286" s="530"/>
      <c r="E286" s="535"/>
      <c r="F286" s="534"/>
      <c r="G286" s="536"/>
      <c r="H286" s="536"/>
    </row>
    <row r="287" spans="1:8" x14ac:dyDescent="0.2">
      <c r="A287" s="161" t="s">
        <v>1861</v>
      </c>
      <c r="B287" s="533" t="s">
        <v>1853</v>
      </c>
      <c r="C287" s="534" t="s">
        <v>1744</v>
      </c>
      <c r="D287" s="530" t="s">
        <v>1862</v>
      </c>
      <c r="E287" s="565">
        <v>2003</v>
      </c>
      <c r="F287" s="534" t="s">
        <v>1855</v>
      </c>
      <c r="G287" s="536">
        <v>19269.509999999998</v>
      </c>
      <c r="H287" s="536">
        <v>19269.509999999998</v>
      </c>
    </row>
    <row r="288" spans="1:8" x14ac:dyDescent="0.2">
      <c r="A288" s="572" t="s">
        <v>1863</v>
      </c>
      <c r="B288" s="533"/>
      <c r="C288" s="534"/>
      <c r="D288" s="530"/>
      <c r="E288" s="535"/>
      <c r="F288" s="534"/>
      <c r="G288" s="536"/>
      <c r="H288" s="536"/>
    </row>
    <row r="289" spans="1:8" x14ac:dyDescent="0.2">
      <c r="A289" s="161" t="s">
        <v>1864</v>
      </c>
      <c r="B289" s="533"/>
      <c r="C289" s="534"/>
      <c r="D289" s="530"/>
      <c r="E289" s="535"/>
      <c r="F289" s="534"/>
      <c r="G289" s="536"/>
      <c r="H289" s="536"/>
    </row>
    <row r="290" spans="1:8" x14ac:dyDescent="0.2">
      <c r="A290" s="161" t="s">
        <v>1865</v>
      </c>
      <c r="B290" s="533" t="s">
        <v>1853</v>
      </c>
      <c r="C290" s="534" t="s">
        <v>1744</v>
      </c>
      <c r="D290" s="530" t="s">
        <v>1860</v>
      </c>
      <c r="E290" s="565">
        <v>2015</v>
      </c>
      <c r="F290" s="534" t="s">
        <v>1855</v>
      </c>
      <c r="G290" s="536">
        <v>4217.49</v>
      </c>
      <c r="H290" s="536">
        <v>4217.49</v>
      </c>
    </row>
    <row r="291" spans="1:8" x14ac:dyDescent="0.2">
      <c r="A291" s="161" t="s">
        <v>1866</v>
      </c>
      <c r="B291" s="533" t="s">
        <v>1853</v>
      </c>
      <c r="C291" s="534" t="s">
        <v>1744</v>
      </c>
      <c r="D291" s="530" t="s">
        <v>1860</v>
      </c>
      <c r="E291" s="565">
        <v>2017</v>
      </c>
      <c r="F291" s="534" t="s">
        <v>1855</v>
      </c>
      <c r="G291" s="536">
        <v>110476.04</v>
      </c>
      <c r="H291" s="536">
        <v>75257.039999999994</v>
      </c>
    </row>
    <row r="292" spans="1:8" x14ac:dyDescent="0.2">
      <c r="A292" s="161" t="s">
        <v>1867</v>
      </c>
      <c r="B292" s="533"/>
      <c r="C292" s="534"/>
      <c r="D292" s="530"/>
      <c r="E292" s="535"/>
      <c r="F292" s="534"/>
      <c r="G292" s="536"/>
      <c r="H292" s="536"/>
    </row>
    <row r="293" spans="1:8" x14ac:dyDescent="0.2">
      <c r="A293" s="161" t="s">
        <v>1868</v>
      </c>
      <c r="B293" s="533" t="s">
        <v>1853</v>
      </c>
      <c r="C293" s="534" t="s">
        <v>1744</v>
      </c>
      <c r="D293" s="530" t="s">
        <v>1860</v>
      </c>
      <c r="E293" s="565">
        <v>2017</v>
      </c>
      <c r="F293" s="534" t="s">
        <v>1855</v>
      </c>
      <c r="G293" s="536">
        <v>1093652.6299999999</v>
      </c>
      <c r="H293" s="536">
        <v>1561916.84</v>
      </c>
    </row>
    <row r="294" spans="1:8" x14ac:dyDescent="0.2">
      <c r="A294" s="161" t="s">
        <v>56</v>
      </c>
      <c r="B294" s="533"/>
      <c r="C294" s="534"/>
      <c r="D294" s="530"/>
      <c r="E294" s="535"/>
      <c r="F294" s="534"/>
      <c r="G294" s="536"/>
      <c r="H294" s="536"/>
    </row>
    <row r="295" spans="1:8" x14ac:dyDescent="0.2">
      <c r="A295" s="161"/>
      <c r="B295" s="533"/>
      <c r="C295" s="534"/>
      <c r="D295" s="530"/>
      <c r="E295" s="535"/>
      <c r="F295" s="534"/>
      <c r="G295" s="536"/>
      <c r="H295" s="536"/>
    </row>
    <row r="296" spans="1:8" x14ac:dyDescent="0.2">
      <c r="A296" s="161" t="s">
        <v>60</v>
      </c>
      <c r="B296" s="533" t="s">
        <v>1853</v>
      </c>
      <c r="C296" s="534" t="s">
        <v>1744</v>
      </c>
      <c r="D296" s="530" t="s">
        <v>1860</v>
      </c>
      <c r="E296" s="565">
        <v>2014</v>
      </c>
      <c r="F296" s="534" t="s">
        <v>1855</v>
      </c>
      <c r="G296" s="536">
        <v>311780.46999999997</v>
      </c>
      <c r="H296" s="536">
        <v>463694.61</v>
      </c>
    </row>
    <row r="297" spans="1:8" x14ac:dyDescent="0.2">
      <c r="A297" s="161" t="s">
        <v>61</v>
      </c>
      <c r="B297" s="533"/>
      <c r="C297" s="534"/>
      <c r="D297" s="530"/>
      <c r="E297" s="535"/>
      <c r="F297" s="534"/>
      <c r="G297" s="536"/>
      <c r="H297" s="536"/>
    </row>
    <row r="298" spans="1:8" x14ac:dyDescent="0.2">
      <c r="A298" s="161" t="s">
        <v>57</v>
      </c>
      <c r="B298" s="533"/>
      <c r="C298" s="534"/>
      <c r="D298" s="530"/>
      <c r="E298" s="535"/>
      <c r="F298" s="534"/>
      <c r="G298" s="536"/>
      <c r="H298" s="536"/>
    </row>
    <row r="299" spans="1:8" x14ac:dyDescent="0.2">
      <c r="A299" s="161" t="s">
        <v>58</v>
      </c>
      <c r="B299" s="533"/>
      <c r="C299" s="534"/>
      <c r="D299" s="530"/>
      <c r="E299" s="535"/>
      <c r="F299" s="534"/>
      <c r="G299" s="536"/>
      <c r="H299" s="536"/>
    </row>
    <row r="300" spans="1:8" x14ac:dyDescent="0.2">
      <c r="A300" s="161" t="s">
        <v>59</v>
      </c>
      <c r="B300" s="533"/>
      <c r="C300" s="534"/>
      <c r="D300" s="530"/>
      <c r="E300" s="535"/>
      <c r="F300" s="534"/>
      <c r="G300" s="536"/>
      <c r="H300" s="536"/>
    </row>
    <row r="301" spans="1:8" x14ac:dyDescent="0.2">
      <c r="A301" s="161" t="s">
        <v>376</v>
      </c>
      <c r="B301" s="533"/>
      <c r="C301" s="534"/>
      <c r="D301" s="530"/>
      <c r="E301" s="535"/>
      <c r="F301" s="534"/>
      <c r="G301" s="536"/>
      <c r="H301" s="536"/>
    </row>
    <row r="302" spans="1:8" ht="12.75" thickBot="1" x14ac:dyDescent="0.25">
      <c r="A302" s="163"/>
      <c r="B302" s="542"/>
      <c r="C302" s="533"/>
      <c r="D302" s="557"/>
      <c r="E302" s="550"/>
      <c r="F302" s="533"/>
      <c r="G302" s="536"/>
      <c r="H302" s="536"/>
    </row>
    <row r="303" spans="1:8" ht="13.5" customHeight="1" thickBot="1" x14ac:dyDescent="0.25">
      <c r="A303" s="1135" t="s">
        <v>1869</v>
      </c>
      <c r="B303" s="1136"/>
      <c r="C303" s="1136"/>
      <c r="D303" s="1136"/>
      <c r="E303" s="1136"/>
      <c r="F303" s="1137"/>
      <c r="G303" s="543">
        <f>SUM(G277:G302)</f>
        <v>2658479.4299999997</v>
      </c>
      <c r="H303" s="538">
        <f>SUM(H277:H302)</f>
        <v>2759055.32</v>
      </c>
    </row>
    <row r="304" spans="1:8" x14ac:dyDescent="0.2">
      <c r="A304" s="167"/>
      <c r="B304" s="573"/>
      <c r="C304" s="530"/>
      <c r="D304" s="544"/>
      <c r="E304" s="574"/>
      <c r="F304" s="564"/>
      <c r="G304" s="544"/>
      <c r="H304" s="544"/>
    </row>
    <row r="305" spans="1:8" x14ac:dyDescent="0.2">
      <c r="A305" s="161" t="s">
        <v>52</v>
      </c>
      <c r="B305" s="575" t="s">
        <v>1870</v>
      </c>
      <c r="C305" s="530" t="s">
        <v>1871</v>
      </c>
      <c r="D305" s="535" t="s">
        <v>1872</v>
      </c>
      <c r="E305" s="576">
        <v>38692</v>
      </c>
      <c r="F305" s="535" t="s">
        <v>1746</v>
      </c>
      <c r="G305" s="577">
        <v>0</v>
      </c>
      <c r="H305" s="577">
        <v>0</v>
      </c>
    </row>
    <row r="306" spans="1:8" x14ac:dyDescent="0.2">
      <c r="A306" s="161"/>
      <c r="B306" s="578"/>
      <c r="C306" s="530"/>
      <c r="D306" s="535"/>
      <c r="E306" s="530"/>
      <c r="F306" s="535"/>
      <c r="G306" s="577"/>
      <c r="H306" s="577"/>
    </row>
    <row r="307" spans="1:8" x14ac:dyDescent="0.2">
      <c r="A307" s="161" t="s">
        <v>53</v>
      </c>
      <c r="B307" s="575"/>
      <c r="C307" s="530"/>
      <c r="D307" s="535"/>
      <c r="E307" s="576"/>
      <c r="F307" s="535"/>
      <c r="G307" s="577"/>
      <c r="H307" s="577"/>
    </row>
    <row r="308" spans="1:8" x14ac:dyDescent="0.2">
      <c r="A308" s="161" t="s">
        <v>1873</v>
      </c>
      <c r="B308" s="575" t="s">
        <v>1870</v>
      </c>
      <c r="C308" s="530" t="s">
        <v>1744</v>
      </c>
      <c r="D308" s="535" t="s">
        <v>1874</v>
      </c>
      <c r="E308" s="576">
        <v>37156</v>
      </c>
      <c r="F308" s="535" t="s">
        <v>1746</v>
      </c>
      <c r="G308" s="577">
        <v>7193.51</v>
      </c>
      <c r="H308" s="577">
        <v>87672.13</v>
      </c>
    </row>
    <row r="309" spans="1:8" x14ac:dyDescent="0.2">
      <c r="A309" s="161" t="s">
        <v>1873</v>
      </c>
      <c r="B309" s="575" t="s">
        <v>1870</v>
      </c>
      <c r="C309" s="530" t="s">
        <v>1744</v>
      </c>
      <c r="D309" s="535" t="s">
        <v>1875</v>
      </c>
      <c r="E309" s="576">
        <v>37932</v>
      </c>
      <c r="F309" s="535" t="s">
        <v>1746</v>
      </c>
      <c r="G309" s="577">
        <v>0</v>
      </c>
      <c r="H309" s="577">
        <v>0</v>
      </c>
    </row>
    <row r="310" spans="1:8" x14ac:dyDescent="0.2">
      <c r="A310" s="161" t="s">
        <v>1876</v>
      </c>
      <c r="B310" s="575" t="s">
        <v>1870</v>
      </c>
      <c r="C310" s="530" t="s">
        <v>1871</v>
      </c>
      <c r="D310" s="535" t="s">
        <v>1872</v>
      </c>
      <c r="E310" s="576">
        <v>41306</v>
      </c>
      <c r="F310" s="535" t="s">
        <v>1746</v>
      </c>
      <c r="G310" s="577">
        <v>111290.5</v>
      </c>
      <c r="H310" s="577">
        <v>308985.94</v>
      </c>
    </row>
    <row r="311" spans="1:8" x14ac:dyDescent="0.2">
      <c r="A311" s="161"/>
      <c r="B311" s="578"/>
      <c r="C311" s="530"/>
      <c r="D311" s="535"/>
      <c r="E311" s="576"/>
      <c r="F311" s="535"/>
      <c r="G311" s="577"/>
      <c r="H311" s="577"/>
    </row>
    <row r="312" spans="1:8" ht="24" x14ac:dyDescent="0.2">
      <c r="A312" s="547" t="s">
        <v>1877</v>
      </c>
      <c r="B312" s="575"/>
      <c r="C312" s="530"/>
      <c r="D312" s="535"/>
      <c r="E312" s="576"/>
      <c r="F312" s="535"/>
      <c r="G312" s="577"/>
      <c r="H312" s="577"/>
    </row>
    <row r="313" spans="1:8" x14ac:dyDescent="0.2">
      <c r="A313" s="161"/>
      <c r="B313" s="578"/>
      <c r="C313" s="530"/>
      <c r="D313" s="535"/>
      <c r="E313" s="576"/>
      <c r="F313" s="535"/>
      <c r="G313" s="577"/>
      <c r="H313" s="577"/>
    </row>
    <row r="314" spans="1:8" ht="36" x14ac:dyDescent="0.2">
      <c r="A314" s="548" t="s">
        <v>1878</v>
      </c>
      <c r="B314" s="575" t="s">
        <v>1870</v>
      </c>
      <c r="C314" s="530" t="s">
        <v>1871</v>
      </c>
      <c r="D314" s="535" t="s">
        <v>1872</v>
      </c>
      <c r="E314" s="576">
        <v>44001</v>
      </c>
      <c r="F314" s="535" t="s">
        <v>1746</v>
      </c>
      <c r="G314" s="577">
        <v>1384627.33</v>
      </c>
      <c r="H314" s="577">
        <v>6480</v>
      </c>
    </row>
    <row r="315" spans="1:8" ht="24.75" thickBot="1" x14ac:dyDescent="0.25">
      <c r="A315" s="548" t="s">
        <v>1879</v>
      </c>
      <c r="B315" s="575" t="s">
        <v>1870</v>
      </c>
      <c r="C315" s="530" t="s">
        <v>1871</v>
      </c>
      <c r="D315" s="535" t="s">
        <v>1872</v>
      </c>
      <c r="E315" s="576">
        <v>44249</v>
      </c>
      <c r="F315" s="535" t="s">
        <v>1746</v>
      </c>
      <c r="G315" s="577">
        <v>0</v>
      </c>
      <c r="H315" s="577">
        <v>299520</v>
      </c>
    </row>
    <row r="316" spans="1:8" x14ac:dyDescent="0.2">
      <c r="A316" s="167"/>
      <c r="B316" s="573"/>
      <c r="C316" s="574"/>
      <c r="D316" s="544"/>
      <c r="E316" s="1023"/>
      <c r="F316" s="544"/>
      <c r="G316" s="594"/>
      <c r="H316" s="594"/>
    </row>
    <row r="317" spans="1:8" x14ac:dyDescent="0.2">
      <c r="A317" s="161" t="s">
        <v>55</v>
      </c>
      <c r="B317" s="575" t="s">
        <v>1870</v>
      </c>
      <c r="C317" s="530"/>
      <c r="D317" s="535"/>
      <c r="E317" s="576"/>
      <c r="F317" s="535"/>
      <c r="G317" s="577"/>
      <c r="H317" s="577"/>
    </row>
    <row r="318" spans="1:8" x14ac:dyDescent="0.2">
      <c r="A318" s="161" t="s">
        <v>1880</v>
      </c>
      <c r="B318" s="575" t="s">
        <v>1870</v>
      </c>
      <c r="C318" s="530" t="s">
        <v>1744</v>
      </c>
      <c r="D318" s="535" t="s">
        <v>1881</v>
      </c>
      <c r="E318" s="576">
        <v>37743</v>
      </c>
      <c r="F318" s="535" t="s">
        <v>1746</v>
      </c>
      <c r="G318" s="577">
        <v>7811.32</v>
      </c>
      <c r="H318" s="579">
        <v>625.32000000000005</v>
      </c>
    </row>
    <row r="319" spans="1:8" x14ac:dyDescent="0.2">
      <c r="A319" s="161" t="s">
        <v>1882</v>
      </c>
      <c r="B319" s="575" t="s">
        <v>1870</v>
      </c>
      <c r="C319" s="530" t="s">
        <v>1744</v>
      </c>
      <c r="D319" s="535" t="s">
        <v>1883</v>
      </c>
      <c r="E319" s="576">
        <v>39826</v>
      </c>
      <c r="F319" s="535" t="s">
        <v>1746</v>
      </c>
      <c r="G319" s="577">
        <v>0.15</v>
      </c>
      <c r="H319" s="577">
        <v>0.15</v>
      </c>
    </row>
    <row r="320" spans="1:8" x14ac:dyDescent="0.2">
      <c r="A320" s="161" t="s">
        <v>1884</v>
      </c>
      <c r="B320" s="575" t="s">
        <v>1870</v>
      </c>
      <c r="C320" s="530" t="s">
        <v>1871</v>
      </c>
      <c r="D320" s="535" t="s">
        <v>1872</v>
      </c>
      <c r="E320" s="576">
        <v>42781</v>
      </c>
      <c r="F320" s="535" t="s">
        <v>1746</v>
      </c>
      <c r="G320" s="577">
        <v>1479754.45</v>
      </c>
      <c r="H320" s="577">
        <v>619546.80000000005</v>
      </c>
    </row>
    <row r="321" spans="1:8" x14ac:dyDescent="0.2">
      <c r="A321" s="161" t="s">
        <v>1885</v>
      </c>
      <c r="B321" s="575" t="s">
        <v>1870</v>
      </c>
      <c r="C321" s="530" t="s">
        <v>1871</v>
      </c>
      <c r="D321" s="535" t="s">
        <v>1872</v>
      </c>
      <c r="E321" s="576">
        <v>40967</v>
      </c>
      <c r="F321" s="535" t="s">
        <v>1746</v>
      </c>
      <c r="G321" s="577">
        <v>16049.74</v>
      </c>
      <c r="H321" s="577">
        <v>0.74</v>
      </c>
    </row>
    <row r="322" spans="1:8" x14ac:dyDescent="0.2">
      <c r="A322" s="161"/>
      <c r="B322" s="578"/>
      <c r="C322" s="530"/>
      <c r="D322" s="535"/>
      <c r="E322" s="530"/>
      <c r="F322" s="535"/>
      <c r="G322" s="577"/>
      <c r="H322" s="577"/>
    </row>
    <row r="323" spans="1:8" x14ac:dyDescent="0.2">
      <c r="A323" s="161" t="s">
        <v>56</v>
      </c>
      <c r="B323" s="575"/>
      <c r="C323" s="530"/>
      <c r="D323" s="535"/>
      <c r="E323" s="530"/>
      <c r="F323" s="535"/>
      <c r="G323" s="577"/>
      <c r="H323" s="577"/>
    </row>
    <row r="324" spans="1:8" ht="12.75" x14ac:dyDescent="0.2">
      <c r="A324" s="161"/>
      <c r="B324" s="578"/>
      <c r="C324" s="530"/>
      <c r="D324" s="535"/>
      <c r="E324" s="530"/>
      <c r="F324" s="535"/>
      <c r="G324" s="580"/>
      <c r="H324" s="580"/>
    </row>
    <row r="325" spans="1:8" ht="12.75" x14ac:dyDescent="0.2">
      <c r="A325" s="161" t="s">
        <v>60</v>
      </c>
      <c r="B325" s="578"/>
      <c r="C325" s="528"/>
      <c r="D325" s="535"/>
      <c r="E325" s="530"/>
      <c r="F325" s="535"/>
      <c r="G325" s="580"/>
      <c r="H325" s="580"/>
    </row>
    <row r="326" spans="1:8" ht="12.75" x14ac:dyDescent="0.2">
      <c r="A326" s="161" t="s">
        <v>61</v>
      </c>
      <c r="B326" s="578"/>
      <c r="C326" s="528"/>
      <c r="D326" s="535"/>
      <c r="E326" s="530"/>
      <c r="F326" s="535"/>
      <c r="G326" s="580"/>
      <c r="H326" s="580"/>
    </row>
    <row r="327" spans="1:8" ht="12.75" x14ac:dyDescent="0.2">
      <c r="A327" s="161" t="s">
        <v>57</v>
      </c>
      <c r="B327" s="578"/>
      <c r="C327" s="528"/>
      <c r="D327" s="535"/>
      <c r="E327" s="530"/>
      <c r="F327" s="535"/>
      <c r="G327" s="580"/>
      <c r="H327" s="580"/>
    </row>
    <row r="328" spans="1:8" ht="12.75" x14ac:dyDescent="0.2">
      <c r="A328" s="161" t="s">
        <v>58</v>
      </c>
      <c r="B328" s="578"/>
      <c r="C328"/>
      <c r="D328" s="535"/>
      <c r="E328" s="530"/>
      <c r="F328" s="535"/>
      <c r="G328" s="580"/>
      <c r="H328" s="580"/>
    </row>
    <row r="329" spans="1:8" ht="12.75" x14ac:dyDescent="0.2">
      <c r="A329" s="161" t="s">
        <v>59</v>
      </c>
      <c r="B329" s="578"/>
      <c r="C329" s="528"/>
      <c r="D329" s="535"/>
      <c r="E329" s="530"/>
      <c r="F329" s="535"/>
      <c r="G329" s="580"/>
      <c r="H329" s="580"/>
    </row>
    <row r="330" spans="1:8" x14ac:dyDescent="0.2">
      <c r="A330" s="548" t="s">
        <v>1886</v>
      </c>
      <c r="B330" s="578"/>
      <c r="D330" s="535"/>
      <c r="F330" s="161"/>
      <c r="G330" s="550"/>
      <c r="H330" s="550"/>
    </row>
    <row r="331" spans="1:8" ht="12.75" thickBot="1" x14ac:dyDescent="0.25">
      <c r="A331" s="163"/>
      <c r="B331" s="581"/>
      <c r="D331" s="582"/>
      <c r="E331" s="583"/>
      <c r="F331" s="163"/>
      <c r="G331" s="552"/>
      <c r="H331" s="552"/>
    </row>
    <row r="332" spans="1:8" ht="13.5" customHeight="1" thickBot="1" x14ac:dyDescent="0.25">
      <c r="A332" s="1135" t="s">
        <v>1887</v>
      </c>
      <c r="B332" s="1136"/>
      <c r="C332" s="1136"/>
      <c r="D332" s="1136"/>
      <c r="E332" s="1136"/>
      <c r="F332" s="1137"/>
      <c r="G332" s="538">
        <f>+SUM(G305:G331)</f>
        <v>3006727</v>
      </c>
      <c r="H332" s="538">
        <f>+SUM(H305:H331)</f>
        <v>1322831.08</v>
      </c>
    </row>
    <row r="333" spans="1:8" x14ac:dyDescent="0.2">
      <c r="A333" s="167"/>
      <c r="B333" s="166"/>
      <c r="C333" s="164"/>
      <c r="D333" s="528"/>
      <c r="E333" s="165"/>
      <c r="F333" s="164"/>
      <c r="G333" s="528"/>
      <c r="H333" s="564"/>
    </row>
    <row r="334" spans="1:8" x14ac:dyDescent="0.2">
      <c r="A334" s="161" t="s">
        <v>52</v>
      </c>
      <c r="B334" s="533" t="s">
        <v>1888</v>
      </c>
      <c r="C334" s="534" t="s">
        <v>1849</v>
      </c>
      <c r="D334" s="539" t="s">
        <v>1889</v>
      </c>
      <c r="E334" s="535">
        <v>2005</v>
      </c>
      <c r="F334" s="534" t="s">
        <v>1746</v>
      </c>
      <c r="G334" s="584">
        <v>0</v>
      </c>
      <c r="H334" s="585">
        <v>2755842.61</v>
      </c>
    </row>
    <row r="335" spans="1:8" x14ac:dyDescent="0.2">
      <c r="A335" s="161"/>
      <c r="B335" s="533"/>
      <c r="C335" s="534"/>
      <c r="D335" s="530"/>
      <c r="E335" s="535"/>
      <c r="F335" s="534"/>
      <c r="G335" s="586"/>
      <c r="H335" s="535"/>
    </row>
    <row r="336" spans="1:8" ht="12.75" x14ac:dyDescent="0.2">
      <c r="A336" s="161" t="s">
        <v>53</v>
      </c>
      <c r="B336" s="533" t="s">
        <v>1888</v>
      </c>
      <c r="C336" s="534" t="s">
        <v>1849</v>
      </c>
      <c r="D336" s="539" t="s">
        <v>1889</v>
      </c>
      <c r="E336" s="535">
        <v>2013</v>
      </c>
      <c r="F336" s="534" t="s">
        <v>1746</v>
      </c>
      <c r="G336" s="587">
        <v>1154.96</v>
      </c>
      <c r="H336" s="588">
        <v>37258.879999999997</v>
      </c>
    </row>
    <row r="337" spans="1:8" x14ac:dyDescent="0.2">
      <c r="A337" s="161"/>
      <c r="B337" s="533"/>
      <c r="C337" s="534"/>
      <c r="D337" s="539"/>
      <c r="E337" s="535"/>
      <c r="F337" s="534"/>
      <c r="G337" s="586"/>
      <c r="H337" s="535"/>
    </row>
    <row r="338" spans="1:8" ht="12.75" x14ac:dyDescent="0.2">
      <c r="A338" s="161" t="s">
        <v>54</v>
      </c>
      <c r="B338" s="533" t="s">
        <v>1888</v>
      </c>
      <c r="C338" s="534" t="s">
        <v>1849</v>
      </c>
      <c r="D338" s="539" t="s">
        <v>1889</v>
      </c>
      <c r="E338" s="535">
        <v>2020</v>
      </c>
      <c r="F338" s="534" t="s">
        <v>1746</v>
      </c>
      <c r="G338" s="587">
        <v>842569.82</v>
      </c>
      <c r="H338" s="589">
        <v>0</v>
      </c>
    </row>
    <row r="339" spans="1:8" x14ac:dyDescent="0.2">
      <c r="A339" s="161" t="s">
        <v>377</v>
      </c>
      <c r="B339" s="533"/>
      <c r="C339" s="534"/>
      <c r="D339" s="539"/>
      <c r="E339" s="535"/>
      <c r="F339" s="534"/>
      <c r="G339" s="586"/>
      <c r="H339" s="535"/>
    </row>
    <row r="340" spans="1:8" x14ac:dyDescent="0.2">
      <c r="A340" s="161"/>
      <c r="B340" s="533"/>
      <c r="C340" s="534"/>
      <c r="D340" s="539"/>
      <c r="E340" s="535"/>
      <c r="F340" s="534"/>
      <c r="G340" s="586"/>
      <c r="H340" s="535"/>
    </row>
    <row r="341" spans="1:8" ht="12.75" x14ac:dyDescent="0.2">
      <c r="A341" s="161" t="s">
        <v>55</v>
      </c>
      <c r="B341" s="533" t="s">
        <v>1888</v>
      </c>
      <c r="C341" s="534" t="s">
        <v>1849</v>
      </c>
      <c r="D341" s="539" t="s">
        <v>1889</v>
      </c>
      <c r="E341" s="535">
        <v>2017</v>
      </c>
      <c r="F341" s="534" t="s">
        <v>1746</v>
      </c>
      <c r="G341" s="587">
        <v>3261.67</v>
      </c>
      <c r="H341" s="588">
        <v>3029.67</v>
      </c>
    </row>
    <row r="342" spans="1:8" x14ac:dyDescent="0.2">
      <c r="A342" s="161"/>
      <c r="B342" s="533"/>
      <c r="C342" s="534"/>
      <c r="D342" s="539"/>
      <c r="E342" s="535"/>
      <c r="F342" s="534"/>
      <c r="G342" s="586"/>
      <c r="H342" s="535"/>
    </row>
    <row r="343" spans="1:8" x14ac:dyDescent="0.2">
      <c r="A343" s="161" t="s">
        <v>56</v>
      </c>
      <c r="B343" s="533"/>
      <c r="C343" s="534"/>
      <c r="D343" s="539"/>
      <c r="E343" s="535"/>
      <c r="F343" s="534"/>
      <c r="G343" s="586"/>
      <c r="H343" s="535"/>
    </row>
    <row r="344" spans="1:8" x14ac:dyDescent="0.2">
      <c r="A344" s="161"/>
      <c r="B344" s="533"/>
      <c r="C344" s="534"/>
      <c r="D344" s="539"/>
      <c r="E344" s="535"/>
      <c r="F344" s="534"/>
      <c r="G344" s="590"/>
      <c r="H344" s="535"/>
    </row>
    <row r="345" spans="1:8" x14ac:dyDescent="0.2">
      <c r="A345" s="161" t="s">
        <v>60</v>
      </c>
      <c r="B345" s="533" t="s">
        <v>1888</v>
      </c>
      <c r="C345" s="534" t="s">
        <v>1849</v>
      </c>
      <c r="D345" s="539" t="s">
        <v>1889</v>
      </c>
      <c r="E345" s="535">
        <v>2013</v>
      </c>
      <c r="F345" s="534" t="s">
        <v>1746</v>
      </c>
      <c r="G345" s="591">
        <v>1.1000000000000001</v>
      </c>
      <c r="H345" s="589">
        <v>1.1000000000000001</v>
      </c>
    </row>
    <row r="346" spans="1:8" x14ac:dyDescent="0.2">
      <c r="A346" s="161" t="s">
        <v>61</v>
      </c>
      <c r="B346" s="533"/>
      <c r="C346" s="534"/>
      <c r="D346" s="539"/>
      <c r="E346" s="535"/>
      <c r="F346" s="534"/>
      <c r="G346" s="586"/>
      <c r="H346" s="535"/>
    </row>
    <row r="347" spans="1:8" x14ac:dyDescent="0.2">
      <c r="A347" s="161" t="s">
        <v>57</v>
      </c>
      <c r="B347" s="533"/>
      <c r="C347" s="534"/>
      <c r="D347" s="530"/>
      <c r="E347" s="535"/>
      <c r="F347" s="534"/>
      <c r="G347" s="586"/>
      <c r="H347" s="535"/>
    </row>
    <row r="348" spans="1:8" x14ac:dyDescent="0.2">
      <c r="A348" s="161" t="s">
        <v>58</v>
      </c>
      <c r="B348" s="533"/>
      <c r="C348" s="534"/>
      <c r="D348" s="530"/>
      <c r="E348" s="535"/>
      <c r="F348" s="534"/>
      <c r="G348" s="586"/>
      <c r="H348" s="535"/>
    </row>
    <row r="349" spans="1:8" x14ac:dyDescent="0.2">
      <c r="A349" s="161" t="s">
        <v>59</v>
      </c>
      <c r="B349" s="533"/>
      <c r="C349" s="534"/>
      <c r="D349" s="530"/>
      <c r="E349" s="535"/>
      <c r="F349" s="534"/>
      <c r="G349" s="586"/>
      <c r="H349" s="535"/>
    </row>
    <row r="350" spans="1:8" x14ac:dyDescent="0.2">
      <c r="A350" s="161" t="s">
        <v>376</v>
      </c>
      <c r="B350" s="533"/>
      <c r="C350" s="534"/>
      <c r="D350" s="530"/>
      <c r="E350" s="535"/>
      <c r="F350" s="534"/>
      <c r="G350" s="530"/>
      <c r="H350" s="535"/>
    </row>
    <row r="351" spans="1:8" ht="12.75" thickBot="1" x14ac:dyDescent="0.25">
      <c r="A351" s="163"/>
      <c r="B351" s="542"/>
      <c r="C351" s="533"/>
      <c r="D351" s="557"/>
      <c r="E351" s="550"/>
      <c r="F351" s="533"/>
      <c r="G351" s="557"/>
      <c r="H351" s="552"/>
    </row>
    <row r="352" spans="1:8" ht="13.5" customHeight="1" thickBot="1" x14ac:dyDescent="0.25">
      <c r="A352" s="1135" t="s">
        <v>1890</v>
      </c>
      <c r="B352" s="1136"/>
      <c r="C352" s="1136"/>
      <c r="D352" s="1136"/>
      <c r="E352" s="1136"/>
      <c r="F352" s="1137"/>
      <c r="G352" s="538">
        <f>SUM(G333:G351)</f>
        <v>846987.54999999993</v>
      </c>
      <c r="H352" s="592">
        <f>SUM(H334:H345)</f>
        <v>2796132.26</v>
      </c>
    </row>
    <row r="353" spans="1:8" x14ac:dyDescent="0.2">
      <c r="A353" s="167"/>
      <c r="B353" s="167"/>
      <c r="C353" s="544"/>
      <c r="D353" s="544"/>
      <c r="E353" s="564"/>
      <c r="F353" s="164"/>
      <c r="G353" s="593"/>
      <c r="H353" s="594"/>
    </row>
    <row r="354" spans="1:8" x14ac:dyDescent="0.2">
      <c r="A354" s="161" t="s">
        <v>52</v>
      </c>
      <c r="B354" s="161"/>
      <c r="C354" s="535"/>
      <c r="D354" s="535"/>
      <c r="E354" s="535"/>
      <c r="F354" s="534"/>
      <c r="G354" s="593"/>
      <c r="H354" s="577"/>
    </row>
    <row r="355" spans="1:8" x14ac:dyDescent="0.2">
      <c r="A355" s="161"/>
      <c r="B355" s="161"/>
      <c r="C355" s="535"/>
      <c r="D355" s="535"/>
      <c r="E355" s="535"/>
      <c r="F355" s="534"/>
      <c r="G355" s="593"/>
      <c r="H355" s="577"/>
    </row>
    <row r="356" spans="1:8" x14ac:dyDescent="0.2">
      <c r="A356" s="161" t="s">
        <v>53</v>
      </c>
      <c r="B356" s="550" t="s">
        <v>1891</v>
      </c>
      <c r="C356" s="535" t="s">
        <v>1744</v>
      </c>
      <c r="D356" s="535" t="s">
        <v>1892</v>
      </c>
      <c r="E356" s="531" t="s">
        <v>1807</v>
      </c>
      <c r="F356" s="534" t="s">
        <v>1746</v>
      </c>
      <c r="G356" s="593">
        <v>143835.23000000001</v>
      </c>
      <c r="H356" s="577">
        <v>188460.73</v>
      </c>
    </row>
    <row r="357" spans="1:8" x14ac:dyDescent="0.2">
      <c r="A357" s="161"/>
      <c r="B357" s="161"/>
      <c r="C357" s="535"/>
      <c r="D357" s="535"/>
      <c r="E357" s="535"/>
      <c r="F357" s="534"/>
      <c r="G357" s="593"/>
      <c r="H357" s="577"/>
    </row>
    <row r="358" spans="1:8" x14ac:dyDescent="0.2">
      <c r="A358" s="161" t="s">
        <v>54</v>
      </c>
      <c r="B358" s="161"/>
      <c r="C358" s="535"/>
      <c r="D358" s="535"/>
      <c r="E358" s="535"/>
      <c r="F358" s="534"/>
      <c r="G358" s="593"/>
      <c r="H358" s="577"/>
    </row>
    <row r="359" spans="1:8" x14ac:dyDescent="0.2">
      <c r="A359" s="161" t="s">
        <v>377</v>
      </c>
      <c r="B359" s="550" t="s">
        <v>1891</v>
      </c>
      <c r="C359" s="535" t="s">
        <v>1744</v>
      </c>
      <c r="D359" s="535" t="s">
        <v>1892</v>
      </c>
      <c r="E359" s="531" t="s">
        <v>1844</v>
      </c>
      <c r="F359" s="534" t="s">
        <v>1746</v>
      </c>
      <c r="G359" s="593">
        <v>2521146.2999999998</v>
      </c>
      <c r="H359" s="577">
        <v>851062.62</v>
      </c>
    </row>
    <row r="360" spans="1:8" x14ac:dyDescent="0.2">
      <c r="A360" s="161"/>
      <c r="B360" s="161"/>
      <c r="C360" s="535"/>
      <c r="D360" s="535"/>
      <c r="E360" s="535"/>
      <c r="F360" s="534"/>
      <c r="G360" s="593"/>
      <c r="H360" s="577"/>
    </row>
    <row r="361" spans="1:8" x14ac:dyDescent="0.2">
      <c r="A361" s="161" t="s">
        <v>55</v>
      </c>
      <c r="B361" s="161"/>
      <c r="C361" s="535"/>
      <c r="D361" s="535"/>
      <c r="E361" s="535"/>
      <c r="F361" s="534"/>
      <c r="G361" s="593"/>
      <c r="H361" s="577"/>
    </row>
    <row r="362" spans="1:8" x14ac:dyDescent="0.2">
      <c r="A362" s="550" t="s">
        <v>1885</v>
      </c>
      <c r="B362" s="550" t="s">
        <v>1891</v>
      </c>
      <c r="C362" s="535" t="s">
        <v>1744</v>
      </c>
      <c r="D362" s="535" t="s">
        <v>1892</v>
      </c>
      <c r="E362" s="531" t="s">
        <v>1851</v>
      </c>
      <c r="F362" s="534" t="s">
        <v>1746</v>
      </c>
      <c r="G362" s="593">
        <v>97807.28</v>
      </c>
      <c r="H362" s="577">
        <v>141021.95000000001</v>
      </c>
    </row>
    <row r="363" spans="1:8" x14ac:dyDescent="0.2">
      <c r="A363" s="550" t="s">
        <v>1893</v>
      </c>
      <c r="B363" s="550" t="s">
        <v>1891</v>
      </c>
      <c r="C363" s="535" t="s">
        <v>1744</v>
      </c>
      <c r="D363" s="535" t="s">
        <v>1892</v>
      </c>
      <c r="E363" s="531" t="s">
        <v>1810</v>
      </c>
      <c r="F363" s="534" t="s">
        <v>1746</v>
      </c>
      <c r="G363" s="593">
        <v>3567590.21</v>
      </c>
      <c r="H363" s="577">
        <v>4148118.79</v>
      </c>
    </row>
    <row r="364" spans="1:8" x14ac:dyDescent="0.2">
      <c r="A364" s="161"/>
      <c r="B364" s="161"/>
      <c r="C364" s="535"/>
      <c r="D364" s="535"/>
      <c r="E364" s="535"/>
      <c r="F364" s="534"/>
      <c r="G364" s="593"/>
      <c r="H364" s="577"/>
    </row>
    <row r="365" spans="1:8" x14ac:dyDescent="0.2">
      <c r="A365" s="161" t="s">
        <v>56</v>
      </c>
      <c r="B365" s="161"/>
      <c r="C365" s="535"/>
      <c r="D365" s="535"/>
      <c r="E365" s="535"/>
      <c r="F365" s="534"/>
      <c r="G365" s="593"/>
      <c r="H365" s="577"/>
    </row>
    <row r="366" spans="1:8" x14ac:dyDescent="0.2">
      <c r="A366" s="161"/>
      <c r="B366" s="161"/>
      <c r="C366" s="550"/>
      <c r="D366" s="550"/>
      <c r="E366" s="550"/>
      <c r="F366" s="534"/>
      <c r="G366" s="593"/>
      <c r="H366" s="577"/>
    </row>
    <row r="367" spans="1:8" x14ac:dyDescent="0.2">
      <c r="A367" s="161" t="s">
        <v>60</v>
      </c>
      <c r="B367" s="550" t="s">
        <v>1891</v>
      </c>
      <c r="C367" s="535" t="s">
        <v>1744</v>
      </c>
      <c r="D367" s="535" t="s">
        <v>1892</v>
      </c>
      <c r="E367" s="531" t="s">
        <v>1812</v>
      </c>
      <c r="F367" s="534" t="s">
        <v>1746</v>
      </c>
      <c r="G367" s="593">
        <v>219754.76</v>
      </c>
      <c r="H367" s="577">
        <v>329310.75</v>
      </c>
    </row>
    <row r="368" spans="1:8" x14ac:dyDescent="0.2">
      <c r="A368" s="161" t="s">
        <v>61</v>
      </c>
      <c r="B368" s="161"/>
      <c r="C368" s="535"/>
      <c r="D368" s="535"/>
      <c r="E368" s="535"/>
      <c r="F368" s="534"/>
      <c r="G368" s="593"/>
      <c r="H368" s="577"/>
    </row>
    <row r="369" spans="1:8" x14ac:dyDescent="0.2">
      <c r="A369" s="161" t="s">
        <v>57</v>
      </c>
      <c r="B369" s="161"/>
      <c r="C369" s="535"/>
      <c r="D369" s="535"/>
      <c r="E369" s="535"/>
      <c r="F369" s="534"/>
      <c r="G369" s="593"/>
      <c r="H369" s="577"/>
    </row>
    <row r="370" spans="1:8" ht="12.75" thickBot="1" x14ac:dyDescent="0.25">
      <c r="A370" s="163" t="s">
        <v>58</v>
      </c>
      <c r="B370" s="163"/>
      <c r="C370" s="582"/>
      <c r="D370" s="582"/>
      <c r="E370" s="582"/>
      <c r="F370" s="933"/>
      <c r="G370" s="934"/>
      <c r="H370" s="595"/>
    </row>
    <row r="371" spans="1:8" x14ac:dyDescent="0.2">
      <c r="A371" s="167" t="s">
        <v>59</v>
      </c>
      <c r="B371" s="167"/>
      <c r="C371" s="544"/>
      <c r="D371" s="544"/>
      <c r="E371" s="544"/>
      <c r="F371" s="1021"/>
      <c r="G371" s="1022"/>
      <c r="H371" s="594"/>
    </row>
    <row r="372" spans="1:8" x14ac:dyDescent="0.2">
      <c r="A372" s="161" t="s">
        <v>376</v>
      </c>
      <c r="B372" s="161"/>
      <c r="C372" s="550"/>
      <c r="D372" s="535"/>
      <c r="E372" s="535"/>
      <c r="F372" s="534"/>
      <c r="G372" s="593"/>
      <c r="H372" s="577"/>
    </row>
    <row r="373" spans="1:8" x14ac:dyDescent="0.2">
      <c r="A373" s="541" t="s">
        <v>1894</v>
      </c>
      <c r="B373" s="550" t="s">
        <v>1891</v>
      </c>
      <c r="C373" s="535" t="s">
        <v>1744</v>
      </c>
      <c r="D373" s="531" t="s">
        <v>1895</v>
      </c>
      <c r="E373" s="531" t="s">
        <v>1896</v>
      </c>
      <c r="F373" s="534" t="s">
        <v>1746</v>
      </c>
      <c r="G373" s="593">
        <v>5817.12</v>
      </c>
      <c r="H373" s="577">
        <v>5817.12</v>
      </c>
    </row>
    <row r="374" spans="1:8" x14ac:dyDescent="0.2">
      <c r="A374" s="161" t="s">
        <v>1897</v>
      </c>
      <c r="B374" s="550" t="s">
        <v>1891</v>
      </c>
      <c r="C374" s="535" t="s">
        <v>1744</v>
      </c>
      <c r="D374" s="531" t="s">
        <v>1898</v>
      </c>
      <c r="E374" s="531" t="s">
        <v>1773</v>
      </c>
      <c r="F374" s="534" t="s">
        <v>1746</v>
      </c>
      <c r="G374" s="593">
        <v>40227.730000000003</v>
      </c>
      <c r="H374" s="577">
        <v>28418.47</v>
      </c>
    </row>
    <row r="375" spans="1:8" ht="12.75" thickBot="1" x14ac:dyDescent="0.25">
      <c r="A375" s="163"/>
      <c r="B375" s="163"/>
      <c r="C375" s="552"/>
      <c r="D375" s="552"/>
      <c r="E375" s="552"/>
      <c r="F375" s="533"/>
      <c r="G375" s="593"/>
      <c r="H375" s="595"/>
    </row>
    <row r="376" spans="1:8" ht="13.5" customHeight="1" thickBot="1" x14ac:dyDescent="0.25">
      <c r="A376" s="1135" t="s">
        <v>1899</v>
      </c>
      <c r="B376" s="1136"/>
      <c r="C376" s="1136"/>
      <c r="D376" s="1136"/>
      <c r="E376" s="1136"/>
      <c r="F376" s="1137"/>
      <c r="G376" s="538">
        <f>SUM(G353:G375)</f>
        <v>6596178.6299999999</v>
      </c>
      <c r="H376" s="538">
        <f>SUM(H353:H375)</f>
        <v>5692210.4299999997</v>
      </c>
    </row>
    <row r="377" spans="1:8" ht="12" customHeight="1" x14ac:dyDescent="0.2">
      <c r="A377" s="167"/>
      <c r="B377" s="167"/>
      <c r="C377" s="164"/>
      <c r="D377" s="530"/>
      <c r="E377" s="535"/>
      <c r="F377" s="534"/>
      <c r="G377" s="536"/>
      <c r="H377" s="536"/>
    </row>
    <row r="378" spans="1:8" x14ac:dyDescent="0.2">
      <c r="A378" s="161" t="s">
        <v>52</v>
      </c>
      <c r="B378" s="550" t="s">
        <v>1900</v>
      </c>
      <c r="C378" s="164" t="s">
        <v>1849</v>
      </c>
      <c r="D378" s="530" t="s">
        <v>1901</v>
      </c>
      <c r="E378" s="596">
        <v>42783</v>
      </c>
      <c r="F378" s="534" t="s">
        <v>1746</v>
      </c>
      <c r="G378" s="536">
        <v>0</v>
      </c>
      <c r="H378" s="536">
        <v>0</v>
      </c>
    </row>
    <row r="379" spans="1:8" x14ac:dyDescent="0.2">
      <c r="A379" s="161"/>
      <c r="B379" s="161"/>
      <c r="C379" s="164"/>
      <c r="D379" s="530"/>
      <c r="E379" s="535"/>
      <c r="F379" s="534"/>
      <c r="G379" s="536"/>
      <c r="H379" s="536"/>
    </row>
    <row r="380" spans="1:8" x14ac:dyDescent="0.2">
      <c r="A380" s="161" t="s">
        <v>53</v>
      </c>
      <c r="B380" s="550" t="s">
        <v>1900</v>
      </c>
      <c r="C380" s="164" t="s">
        <v>1849</v>
      </c>
      <c r="D380" s="530" t="s">
        <v>1901</v>
      </c>
      <c r="E380" s="596">
        <v>42783</v>
      </c>
      <c r="F380" s="534" t="s">
        <v>1746</v>
      </c>
      <c r="G380" s="536">
        <v>235.9</v>
      </c>
      <c r="H380" s="536">
        <v>36170.69</v>
      </c>
    </row>
    <row r="381" spans="1:8" x14ac:dyDescent="0.2">
      <c r="A381" s="161"/>
      <c r="B381" s="161"/>
      <c r="C381" s="164"/>
      <c r="D381" s="530"/>
      <c r="E381" s="535"/>
      <c r="F381" s="534"/>
      <c r="G381" s="536"/>
      <c r="H381" s="536"/>
    </row>
    <row r="382" spans="1:8" x14ac:dyDescent="0.2">
      <c r="A382" s="161" t="s">
        <v>54</v>
      </c>
      <c r="B382" s="161"/>
      <c r="C382" s="164"/>
      <c r="D382" s="530"/>
      <c r="E382" s="535"/>
      <c r="F382" s="534"/>
      <c r="G382" s="536"/>
      <c r="H382" s="536"/>
    </row>
    <row r="383" spans="1:8" x14ac:dyDescent="0.2">
      <c r="A383" s="161" t="s">
        <v>377</v>
      </c>
      <c r="B383" s="550"/>
      <c r="C383" s="164"/>
      <c r="D383" s="530"/>
      <c r="E383" s="535"/>
      <c r="F383" s="534"/>
      <c r="G383" s="536"/>
      <c r="H383" s="536"/>
    </row>
    <row r="384" spans="1:8" x14ac:dyDescent="0.2">
      <c r="A384" s="161"/>
      <c r="B384" s="161"/>
      <c r="C384" s="164"/>
      <c r="D384" s="530"/>
      <c r="E384" s="535"/>
      <c r="F384" s="534"/>
      <c r="G384" s="536"/>
      <c r="H384" s="536"/>
    </row>
    <row r="385" spans="1:8" x14ac:dyDescent="0.2">
      <c r="A385" s="161" t="s">
        <v>55</v>
      </c>
      <c r="B385" s="550" t="s">
        <v>1900</v>
      </c>
      <c r="C385" s="164" t="s">
        <v>1849</v>
      </c>
      <c r="D385" s="530" t="s">
        <v>1901</v>
      </c>
      <c r="E385" s="596">
        <v>42783</v>
      </c>
      <c r="F385" s="534" t="s">
        <v>1746</v>
      </c>
      <c r="G385" s="536">
        <v>1149022.8600000001</v>
      </c>
      <c r="H385" s="536">
        <v>1981257.14</v>
      </c>
    </row>
    <row r="386" spans="1:8" x14ac:dyDescent="0.2">
      <c r="A386" s="161"/>
      <c r="B386" s="550"/>
      <c r="C386" s="164"/>
      <c r="D386" s="530"/>
      <c r="E386" s="535"/>
      <c r="F386" s="534"/>
      <c r="G386" s="536"/>
      <c r="H386" s="536"/>
    </row>
    <row r="387" spans="1:8" x14ac:dyDescent="0.2">
      <c r="A387" s="161" t="s">
        <v>56</v>
      </c>
      <c r="B387" s="550" t="s">
        <v>1900</v>
      </c>
      <c r="C387" s="164" t="s">
        <v>1849</v>
      </c>
      <c r="D387" s="530" t="s">
        <v>1902</v>
      </c>
      <c r="E387" s="596">
        <v>42783</v>
      </c>
      <c r="F387" s="534" t="s">
        <v>1746</v>
      </c>
      <c r="G387" s="536">
        <v>698618.27</v>
      </c>
      <c r="H387" s="536">
        <v>1070054.25</v>
      </c>
    </row>
    <row r="388" spans="1:8" x14ac:dyDescent="0.2">
      <c r="A388" s="161"/>
      <c r="B388" s="161"/>
      <c r="C388" s="164"/>
      <c r="D388" s="530"/>
      <c r="E388" s="535"/>
      <c r="F388" s="534"/>
      <c r="G388" s="536"/>
      <c r="H388" s="536"/>
    </row>
    <row r="389" spans="1:8" x14ac:dyDescent="0.2">
      <c r="A389" s="161" t="s">
        <v>60</v>
      </c>
      <c r="B389" s="161"/>
      <c r="C389" s="164"/>
      <c r="D389" s="530"/>
      <c r="E389" s="535"/>
      <c r="F389" s="534"/>
      <c r="G389" s="536"/>
      <c r="H389" s="536"/>
    </row>
    <row r="390" spans="1:8" x14ac:dyDescent="0.2">
      <c r="A390" s="161" t="s">
        <v>61</v>
      </c>
      <c r="B390" s="161"/>
      <c r="C390" s="164"/>
      <c r="D390" s="530"/>
      <c r="E390" s="535"/>
      <c r="F390" s="534"/>
      <c r="G390" s="536"/>
      <c r="H390" s="536"/>
    </row>
    <row r="391" spans="1:8" x14ac:dyDescent="0.2">
      <c r="A391" s="161" t="s">
        <v>57</v>
      </c>
      <c r="B391" s="550"/>
      <c r="C391" s="164"/>
      <c r="D391" s="530"/>
      <c r="E391" s="535"/>
      <c r="F391" s="534"/>
      <c r="G391" s="536"/>
      <c r="H391" s="536"/>
    </row>
    <row r="392" spans="1:8" x14ac:dyDescent="0.2">
      <c r="A392" s="161" t="s">
        <v>58</v>
      </c>
      <c r="B392" s="161"/>
      <c r="C392" s="164"/>
      <c r="D392" s="530"/>
      <c r="E392" s="535"/>
      <c r="F392" s="534"/>
      <c r="G392" s="536"/>
      <c r="H392" s="536"/>
    </row>
    <row r="393" spans="1:8" x14ac:dyDescent="0.2">
      <c r="A393" s="161" t="s">
        <v>59</v>
      </c>
      <c r="B393" s="161"/>
      <c r="C393" s="164"/>
      <c r="D393" s="530"/>
      <c r="E393" s="535"/>
      <c r="F393" s="534"/>
      <c r="G393" s="536"/>
      <c r="H393" s="536"/>
    </row>
    <row r="394" spans="1:8" x14ac:dyDescent="0.2">
      <c r="A394" s="161" t="s">
        <v>376</v>
      </c>
      <c r="B394" s="161"/>
      <c r="C394" s="164"/>
      <c r="D394" s="530"/>
      <c r="E394" s="535"/>
      <c r="F394" s="534"/>
      <c r="G394" s="536"/>
      <c r="H394" s="536"/>
    </row>
    <row r="395" spans="1:8" ht="12.75" thickBot="1" x14ac:dyDescent="0.25">
      <c r="A395" s="163"/>
      <c r="B395" s="161"/>
      <c r="C395" s="160"/>
      <c r="D395" s="557"/>
      <c r="E395" s="550"/>
      <c r="F395" s="533"/>
      <c r="G395" s="536"/>
      <c r="H395" s="536"/>
    </row>
    <row r="396" spans="1:8" ht="13.5" customHeight="1" thickBot="1" x14ac:dyDescent="0.25">
      <c r="A396" s="1135" t="s">
        <v>1903</v>
      </c>
      <c r="B396" s="1136"/>
      <c r="C396" s="1136"/>
      <c r="D396" s="1136"/>
      <c r="E396" s="1136"/>
      <c r="F396" s="1137"/>
      <c r="G396" s="538">
        <f>SUM(G377:G395)</f>
        <v>1847877.03</v>
      </c>
      <c r="H396" s="592">
        <f>SUM(H377:H395)</f>
        <v>3087482.08</v>
      </c>
    </row>
    <row r="397" spans="1:8" ht="16.5" thickBot="1" x14ac:dyDescent="0.3">
      <c r="A397" s="1143" t="s">
        <v>1904</v>
      </c>
      <c r="B397" s="1144"/>
      <c r="C397" s="1144"/>
      <c r="D397" s="1144"/>
      <c r="E397" s="1144"/>
      <c r="F397" s="1145"/>
      <c r="G397" s="597">
        <f>SUM(G26+G49+G69+G96+G119+G139+G162+G189+G209+G229+G253+G276+G303+G332+G352+G376+G396)</f>
        <v>42343563.800000004</v>
      </c>
      <c r="H397" s="597">
        <f>SUM(H26+H49+H69+H96+H119+H139+H162+H189+H209+H229+H253+H276+H303+H332+H352+H376+H396)</f>
        <v>81868749.340000018</v>
      </c>
    </row>
    <row r="400" spans="1:8" x14ac:dyDescent="0.2">
      <c r="A400" s="159" t="s">
        <v>1905</v>
      </c>
    </row>
    <row r="401" spans="1:1" x14ac:dyDescent="0.2">
      <c r="A401" s="159" t="s">
        <v>453</v>
      </c>
    </row>
  </sheetData>
  <mergeCells count="36">
    <mergeCell ref="A332:F332"/>
    <mergeCell ref="A352:F352"/>
    <mergeCell ref="A376:F376"/>
    <mergeCell ref="A396:F396"/>
    <mergeCell ref="A397:F397"/>
    <mergeCell ref="A209:F209"/>
    <mergeCell ref="A229:F229"/>
    <mergeCell ref="A253:F253"/>
    <mergeCell ref="A276:F276"/>
    <mergeCell ref="A303:F303"/>
    <mergeCell ref="B106:B107"/>
    <mergeCell ref="A119:F119"/>
    <mergeCell ref="A139:F139"/>
    <mergeCell ref="A162:F162"/>
    <mergeCell ref="A189:F189"/>
    <mergeCell ref="F86:F89"/>
    <mergeCell ref="G86:G89"/>
    <mergeCell ref="H86:H89"/>
    <mergeCell ref="A96:F96"/>
    <mergeCell ref="B101:B103"/>
    <mergeCell ref="B79:B83"/>
    <mergeCell ref="B86:B89"/>
    <mergeCell ref="C86:C89"/>
    <mergeCell ref="D86:D89"/>
    <mergeCell ref="E86:E89"/>
    <mergeCell ref="A49:F49"/>
    <mergeCell ref="A69:F69"/>
    <mergeCell ref="B71:B74"/>
    <mergeCell ref="A75:A77"/>
    <mergeCell ref="B76:B77"/>
    <mergeCell ref="C76:C77"/>
    <mergeCell ref="C4:H4"/>
    <mergeCell ref="B4:B5"/>
    <mergeCell ref="A4:A5"/>
    <mergeCell ref="B2:C2"/>
    <mergeCell ref="A26:F26"/>
  </mergeCells>
  <printOptions horizontalCentered="1"/>
  <pageMargins left="0.70866141732283472" right="0.70866141732283472" top="0.74803149606299213" bottom="0.74803149606299213" header="0.31496062992125984" footer="0.31496062992125984"/>
  <pageSetup paperSize="9" scale="74"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colBreaks count="1" manualBreakCount="1">
    <brk id="8"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35">
    <tabColor theme="9" tint="-0.249977111117893"/>
    <pageSetUpPr fitToPage="1"/>
  </sheetPr>
  <dimension ref="A1:T5411"/>
  <sheetViews>
    <sheetView tabSelected="1" topLeftCell="C359" zoomScaleNormal="100" zoomScaleSheetLayoutView="100" zoomScalePageLayoutView="75" workbookViewId="0">
      <selection activeCell="P374" sqref="P374"/>
    </sheetView>
  </sheetViews>
  <sheetFormatPr baseColWidth="10" defaultColWidth="11.42578125" defaultRowHeight="12" x14ac:dyDescent="0.2"/>
  <cols>
    <col min="1" max="1" width="18.42578125" style="28" customWidth="1"/>
    <col min="2" max="2" width="19.28515625" style="28" customWidth="1"/>
    <col min="3" max="3" width="15.140625" style="28" customWidth="1"/>
    <col min="4" max="4" width="46" style="28" customWidth="1"/>
    <col min="5" max="5" width="19.42578125" style="608" customWidth="1"/>
    <col min="6" max="6" width="13.28515625" style="278" customWidth="1"/>
    <col min="7" max="7" width="15.42578125" style="28" customWidth="1"/>
    <col min="8" max="8" width="17.28515625" style="28" customWidth="1"/>
    <col min="9" max="9" width="16" style="28" customWidth="1"/>
    <col min="10" max="10" width="17.140625" style="28" customWidth="1"/>
    <col min="11" max="12" width="11" style="609" customWidth="1"/>
    <col min="13" max="13" width="19.42578125" style="608" customWidth="1"/>
    <col min="14" max="14" width="12.42578125" style="28" customWidth="1"/>
    <col min="15" max="15" width="12.140625" style="28" customWidth="1"/>
    <col min="16" max="16" width="18.7109375" style="608" customWidth="1"/>
    <col min="17" max="16384" width="11.42578125" style="50"/>
  </cols>
  <sheetData>
    <row r="1" spans="1:20" s="4" customFormat="1" x14ac:dyDescent="0.2">
      <c r="A1" s="600" t="s">
        <v>449</v>
      </c>
      <c r="B1" s="601"/>
      <c r="C1" s="601"/>
      <c r="D1" s="601"/>
      <c r="E1" s="602"/>
      <c r="F1" s="275"/>
      <c r="G1" s="601"/>
      <c r="H1" s="601"/>
      <c r="I1" s="601"/>
      <c r="J1" s="601"/>
      <c r="K1" s="601"/>
      <c r="L1" s="601"/>
      <c r="M1" s="602"/>
      <c r="N1" s="601"/>
      <c r="O1" s="601"/>
      <c r="P1" s="602"/>
    </row>
    <row r="2" spans="1:20" ht="24" x14ac:dyDescent="0.2">
      <c r="A2" s="603" t="s">
        <v>365</v>
      </c>
      <c r="B2" s="604"/>
      <c r="C2" s="222" t="s">
        <v>1906</v>
      </c>
      <c r="D2" s="605"/>
      <c r="E2" s="606"/>
      <c r="F2" s="223"/>
      <c r="G2" s="604"/>
      <c r="H2" s="604"/>
      <c r="I2" s="604"/>
      <c r="J2" s="604"/>
      <c r="K2" s="604"/>
      <c r="L2" s="604"/>
      <c r="M2" s="607"/>
      <c r="N2" s="604"/>
      <c r="O2" s="604"/>
      <c r="P2" s="607"/>
      <c r="Q2" s="230"/>
      <c r="R2" s="230"/>
      <c r="S2" s="230"/>
      <c r="T2" s="230"/>
    </row>
    <row r="3" spans="1:20" ht="12.75" thickBot="1" x14ac:dyDescent="0.25"/>
    <row r="4" spans="1:20" s="28" customFormat="1" ht="24.75" customHeight="1" thickBot="1" x14ac:dyDescent="0.25">
      <c r="A4" s="1149" t="s">
        <v>150</v>
      </c>
      <c r="B4" s="1150"/>
      <c r="C4" s="1150"/>
      <c r="D4" s="1150"/>
      <c r="E4" s="1151"/>
      <c r="F4" s="1152" t="s">
        <v>151</v>
      </c>
      <c r="G4" s="1153"/>
      <c r="H4" s="1154"/>
      <c r="I4" s="1154"/>
      <c r="J4" s="1155"/>
      <c r="K4" s="1146" t="s">
        <v>483</v>
      </c>
      <c r="L4" s="1147"/>
      <c r="M4" s="1148"/>
      <c r="N4" s="1146" t="s">
        <v>484</v>
      </c>
      <c r="O4" s="1147"/>
      <c r="P4" s="1148"/>
    </row>
    <row r="5" spans="1:20" s="29" customFormat="1" ht="80.099999999999994" customHeight="1" thickBot="1" x14ac:dyDescent="0.25">
      <c r="A5" s="109" t="s">
        <v>107</v>
      </c>
      <c r="B5" s="181" t="s">
        <v>9</v>
      </c>
      <c r="C5" s="109" t="s">
        <v>103</v>
      </c>
      <c r="D5" s="109" t="s">
        <v>109</v>
      </c>
      <c r="E5" s="610" t="s">
        <v>131</v>
      </c>
      <c r="F5" s="109" t="s">
        <v>138</v>
      </c>
      <c r="G5" s="109" t="s">
        <v>139</v>
      </c>
      <c r="H5" s="109" t="s">
        <v>153</v>
      </c>
      <c r="I5" s="109" t="s">
        <v>154</v>
      </c>
      <c r="J5" s="109" t="s">
        <v>143</v>
      </c>
      <c r="K5" s="611" t="s">
        <v>140</v>
      </c>
      <c r="L5" s="611" t="s">
        <v>141</v>
      </c>
      <c r="M5" s="612" t="s">
        <v>142</v>
      </c>
      <c r="N5" s="611" t="s">
        <v>140</v>
      </c>
      <c r="O5" s="611" t="s">
        <v>141</v>
      </c>
      <c r="P5" s="612" t="s">
        <v>142</v>
      </c>
    </row>
    <row r="6" spans="1:20" s="619" customFormat="1" ht="60" x14ac:dyDescent="0.2">
      <c r="A6" s="613" t="s">
        <v>1907</v>
      </c>
      <c r="B6" s="614" t="s">
        <v>1908</v>
      </c>
      <c r="C6" s="613" t="s">
        <v>104</v>
      </c>
      <c r="D6" s="613" t="s">
        <v>1909</v>
      </c>
      <c r="E6" s="615">
        <v>8000</v>
      </c>
      <c r="F6" s="616">
        <v>47080244</v>
      </c>
      <c r="G6" s="613" t="s">
        <v>1910</v>
      </c>
      <c r="H6" s="613" t="s">
        <v>1911</v>
      </c>
      <c r="I6" s="613" t="s">
        <v>1912</v>
      </c>
      <c r="J6" s="617" t="s">
        <v>1913</v>
      </c>
      <c r="K6" s="613">
        <v>1</v>
      </c>
      <c r="L6" s="613">
        <v>6</v>
      </c>
      <c r="M6" s="615">
        <v>48000</v>
      </c>
      <c r="N6" s="613">
        <v>2</v>
      </c>
      <c r="O6" s="613">
        <v>6</v>
      </c>
      <c r="P6" s="618">
        <v>48000</v>
      </c>
    </row>
    <row r="7" spans="1:20" s="619" customFormat="1" ht="24" x14ac:dyDescent="0.2">
      <c r="A7" s="598" t="s">
        <v>1907</v>
      </c>
      <c r="B7" s="620" t="s">
        <v>1908</v>
      </c>
      <c r="C7" s="598" t="s">
        <v>104</v>
      </c>
      <c r="D7" s="598" t="s">
        <v>1914</v>
      </c>
      <c r="E7" s="621">
        <v>10000</v>
      </c>
      <c r="F7" s="622" t="s">
        <v>1915</v>
      </c>
      <c r="G7" s="598" t="s">
        <v>1916</v>
      </c>
      <c r="H7" s="598" t="s">
        <v>1911</v>
      </c>
      <c r="I7" s="598" t="s">
        <v>1912</v>
      </c>
      <c r="J7" s="617" t="s">
        <v>1913</v>
      </c>
      <c r="K7" s="598">
        <v>0</v>
      </c>
      <c r="L7" s="598"/>
      <c r="M7" s="621">
        <v>0</v>
      </c>
      <c r="N7" s="598">
        <v>1</v>
      </c>
      <c r="O7" s="598">
        <v>2</v>
      </c>
      <c r="P7" s="618">
        <v>20000</v>
      </c>
    </row>
    <row r="8" spans="1:20" s="619" customFormat="1" ht="24" x14ac:dyDescent="0.2">
      <c r="A8" s="598" t="s">
        <v>1907</v>
      </c>
      <c r="B8" s="620" t="s">
        <v>1908</v>
      </c>
      <c r="C8" s="598" t="s">
        <v>104</v>
      </c>
      <c r="D8" s="598" t="s">
        <v>1917</v>
      </c>
      <c r="E8" s="621">
        <v>1000</v>
      </c>
      <c r="F8" s="599">
        <v>80250972</v>
      </c>
      <c r="G8" s="598" t="s">
        <v>1918</v>
      </c>
      <c r="H8" s="598" t="s">
        <v>1919</v>
      </c>
      <c r="I8" s="598" t="s">
        <v>1919</v>
      </c>
      <c r="J8" s="617"/>
      <c r="K8" s="598">
        <v>3</v>
      </c>
      <c r="L8" s="598">
        <v>5</v>
      </c>
      <c r="M8" s="621">
        <v>5000</v>
      </c>
      <c r="N8" s="598">
        <v>0</v>
      </c>
      <c r="O8" s="598"/>
      <c r="P8" s="618">
        <v>0</v>
      </c>
    </row>
    <row r="9" spans="1:20" s="619" customFormat="1" ht="36" x14ac:dyDescent="0.2">
      <c r="A9" s="598" t="s">
        <v>1907</v>
      </c>
      <c r="B9" s="620" t="s">
        <v>1908</v>
      </c>
      <c r="C9" s="598" t="s">
        <v>104</v>
      </c>
      <c r="D9" s="598" t="s">
        <v>1920</v>
      </c>
      <c r="E9" s="621">
        <v>2100</v>
      </c>
      <c r="F9" s="599">
        <v>41812088</v>
      </c>
      <c r="G9" s="598" t="s">
        <v>1921</v>
      </c>
      <c r="H9" s="598" t="s">
        <v>1922</v>
      </c>
      <c r="I9" s="598" t="s">
        <v>1912</v>
      </c>
      <c r="J9" s="617" t="s">
        <v>1913</v>
      </c>
      <c r="K9" s="598">
        <v>1</v>
      </c>
      <c r="L9" s="598">
        <v>2</v>
      </c>
      <c r="M9" s="621">
        <v>4200</v>
      </c>
      <c r="N9" s="598">
        <v>0</v>
      </c>
      <c r="O9" s="598"/>
      <c r="P9" s="618">
        <v>0</v>
      </c>
    </row>
    <row r="10" spans="1:20" s="619" customFormat="1" ht="24" x14ac:dyDescent="0.2">
      <c r="A10" s="598" t="s">
        <v>1907</v>
      </c>
      <c r="B10" s="620" t="s">
        <v>1908</v>
      </c>
      <c r="C10" s="598" t="s">
        <v>104</v>
      </c>
      <c r="D10" s="598" t="s">
        <v>1923</v>
      </c>
      <c r="E10" s="621">
        <v>8000</v>
      </c>
      <c r="F10" s="599">
        <v>33343223</v>
      </c>
      <c r="G10" s="598" t="s">
        <v>1924</v>
      </c>
      <c r="H10" s="598" t="s">
        <v>1925</v>
      </c>
      <c r="I10" s="598" t="s">
        <v>1912</v>
      </c>
      <c r="J10" s="617" t="s">
        <v>1913</v>
      </c>
      <c r="K10" s="598">
        <v>1</v>
      </c>
      <c r="L10" s="598">
        <v>12</v>
      </c>
      <c r="M10" s="621">
        <v>96000</v>
      </c>
      <c r="N10" s="598">
        <v>0</v>
      </c>
      <c r="O10" s="598"/>
      <c r="P10" s="618">
        <v>0</v>
      </c>
    </row>
    <row r="11" spans="1:20" s="619" customFormat="1" ht="24" x14ac:dyDescent="0.2">
      <c r="A11" s="598" t="s">
        <v>1907</v>
      </c>
      <c r="B11" s="620" t="s">
        <v>1908</v>
      </c>
      <c r="C11" s="598" t="s">
        <v>104</v>
      </c>
      <c r="D11" s="598" t="s">
        <v>1926</v>
      </c>
      <c r="E11" s="621">
        <v>6000</v>
      </c>
      <c r="F11" s="599">
        <v>42862116</v>
      </c>
      <c r="G11" s="598" t="s">
        <v>1927</v>
      </c>
      <c r="H11" s="598" t="s">
        <v>1911</v>
      </c>
      <c r="I11" s="598" t="s">
        <v>1912</v>
      </c>
      <c r="J11" s="617" t="s">
        <v>1913</v>
      </c>
      <c r="K11" s="598">
        <v>0</v>
      </c>
      <c r="L11" s="598"/>
      <c r="M11" s="621">
        <v>0</v>
      </c>
      <c r="N11" s="598">
        <v>1</v>
      </c>
      <c r="O11" s="598">
        <v>3</v>
      </c>
      <c r="P11" s="618">
        <v>18000</v>
      </c>
    </row>
    <row r="12" spans="1:20" s="619" customFormat="1" ht="36" customHeight="1" x14ac:dyDescent="0.2">
      <c r="A12" s="598" t="s">
        <v>1907</v>
      </c>
      <c r="B12" s="620" t="s">
        <v>1908</v>
      </c>
      <c r="C12" s="598" t="s">
        <v>104</v>
      </c>
      <c r="D12" s="598" t="s">
        <v>1928</v>
      </c>
      <c r="E12" s="621">
        <v>1000</v>
      </c>
      <c r="F12" s="599">
        <v>70100861</v>
      </c>
      <c r="G12" s="598" t="s">
        <v>1929</v>
      </c>
      <c r="H12" s="598" t="s">
        <v>1930</v>
      </c>
      <c r="I12" s="598" t="s">
        <v>1912</v>
      </c>
      <c r="J12" s="617" t="s">
        <v>1931</v>
      </c>
      <c r="K12" s="598">
        <v>2</v>
      </c>
      <c r="L12" s="598">
        <v>4</v>
      </c>
      <c r="M12" s="621">
        <v>4000</v>
      </c>
      <c r="N12" s="598">
        <v>0</v>
      </c>
      <c r="O12" s="598"/>
      <c r="P12" s="618">
        <v>0</v>
      </c>
    </row>
    <row r="13" spans="1:20" s="619" customFormat="1" ht="24" x14ac:dyDescent="0.2">
      <c r="A13" s="598" t="s">
        <v>1907</v>
      </c>
      <c r="B13" s="620" t="s">
        <v>1908</v>
      </c>
      <c r="C13" s="598" t="s">
        <v>104</v>
      </c>
      <c r="D13" s="598" t="s">
        <v>1932</v>
      </c>
      <c r="E13" s="621">
        <v>1600</v>
      </c>
      <c r="F13" s="599">
        <v>33827847</v>
      </c>
      <c r="G13" s="598" t="s">
        <v>1933</v>
      </c>
      <c r="H13" s="598" t="s">
        <v>1934</v>
      </c>
      <c r="I13" s="598" t="s">
        <v>1912</v>
      </c>
      <c r="J13" s="617" t="s">
        <v>1931</v>
      </c>
      <c r="K13" s="598">
        <v>6</v>
      </c>
      <c r="L13" s="598">
        <v>12</v>
      </c>
      <c r="M13" s="621">
        <v>19200</v>
      </c>
      <c r="N13" s="598">
        <v>3</v>
      </c>
      <c r="O13" s="598">
        <v>6</v>
      </c>
      <c r="P13" s="618">
        <v>9600</v>
      </c>
    </row>
    <row r="14" spans="1:20" s="619" customFormat="1" ht="48" x14ac:dyDescent="0.2">
      <c r="A14" s="598" t="s">
        <v>1907</v>
      </c>
      <c r="B14" s="620" t="s">
        <v>1908</v>
      </c>
      <c r="C14" s="598" t="s">
        <v>104</v>
      </c>
      <c r="D14" s="598" t="s">
        <v>1935</v>
      </c>
      <c r="E14" s="621">
        <v>6000</v>
      </c>
      <c r="F14" s="599">
        <v>72033948</v>
      </c>
      <c r="G14" s="598" t="s">
        <v>1936</v>
      </c>
      <c r="H14" s="598" t="s">
        <v>1911</v>
      </c>
      <c r="I14" s="598" t="s">
        <v>1912</v>
      </c>
      <c r="J14" s="617" t="s">
        <v>1913</v>
      </c>
      <c r="K14" s="598">
        <v>1</v>
      </c>
      <c r="L14" s="598">
        <v>6</v>
      </c>
      <c r="M14" s="621">
        <v>36000</v>
      </c>
      <c r="N14" s="598">
        <v>0</v>
      </c>
      <c r="O14" s="598">
        <v>3</v>
      </c>
      <c r="P14" s="618">
        <v>18000</v>
      </c>
    </row>
    <row r="15" spans="1:20" s="619" customFormat="1" ht="36" x14ac:dyDescent="0.2">
      <c r="A15" s="598" t="s">
        <v>1907</v>
      </c>
      <c r="B15" s="620" t="s">
        <v>1908</v>
      </c>
      <c r="C15" s="598" t="s">
        <v>104</v>
      </c>
      <c r="D15" s="598" t="s">
        <v>1937</v>
      </c>
      <c r="E15" s="621">
        <v>10000</v>
      </c>
      <c r="F15" s="599">
        <v>27360445</v>
      </c>
      <c r="G15" s="598" t="s">
        <v>1938</v>
      </c>
      <c r="H15" s="598" t="s">
        <v>1925</v>
      </c>
      <c r="I15" s="598" t="s">
        <v>1912</v>
      </c>
      <c r="J15" s="617" t="s">
        <v>1913</v>
      </c>
      <c r="K15" s="598">
        <v>1</v>
      </c>
      <c r="L15" s="598">
        <v>12</v>
      </c>
      <c r="M15" s="621">
        <v>120000</v>
      </c>
      <c r="N15" s="598">
        <v>1</v>
      </c>
      <c r="O15" s="598">
        <v>6</v>
      </c>
      <c r="P15" s="618">
        <v>60000</v>
      </c>
    </row>
    <row r="16" spans="1:20" s="619" customFormat="1" ht="36" x14ac:dyDescent="0.2">
      <c r="A16" s="598" t="s">
        <v>1907</v>
      </c>
      <c r="B16" s="620" t="s">
        <v>1908</v>
      </c>
      <c r="C16" s="598" t="s">
        <v>104</v>
      </c>
      <c r="D16" s="598" t="s">
        <v>1939</v>
      </c>
      <c r="E16" s="621">
        <v>8000</v>
      </c>
      <c r="F16" s="599">
        <v>41758816</v>
      </c>
      <c r="G16" s="598" t="s">
        <v>1940</v>
      </c>
      <c r="H16" s="598" t="s">
        <v>1911</v>
      </c>
      <c r="I16" s="598" t="s">
        <v>1912</v>
      </c>
      <c r="J16" s="617" t="s">
        <v>1913</v>
      </c>
      <c r="K16" s="598">
        <v>1</v>
      </c>
      <c r="L16" s="598">
        <v>3</v>
      </c>
      <c r="M16" s="621">
        <v>24000</v>
      </c>
      <c r="N16" s="598">
        <v>1</v>
      </c>
      <c r="O16" s="598">
        <v>4</v>
      </c>
      <c r="P16" s="618">
        <v>32000</v>
      </c>
    </row>
    <row r="17" spans="1:16" s="619" customFormat="1" ht="24" x14ac:dyDescent="0.2">
      <c r="A17" s="598" t="s">
        <v>1907</v>
      </c>
      <c r="B17" s="620" t="s">
        <v>1908</v>
      </c>
      <c r="C17" s="598" t="s">
        <v>104</v>
      </c>
      <c r="D17" s="598" t="s">
        <v>1941</v>
      </c>
      <c r="E17" s="621">
        <v>1600</v>
      </c>
      <c r="F17" s="599">
        <v>46152312</v>
      </c>
      <c r="G17" s="598" t="s">
        <v>1942</v>
      </c>
      <c r="H17" s="598" t="s">
        <v>1943</v>
      </c>
      <c r="I17" s="598" t="s">
        <v>1912</v>
      </c>
      <c r="J17" s="617" t="s">
        <v>1931</v>
      </c>
      <c r="K17" s="598">
        <v>6</v>
      </c>
      <c r="L17" s="598">
        <v>12</v>
      </c>
      <c r="M17" s="621">
        <v>19200</v>
      </c>
      <c r="N17" s="598">
        <v>3</v>
      </c>
      <c r="O17" s="598">
        <v>6</v>
      </c>
      <c r="P17" s="618">
        <v>9600</v>
      </c>
    </row>
    <row r="18" spans="1:16" s="619" customFormat="1" ht="48" x14ac:dyDescent="0.2">
      <c r="A18" s="598" t="s">
        <v>1907</v>
      </c>
      <c r="B18" s="620" t="s">
        <v>1908</v>
      </c>
      <c r="C18" s="598" t="s">
        <v>104</v>
      </c>
      <c r="D18" s="598" t="s">
        <v>1944</v>
      </c>
      <c r="E18" s="621">
        <v>1200</v>
      </c>
      <c r="F18" s="599">
        <v>70035403</v>
      </c>
      <c r="G18" s="598" t="s">
        <v>1945</v>
      </c>
      <c r="H18" s="598" t="s">
        <v>1911</v>
      </c>
      <c r="I18" s="598" t="s">
        <v>1912</v>
      </c>
      <c r="J18" s="617" t="s">
        <v>1913</v>
      </c>
      <c r="K18" s="598">
        <v>7</v>
      </c>
      <c r="L18" s="598">
        <v>12</v>
      </c>
      <c r="M18" s="621">
        <v>14400</v>
      </c>
      <c r="N18" s="598">
        <v>1</v>
      </c>
      <c r="O18" s="598">
        <v>2</v>
      </c>
      <c r="P18" s="618">
        <v>5000</v>
      </c>
    </row>
    <row r="19" spans="1:16" s="619" customFormat="1" ht="36" x14ac:dyDescent="0.2">
      <c r="A19" s="598" t="s">
        <v>1907</v>
      </c>
      <c r="B19" s="620" t="s">
        <v>1908</v>
      </c>
      <c r="C19" s="598" t="s">
        <v>104</v>
      </c>
      <c r="D19" s="598" t="s">
        <v>1923</v>
      </c>
      <c r="E19" s="621">
        <v>10000</v>
      </c>
      <c r="F19" s="599">
        <v>33431227</v>
      </c>
      <c r="G19" s="598" t="s">
        <v>1946</v>
      </c>
      <c r="H19" s="598" t="s">
        <v>1925</v>
      </c>
      <c r="I19" s="598" t="s">
        <v>1912</v>
      </c>
      <c r="J19" s="617" t="s">
        <v>1913</v>
      </c>
      <c r="K19" s="598">
        <v>1</v>
      </c>
      <c r="L19" s="598">
        <v>5</v>
      </c>
      <c r="M19" s="621">
        <v>50000</v>
      </c>
      <c r="N19" s="598">
        <v>0</v>
      </c>
      <c r="O19" s="598"/>
      <c r="P19" s="618">
        <v>0</v>
      </c>
    </row>
    <row r="20" spans="1:16" s="619" customFormat="1" ht="24" x14ac:dyDescent="0.2">
      <c r="A20" s="598" t="s">
        <v>1907</v>
      </c>
      <c r="B20" s="620" t="s">
        <v>1908</v>
      </c>
      <c r="C20" s="598" t="s">
        <v>104</v>
      </c>
      <c r="D20" s="598" t="s">
        <v>1947</v>
      </c>
      <c r="E20" s="621">
        <v>1000</v>
      </c>
      <c r="F20" s="599">
        <v>60303825</v>
      </c>
      <c r="G20" s="598" t="s">
        <v>1948</v>
      </c>
      <c r="H20" s="598" t="s">
        <v>1919</v>
      </c>
      <c r="I20" s="598" t="s">
        <v>1919</v>
      </c>
      <c r="J20" s="617"/>
      <c r="K20" s="598">
        <v>1</v>
      </c>
      <c r="L20" s="598">
        <v>2</v>
      </c>
      <c r="M20" s="621">
        <v>2000</v>
      </c>
      <c r="N20" s="598">
        <v>1</v>
      </c>
      <c r="O20" s="598">
        <v>6</v>
      </c>
      <c r="P20" s="618">
        <v>6000</v>
      </c>
    </row>
    <row r="21" spans="1:16" s="619" customFormat="1" ht="36" x14ac:dyDescent="0.2">
      <c r="A21" s="598" t="s">
        <v>1907</v>
      </c>
      <c r="B21" s="620" t="s">
        <v>1908</v>
      </c>
      <c r="C21" s="598" t="s">
        <v>104</v>
      </c>
      <c r="D21" s="598" t="s">
        <v>1949</v>
      </c>
      <c r="E21" s="621">
        <v>1200</v>
      </c>
      <c r="F21" s="599">
        <v>44186860</v>
      </c>
      <c r="G21" s="598" t="s">
        <v>1950</v>
      </c>
      <c r="H21" s="598" t="s">
        <v>1951</v>
      </c>
      <c r="I21" s="598" t="s">
        <v>1912</v>
      </c>
      <c r="J21" s="617" t="s">
        <v>1931</v>
      </c>
      <c r="K21" s="598">
        <v>6</v>
      </c>
      <c r="L21" s="598">
        <v>12</v>
      </c>
      <c r="M21" s="621">
        <v>14400</v>
      </c>
      <c r="N21" s="598">
        <v>3</v>
      </c>
      <c r="O21" s="598">
        <v>6</v>
      </c>
      <c r="P21" s="618">
        <v>7200</v>
      </c>
    </row>
    <row r="22" spans="1:16" s="619" customFormat="1" ht="36" x14ac:dyDescent="0.2">
      <c r="A22" s="598" t="s">
        <v>1907</v>
      </c>
      <c r="B22" s="620" t="s">
        <v>1908</v>
      </c>
      <c r="C22" s="598" t="s">
        <v>104</v>
      </c>
      <c r="D22" s="598" t="s">
        <v>1952</v>
      </c>
      <c r="E22" s="621">
        <v>3000</v>
      </c>
      <c r="F22" s="599">
        <v>46017127</v>
      </c>
      <c r="G22" s="598" t="s">
        <v>1953</v>
      </c>
      <c r="H22" s="598" t="s">
        <v>1954</v>
      </c>
      <c r="I22" s="598" t="s">
        <v>1912</v>
      </c>
      <c r="J22" s="617" t="s">
        <v>1913</v>
      </c>
      <c r="K22" s="598">
        <v>0</v>
      </c>
      <c r="L22" s="598"/>
      <c r="M22" s="621">
        <v>0</v>
      </c>
      <c r="N22" s="598">
        <v>1</v>
      </c>
      <c r="O22" s="598">
        <v>1</v>
      </c>
      <c r="P22" s="618">
        <v>3000</v>
      </c>
    </row>
    <row r="23" spans="1:16" s="619" customFormat="1" ht="24" x14ac:dyDescent="0.2">
      <c r="A23" s="598" t="s">
        <v>1907</v>
      </c>
      <c r="B23" s="620" t="s">
        <v>1908</v>
      </c>
      <c r="C23" s="598" t="s">
        <v>104</v>
      </c>
      <c r="D23" s="598" t="s">
        <v>1955</v>
      </c>
      <c r="E23" s="621">
        <v>2000</v>
      </c>
      <c r="F23" s="599">
        <v>20024145</v>
      </c>
      <c r="G23" s="598" t="s">
        <v>1956</v>
      </c>
      <c r="H23" s="598" t="s">
        <v>1922</v>
      </c>
      <c r="I23" s="598" t="s">
        <v>1912</v>
      </c>
      <c r="J23" s="617" t="s">
        <v>1913</v>
      </c>
      <c r="K23" s="598">
        <v>4</v>
      </c>
      <c r="L23" s="598">
        <v>12</v>
      </c>
      <c r="M23" s="621">
        <v>24000</v>
      </c>
      <c r="N23" s="598">
        <v>0</v>
      </c>
      <c r="O23" s="598"/>
      <c r="P23" s="618">
        <v>0</v>
      </c>
    </row>
    <row r="24" spans="1:16" s="619" customFormat="1" ht="36" x14ac:dyDescent="0.2">
      <c r="A24" s="598" t="s">
        <v>1907</v>
      </c>
      <c r="B24" s="620" t="s">
        <v>1908</v>
      </c>
      <c r="C24" s="598" t="s">
        <v>104</v>
      </c>
      <c r="D24" s="598" t="s">
        <v>1957</v>
      </c>
      <c r="E24" s="621">
        <v>1300</v>
      </c>
      <c r="F24" s="599">
        <v>47856301</v>
      </c>
      <c r="G24" s="598" t="s">
        <v>1958</v>
      </c>
      <c r="H24" s="598" t="s">
        <v>1959</v>
      </c>
      <c r="I24" s="598" t="s">
        <v>1912</v>
      </c>
      <c r="J24" s="617" t="s">
        <v>1931</v>
      </c>
      <c r="K24" s="598">
        <v>2</v>
      </c>
      <c r="L24" s="598">
        <v>12</v>
      </c>
      <c r="M24" s="621">
        <v>15600</v>
      </c>
      <c r="N24" s="598">
        <v>3</v>
      </c>
      <c r="O24" s="598">
        <v>6</v>
      </c>
      <c r="P24" s="618">
        <v>7800</v>
      </c>
    </row>
    <row r="25" spans="1:16" s="619" customFormat="1" ht="36" x14ac:dyDescent="0.2">
      <c r="A25" s="598" t="s">
        <v>1907</v>
      </c>
      <c r="B25" s="620" t="s">
        <v>1908</v>
      </c>
      <c r="C25" s="598" t="s">
        <v>104</v>
      </c>
      <c r="D25" s="598" t="s">
        <v>1960</v>
      </c>
      <c r="E25" s="621">
        <v>1000</v>
      </c>
      <c r="F25" s="599">
        <v>45877538</v>
      </c>
      <c r="G25" s="598" t="s">
        <v>1961</v>
      </c>
      <c r="H25" s="598" t="s">
        <v>1919</v>
      </c>
      <c r="I25" s="598" t="s">
        <v>1919</v>
      </c>
      <c r="J25" s="617"/>
      <c r="K25" s="598">
        <v>6</v>
      </c>
      <c r="L25" s="598">
        <v>12</v>
      </c>
      <c r="M25" s="621">
        <v>12000</v>
      </c>
      <c r="N25" s="598">
        <v>3</v>
      </c>
      <c r="O25" s="598">
        <v>6</v>
      </c>
      <c r="P25" s="618">
        <v>6000</v>
      </c>
    </row>
    <row r="26" spans="1:16" s="619" customFormat="1" ht="36" x14ac:dyDescent="0.2">
      <c r="A26" s="598" t="s">
        <v>1907</v>
      </c>
      <c r="B26" s="620" t="s">
        <v>1908</v>
      </c>
      <c r="C26" s="598" t="s">
        <v>104</v>
      </c>
      <c r="D26" s="598" t="s">
        <v>1917</v>
      </c>
      <c r="E26" s="621">
        <v>930</v>
      </c>
      <c r="F26" s="599">
        <v>33788757</v>
      </c>
      <c r="G26" s="598" t="s">
        <v>1962</v>
      </c>
      <c r="H26" s="598" t="s">
        <v>1919</v>
      </c>
      <c r="I26" s="598" t="s">
        <v>1919</v>
      </c>
      <c r="J26" s="617"/>
      <c r="K26" s="598">
        <v>6</v>
      </c>
      <c r="L26" s="598">
        <v>12</v>
      </c>
      <c r="M26" s="621">
        <v>11160</v>
      </c>
      <c r="N26" s="598">
        <v>3</v>
      </c>
      <c r="O26" s="598">
        <v>6</v>
      </c>
      <c r="P26" s="618">
        <v>5580</v>
      </c>
    </row>
    <row r="27" spans="1:16" s="619" customFormat="1" ht="36" x14ac:dyDescent="0.2">
      <c r="A27" s="598" t="s">
        <v>1907</v>
      </c>
      <c r="B27" s="620" t="s">
        <v>1908</v>
      </c>
      <c r="C27" s="598" t="s">
        <v>104</v>
      </c>
      <c r="D27" s="598" t="s">
        <v>1963</v>
      </c>
      <c r="E27" s="621">
        <v>6000</v>
      </c>
      <c r="F27" s="599">
        <v>33418793</v>
      </c>
      <c r="G27" s="598" t="s">
        <v>1964</v>
      </c>
      <c r="H27" s="598" t="s">
        <v>1965</v>
      </c>
      <c r="I27" s="598" t="s">
        <v>1912</v>
      </c>
      <c r="J27" s="617" t="s">
        <v>1913</v>
      </c>
      <c r="K27" s="598">
        <v>1</v>
      </c>
      <c r="L27" s="598">
        <v>12</v>
      </c>
      <c r="M27" s="621">
        <v>72000</v>
      </c>
      <c r="N27" s="598">
        <v>1</v>
      </c>
      <c r="O27" s="598">
        <v>6</v>
      </c>
      <c r="P27" s="618">
        <v>36000</v>
      </c>
    </row>
    <row r="28" spans="1:16" s="619" customFormat="1" ht="36" x14ac:dyDescent="0.2">
      <c r="A28" s="598" t="s">
        <v>1907</v>
      </c>
      <c r="B28" s="620" t="s">
        <v>1908</v>
      </c>
      <c r="C28" s="598" t="s">
        <v>104</v>
      </c>
      <c r="D28" s="598" t="s">
        <v>1966</v>
      </c>
      <c r="E28" s="621">
        <v>1000</v>
      </c>
      <c r="F28" s="599">
        <v>76879208</v>
      </c>
      <c r="G28" s="598" t="s">
        <v>1967</v>
      </c>
      <c r="H28" s="598" t="s">
        <v>1919</v>
      </c>
      <c r="I28" s="598" t="s">
        <v>1919</v>
      </c>
      <c r="J28" s="617"/>
      <c r="K28" s="598">
        <v>6</v>
      </c>
      <c r="L28" s="598">
        <v>12</v>
      </c>
      <c r="M28" s="621">
        <v>12000</v>
      </c>
      <c r="N28" s="598">
        <v>3</v>
      </c>
      <c r="O28" s="598">
        <v>6</v>
      </c>
      <c r="P28" s="618">
        <v>6000</v>
      </c>
    </row>
    <row r="29" spans="1:16" s="619" customFormat="1" ht="48" x14ac:dyDescent="0.2">
      <c r="A29" s="1024" t="s">
        <v>1907</v>
      </c>
      <c r="B29" s="1025" t="s">
        <v>1908</v>
      </c>
      <c r="C29" s="1024" t="s">
        <v>104</v>
      </c>
      <c r="D29" s="1024" t="s">
        <v>1968</v>
      </c>
      <c r="E29" s="1026">
        <v>1500</v>
      </c>
      <c r="F29" s="1027">
        <v>10201141</v>
      </c>
      <c r="G29" s="1024" t="s">
        <v>1969</v>
      </c>
      <c r="H29" s="1024" t="s">
        <v>1970</v>
      </c>
      <c r="I29" s="1024" t="s">
        <v>1912</v>
      </c>
      <c r="J29" s="1028" t="s">
        <v>1913</v>
      </c>
      <c r="K29" s="1024">
        <v>5</v>
      </c>
      <c r="L29" s="1024">
        <v>12</v>
      </c>
      <c r="M29" s="1026">
        <v>18000</v>
      </c>
      <c r="N29" s="1024">
        <v>3</v>
      </c>
      <c r="O29" s="1024">
        <v>6</v>
      </c>
      <c r="P29" s="1029">
        <v>9000</v>
      </c>
    </row>
    <row r="30" spans="1:16" s="619" customFormat="1" ht="36" x14ac:dyDescent="0.2">
      <c r="A30" s="598" t="s">
        <v>1907</v>
      </c>
      <c r="B30" s="620" t="s">
        <v>1908</v>
      </c>
      <c r="C30" s="598" t="s">
        <v>104</v>
      </c>
      <c r="D30" s="598" t="s">
        <v>1971</v>
      </c>
      <c r="E30" s="621">
        <v>1200</v>
      </c>
      <c r="F30" s="599">
        <v>42231451</v>
      </c>
      <c r="G30" s="598" t="s">
        <v>1972</v>
      </c>
      <c r="H30" s="598" t="s">
        <v>1973</v>
      </c>
      <c r="I30" s="598" t="s">
        <v>1912</v>
      </c>
      <c r="J30" s="617" t="s">
        <v>1931</v>
      </c>
      <c r="K30" s="598">
        <v>6</v>
      </c>
      <c r="L30" s="598">
        <v>11</v>
      </c>
      <c r="M30" s="621">
        <v>13200</v>
      </c>
      <c r="N30" s="598">
        <v>3</v>
      </c>
      <c r="O30" s="598">
        <v>6</v>
      </c>
      <c r="P30" s="618">
        <v>7200</v>
      </c>
    </row>
    <row r="31" spans="1:16" s="619" customFormat="1" ht="24" x14ac:dyDescent="0.2">
      <c r="A31" s="598" t="s">
        <v>1907</v>
      </c>
      <c r="B31" s="620" t="s">
        <v>1908</v>
      </c>
      <c r="C31" s="598" t="s">
        <v>104</v>
      </c>
      <c r="D31" s="598" t="s">
        <v>1974</v>
      </c>
      <c r="E31" s="621">
        <v>1000</v>
      </c>
      <c r="F31" s="599">
        <v>47799032</v>
      </c>
      <c r="G31" s="598" t="s">
        <v>1975</v>
      </c>
      <c r="H31" s="598" t="s">
        <v>1919</v>
      </c>
      <c r="I31" s="598" t="s">
        <v>1919</v>
      </c>
      <c r="J31" s="617"/>
      <c r="K31" s="598">
        <v>6</v>
      </c>
      <c r="L31" s="598">
        <v>12</v>
      </c>
      <c r="M31" s="621">
        <v>12000</v>
      </c>
      <c r="N31" s="598">
        <v>3</v>
      </c>
      <c r="O31" s="598"/>
      <c r="P31" s="618">
        <v>0</v>
      </c>
    </row>
    <row r="32" spans="1:16" s="619" customFormat="1" ht="36" x14ac:dyDescent="0.2">
      <c r="A32" s="598" t="s">
        <v>1907</v>
      </c>
      <c r="B32" s="620" t="s">
        <v>1908</v>
      </c>
      <c r="C32" s="598" t="s">
        <v>104</v>
      </c>
      <c r="D32" s="598" t="s">
        <v>1976</v>
      </c>
      <c r="E32" s="621">
        <v>12000</v>
      </c>
      <c r="F32" s="599">
        <v>42045263</v>
      </c>
      <c r="G32" s="598" t="s">
        <v>1977</v>
      </c>
      <c r="H32" s="598" t="s">
        <v>1911</v>
      </c>
      <c r="I32" s="598" t="s">
        <v>1912</v>
      </c>
      <c r="J32" s="617" t="s">
        <v>1913</v>
      </c>
      <c r="K32" s="598">
        <v>1</v>
      </c>
      <c r="L32" s="598">
        <v>4</v>
      </c>
      <c r="M32" s="621">
        <v>48000</v>
      </c>
      <c r="N32" s="598">
        <v>0</v>
      </c>
      <c r="O32" s="598"/>
      <c r="P32" s="618">
        <v>0</v>
      </c>
    </row>
    <row r="33" spans="1:16" s="619" customFormat="1" ht="36" x14ac:dyDescent="0.2">
      <c r="A33" s="598" t="s">
        <v>1907</v>
      </c>
      <c r="B33" s="620" t="s">
        <v>1908</v>
      </c>
      <c r="C33" s="598" t="s">
        <v>104</v>
      </c>
      <c r="D33" s="598" t="s">
        <v>1978</v>
      </c>
      <c r="E33" s="621">
        <v>930</v>
      </c>
      <c r="F33" s="599">
        <v>73977980</v>
      </c>
      <c r="G33" s="598" t="s">
        <v>1979</v>
      </c>
      <c r="H33" s="598" t="s">
        <v>1919</v>
      </c>
      <c r="I33" s="598" t="s">
        <v>1919</v>
      </c>
      <c r="J33" s="617"/>
      <c r="K33" s="598">
        <v>6</v>
      </c>
      <c r="L33" s="598">
        <v>12</v>
      </c>
      <c r="M33" s="621">
        <v>11160</v>
      </c>
      <c r="N33" s="598">
        <v>3</v>
      </c>
      <c r="O33" s="598">
        <v>6</v>
      </c>
      <c r="P33" s="618">
        <v>5580</v>
      </c>
    </row>
    <row r="34" spans="1:16" s="619" customFormat="1" ht="24" x14ac:dyDescent="0.2">
      <c r="A34" s="598" t="s">
        <v>1907</v>
      </c>
      <c r="B34" s="620" t="s">
        <v>1908</v>
      </c>
      <c r="C34" s="598" t="s">
        <v>104</v>
      </c>
      <c r="D34" s="598" t="s">
        <v>1980</v>
      </c>
      <c r="E34" s="621">
        <v>1600</v>
      </c>
      <c r="F34" s="599">
        <v>27398188</v>
      </c>
      <c r="G34" s="598" t="s">
        <v>1981</v>
      </c>
      <c r="H34" s="598" t="s">
        <v>1982</v>
      </c>
      <c r="I34" s="598" t="s">
        <v>1912</v>
      </c>
      <c r="J34" s="617" t="s">
        <v>1913</v>
      </c>
      <c r="K34" s="598">
        <v>2</v>
      </c>
      <c r="L34" s="598">
        <v>12</v>
      </c>
      <c r="M34" s="621">
        <v>19200</v>
      </c>
      <c r="N34" s="598">
        <v>3</v>
      </c>
      <c r="O34" s="598">
        <v>6</v>
      </c>
      <c r="P34" s="618">
        <v>9600</v>
      </c>
    </row>
    <row r="35" spans="1:16" s="619" customFormat="1" ht="36" x14ac:dyDescent="0.2">
      <c r="A35" s="598" t="s">
        <v>1907</v>
      </c>
      <c r="B35" s="620" t="s">
        <v>1908</v>
      </c>
      <c r="C35" s="598" t="s">
        <v>104</v>
      </c>
      <c r="D35" s="598" t="s">
        <v>1983</v>
      </c>
      <c r="E35" s="621">
        <v>2100</v>
      </c>
      <c r="F35" s="599">
        <v>73059323</v>
      </c>
      <c r="G35" s="598" t="s">
        <v>1984</v>
      </c>
      <c r="H35" s="598" t="s">
        <v>1985</v>
      </c>
      <c r="I35" s="598" t="s">
        <v>1912</v>
      </c>
      <c r="J35" s="617" t="s">
        <v>1913</v>
      </c>
      <c r="K35" s="598">
        <v>1</v>
      </c>
      <c r="L35" s="598">
        <v>2</v>
      </c>
      <c r="M35" s="621">
        <v>4200</v>
      </c>
      <c r="N35" s="598">
        <v>0</v>
      </c>
      <c r="O35" s="598"/>
      <c r="P35" s="618">
        <v>0</v>
      </c>
    </row>
    <row r="36" spans="1:16" s="619" customFormat="1" ht="24" x14ac:dyDescent="0.2">
      <c r="A36" s="598" t="s">
        <v>1907</v>
      </c>
      <c r="B36" s="620" t="s">
        <v>1908</v>
      </c>
      <c r="C36" s="598" t="s">
        <v>104</v>
      </c>
      <c r="D36" s="598" t="s">
        <v>1986</v>
      </c>
      <c r="E36" s="621">
        <v>2100</v>
      </c>
      <c r="F36" s="599">
        <v>46273339</v>
      </c>
      <c r="G36" s="598" t="s">
        <v>1987</v>
      </c>
      <c r="H36" s="598" t="s">
        <v>1988</v>
      </c>
      <c r="I36" s="598" t="s">
        <v>1912</v>
      </c>
      <c r="J36" s="617" t="s">
        <v>1913</v>
      </c>
      <c r="K36" s="598">
        <v>6</v>
      </c>
      <c r="L36" s="598">
        <v>12</v>
      </c>
      <c r="M36" s="621">
        <v>25200</v>
      </c>
      <c r="N36" s="598">
        <v>3</v>
      </c>
      <c r="O36" s="598">
        <v>6</v>
      </c>
      <c r="P36" s="618">
        <v>12600</v>
      </c>
    </row>
    <row r="37" spans="1:16" s="619" customFormat="1" ht="24" x14ac:dyDescent="0.2">
      <c r="A37" s="598" t="s">
        <v>1907</v>
      </c>
      <c r="B37" s="620" t="s">
        <v>1908</v>
      </c>
      <c r="C37" s="598" t="s">
        <v>104</v>
      </c>
      <c r="D37" s="598" t="s">
        <v>1989</v>
      </c>
      <c r="E37" s="621">
        <v>2200</v>
      </c>
      <c r="F37" s="599">
        <v>40366610</v>
      </c>
      <c r="G37" s="598" t="s">
        <v>1990</v>
      </c>
      <c r="H37" s="598" t="s">
        <v>1965</v>
      </c>
      <c r="I37" s="598" t="s">
        <v>1912</v>
      </c>
      <c r="J37" s="617" t="s">
        <v>1912</v>
      </c>
      <c r="K37" s="598">
        <v>5</v>
      </c>
      <c r="L37" s="598">
        <v>12</v>
      </c>
      <c r="M37" s="621">
        <v>26400</v>
      </c>
      <c r="N37" s="598">
        <v>2</v>
      </c>
      <c r="O37" s="598">
        <v>6</v>
      </c>
      <c r="P37" s="618">
        <v>13200</v>
      </c>
    </row>
    <row r="38" spans="1:16" s="619" customFormat="1" ht="24" x14ac:dyDescent="0.2">
      <c r="A38" s="598" t="s">
        <v>1907</v>
      </c>
      <c r="B38" s="620" t="s">
        <v>1908</v>
      </c>
      <c r="C38" s="598" t="s">
        <v>104</v>
      </c>
      <c r="D38" s="598" t="s">
        <v>1991</v>
      </c>
      <c r="E38" s="621">
        <v>2500</v>
      </c>
      <c r="F38" s="599">
        <v>46105402</v>
      </c>
      <c r="G38" s="598" t="s">
        <v>1992</v>
      </c>
      <c r="H38" s="598" t="s">
        <v>1993</v>
      </c>
      <c r="I38" s="598" t="s">
        <v>1912</v>
      </c>
      <c r="J38" s="617" t="s">
        <v>1913</v>
      </c>
      <c r="K38" s="598">
        <v>1</v>
      </c>
      <c r="L38" s="598">
        <v>1</v>
      </c>
      <c r="M38" s="621">
        <v>2500</v>
      </c>
      <c r="N38" s="598">
        <v>0</v>
      </c>
      <c r="O38" s="598"/>
      <c r="P38" s="618">
        <v>0</v>
      </c>
    </row>
    <row r="39" spans="1:16" s="619" customFormat="1" ht="24" x14ac:dyDescent="0.2">
      <c r="A39" s="598" t="s">
        <v>1907</v>
      </c>
      <c r="B39" s="620" t="s">
        <v>1908</v>
      </c>
      <c r="C39" s="598" t="s">
        <v>104</v>
      </c>
      <c r="D39" s="598" t="s">
        <v>1994</v>
      </c>
      <c r="E39" s="621">
        <v>6000</v>
      </c>
      <c r="F39" s="599">
        <v>41540184</v>
      </c>
      <c r="G39" s="598" t="s">
        <v>1995</v>
      </c>
      <c r="H39" s="598" t="s">
        <v>1965</v>
      </c>
      <c r="I39" s="598" t="s">
        <v>1912</v>
      </c>
      <c r="J39" s="617" t="s">
        <v>1913</v>
      </c>
      <c r="K39" s="598">
        <v>1</v>
      </c>
      <c r="L39" s="598">
        <v>6</v>
      </c>
      <c r="M39" s="621">
        <v>36000</v>
      </c>
      <c r="N39" s="598">
        <v>0</v>
      </c>
      <c r="O39" s="598"/>
      <c r="P39" s="618">
        <v>0</v>
      </c>
    </row>
    <row r="40" spans="1:16" s="619" customFormat="1" ht="36" x14ac:dyDescent="0.2">
      <c r="A40" s="598" t="s">
        <v>1907</v>
      </c>
      <c r="B40" s="620" t="s">
        <v>1908</v>
      </c>
      <c r="C40" s="598" t="s">
        <v>104</v>
      </c>
      <c r="D40" s="598" t="s">
        <v>1996</v>
      </c>
      <c r="E40" s="621">
        <v>1200</v>
      </c>
      <c r="F40" s="599">
        <v>70207471</v>
      </c>
      <c r="G40" s="598" t="s">
        <v>1997</v>
      </c>
      <c r="H40" s="598" t="s">
        <v>1919</v>
      </c>
      <c r="I40" s="598" t="s">
        <v>1919</v>
      </c>
      <c r="J40" s="617"/>
      <c r="K40" s="598">
        <v>6</v>
      </c>
      <c r="L40" s="598">
        <v>12</v>
      </c>
      <c r="M40" s="621">
        <v>14400</v>
      </c>
      <c r="N40" s="598">
        <v>3</v>
      </c>
      <c r="O40" s="598">
        <v>6</v>
      </c>
      <c r="P40" s="618">
        <v>7200</v>
      </c>
    </row>
    <row r="41" spans="1:16" s="619" customFormat="1" ht="36" x14ac:dyDescent="0.2">
      <c r="A41" s="598" t="s">
        <v>1907</v>
      </c>
      <c r="B41" s="620" t="s">
        <v>1908</v>
      </c>
      <c r="C41" s="598" t="s">
        <v>104</v>
      </c>
      <c r="D41" s="598" t="s">
        <v>1971</v>
      </c>
      <c r="E41" s="621">
        <v>930</v>
      </c>
      <c r="F41" s="599">
        <v>73067849</v>
      </c>
      <c r="G41" s="598" t="s">
        <v>1998</v>
      </c>
      <c r="H41" s="598" t="s">
        <v>1999</v>
      </c>
      <c r="I41" s="598" t="s">
        <v>1912</v>
      </c>
      <c r="J41" s="617" t="s">
        <v>1931</v>
      </c>
      <c r="K41" s="598">
        <v>1</v>
      </c>
      <c r="L41" s="598">
        <v>2</v>
      </c>
      <c r="M41" s="621">
        <v>1860</v>
      </c>
      <c r="N41" s="598">
        <v>1</v>
      </c>
      <c r="O41" s="598">
        <v>5</v>
      </c>
      <c r="P41" s="618">
        <v>4650</v>
      </c>
    </row>
    <row r="42" spans="1:16" s="619" customFormat="1" ht="24" customHeight="1" x14ac:dyDescent="0.2">
      <c r="A42" s="598" t="s">
        <v>1907</v>
      </c>
      <c r="B42" s="620" t="s">
        <v>1908</v>
      </c>
      <c r="C42" s="598" t="s">
        <v>104</v>
      </c>
      <c r="D42" s="598" t="s">
        <v>2000</v>
      </c>
      <c r="E42" s="621">
        <v>1600</v>
      </c>
      <c r="F42" s="599">
        <v>46943051</v>
      </c>
      <c r="G42" s="598" t="s">
        <v>2001</v>
      </c>
      <c r="H42" s="598" t="s">
        <v>2002</v>
      </c>
      <c r="I42" s="598" t="s">
        <v>1912</v>
      </c>
      <c r="J42" s="617" t="s">
        <v>1913</v>
      </c>
      <c r="K42" s="598">
        <v>5</v>
      </c>
      <c r="L42" s="598">
        <v>7</v>
      </c>
      <c r="M42" s="621">
        <v>11200</v>
      </c>
      <c r="N42" s="598">
        <v>0</v>
      </c>
      <c r="O42" s="598"/>
      <c r="P42" s="618">
        <v>0</v>
      </c>
    </row>
    <row r="43" spans="1:16" s="619" customFormat="1" ht="36" x14ac:dyDescent="0.2">
      <c r="A43" s="598" t="s">
        <v>1907</v>
      </c>
      <c r="B43" s="620" t="s">
        <v>1908</v>
      </c>
      <c r="C43" s="598" t="s">
        <v>104</v>
      </c>
      <c r="D43" s="598" t="s">
        <v>1971</v>
      </c>
      <c r="E43" s="621">
        <v>930</v>
      </c>
      <c r="F43" s="599">
        <v>45544049</v>
      </c>
      <c r="G43" s="598" t="s">
        <v>2003</v>
      </c>
      <c r="H43" s="598" t="s">
        <v>2004</v>
      </c>
      <c r="I43" s="598" t="s">
        <v>1912</v>
      </c>
      <c r="J43" s="617" t="s">
        <v>1931</v>
      </c>
      <c r="K43" s="598">
        <v>3</v>
      </c>
      <c r="L43" s="598">
        <v>5</v>
      </c>
      <c r="M43" s="621">
        <v>4650</v>
      </c>
      <c r="N43" s="598"/>
      <c r="O43" s="598"/>
      <c r="P43" s="618">
        <v>0</v>
      </c>
    </row>
    <row r="44" spans="1:16" s="619" customFormat="1" ht="36" x14ac:dyDescent="0.2">
      <c r="A44" s="598" t="s">
        <v>1907</v>
      </c>
      <c r="B44" s="620" t="s">
        <v>1908</v>
      </c>
      <c r="C44" s="598" t="s">
        <v>104</v>
      </c>
      <c r="D44" s="598" t="s">
        <v>2005</v>
      </c>
      <c r="E44" s="621">
        <v>7000</v>
      </c>
      <c r="F44" s="599">
        <v>33408716</v>
      </c>
      <c r="G44" s="598" t="s">
        <v>2006</v>
      </c>
      <c r="H44" s="598" t="s">
        <v>1925</v>
      </c>
      <c r="I44" s="598" t="s">
        <v>1912</v>
      </c>
      <c r="J44" s="617" t="s">
        <v>1913</v>
      </c>
      <c r="K44" s="598">
        <v>1</v>
      </c>
      <c r="L44" s="598">
        <v>4</v>
      </c>
      <c r="M44" s="621">
        <v>28000</v>
      </c>
      <c r="N44" s="598"/>
      <c r="O44" s="598"/>
      <c r="P44" s="618">
        <v>0</v>
      </c>
    </row>
    <row r="45" spans="1:16" s="619" customFormat="1" ht="36" x14ac:dyDescent="0.2">
      <c r="A45" s="598" t="s">
        <v>1907</v>
      </c>
      <c r="B45" s="620" t="s">
        <v>1908</v>
      </c>
      <c r="C45" s="598" t="s">
        <v>104</v>
      </c>
      <c r="D45" s="598" t="s">
        <v>2007</v>
      </c>
      <c r="E45" s="621">
        <v>6000</v>
      </c>
      <c r="F45" s="599">
        <v>80535065</v>
      </c>
      <c r="G45" s="598" t="s">
        <v>2008</v>
      </c>
      <c r="H45" s="598" t="s">
        <v>1965</v>
      </c>
      <c r="I45" s="598" t="s">
        <v>1912</v>
      </c>
      <c r="J45" s="617" t="s">
        <v>1913</v>
      </c>
      <c r="K45" s="598">
        <v>1</v>
      </c>
      <c r="L45" s="598">
        <v>2</v>
      </c>
      <c r="M45" s="621">
        <v>12000</v>
      </c>
      <c r="N45" s="598"/>
      <c r="O45" s="598"/>
      <c r="P45" s="618">
        <v>0</v>
      </c>
    </row>
    <row r="46" spans="1:16" s="619" customFormat="1" ht="24" x14ac:dyDescent="0.2">
      <c r="A46" s="598" t="s">
        <v>1907</v>
      </c>
      <c r="B46" s="620" t="s">
        <v>1908</v>
      </c>
      <c r="C46" s="598" t="s">
        <v>104</v>
      </c>
      <c r="D46" s="598" t="s">
        <v>2009</v>
      </c>
      <c r="E46" s="621">
        <v>8000</v>
      </c>
      <c r="F46" s="599">
        <v>33408705</v>
      </c>
      <c r="G46" s="598" t="s">
        <v>2010</v>
      </c>
      <c r="H46" s="598" t="s">
        <v>2011</v>
      </c>
      <c r="I46" s="598" t="s">
        <v>1912</v>
      </c>
      <c r="J46" s="617" t="s">
        <v>1913</v>
      </c>
      <c r="K46" s="598"/>
      <c r="L46" s="598"/>
      <c r="M46" s="621">
        <v>0</v>
      </c>
      <c r="N46" s="598">
        <v>1</v>
      </c>
      <c r="O46" s="598">
        <v>6</v>
      </c>
      <c r="P46" s="618">
        <v>48000</v>
      </c>
    </row>
    <row r="47" spans="1:16" s="619" customFormat="1" ht="36" x14ac:dyDescent="0.2">
      <c r="A47" s="598" t="s">
        <v>1907</v>
      </c>
      <c r="B47" s="620" t="s">
        <v>1908</v>
      </c>
      <c r="C47" s="598" t="s">
        <v>104</v>
      </c>
      <c r="D47" s="598" t="s">
        <v>2012</v>
      </c>
      <c r="E47" s="621">
        <v>7000</v>
      </c>
      <c r="F47" s="599">
        <v>26693426</v>
      </c>
      <c r="G47" s="598" t="s">
        <v>2013</v>
      </c>
      <c r="H47" s="598" t="s">
        <v>2014</v>
      </c>
      <c r="I47" s="598" t="s">
        <v>1912</v>
      </c>
      <c r="J47" s="617" t="s">
        <v>1913</v>
      </c>
      <c r="K47" s="598"/>
      <c r="L47" s="598"/>
      <c r="M47" s="621">
        <v>0</v>
      </c>
      <c r="N47" s="598">
        <v>1</v>
      </c>
      <c r="O47" s="598">
        <v>3</v>
      </c>
      <c r="P47" s="618">
        <v>21000</v>
      </c>
    </row>
    <row r="48" spans="1:16" s="619" customFormat="1" ht="36" x14ac:dyDescent="0.2">
      <c r="A48" s="598" t="s">
        <v>1907</v>
      </c>
      <c r="B48" s="620" t="s">
        <v>1908</v>
      </c>
      <c r="C48" s="598" t="s">
        <v>2015</v>
      </c>
      <c r="D48" s="598" t="s">
        <v>2016</v>
      </c>
      <c r="E48" s="621">
        <v>1200</v>
      </c>
      <c r="F48" s="599">
        <v>71435301</v>
      </c>
      <c r="G48" s="598" t="s">
        <v>2017</v>
      </c>
      <c r="H48" s="598"/>
      <c r="I48" s="598"/>
      <c r="J48" s="617"/>
      <c r="K48" s="598">
        <v>3</v>
      </c>
      <c r="L48" s="598">
        <v>6</v>
      </c>
      <c r="M48" s="621">
        <v>3600</v>
      </c>
      <c r="N48" s="598"/>
      <c r="O48" s="598"/>
      <c r="P48" s="618"/>
    </row>
    <row r="49" spans="1:16" s="619" customFormat="1" ht="36" x14ac:dyDescent="0.2">
      <c r="A49" s="598" t="s">
        <v>1907</v>
      </c>
      <c r="B49" s="620" t="s">
        <v>1908</v>
      </c>
      <c r="C49" s="598" t="s">
        <v>2015</v>
      </c>
      <c r="D49" s="598" t="s">
        <v>2016</v>
      </c>
      <c r="E49" s="621">
        <v>1100</v>
      </c>
      <c r="F49" s="599">
        <v>42668556</v>
      </c>
      <c r="G49" s="598" t="s">
        <v>2018</v>
      </c>
      <c r="H49" s="598" t="s">
        <v>2019</v>
      </c>
      <c r="I49" s="598" t="s">
        <v>1912</v>
      </c>
      <c r="J49" s="617" t="s">
        <v>1931</v>
      </c>
      <c r="K49" s="598">
        <v>1</v>
      </c>
      <c r="L49" s="598">
        <v>3</v>
      </c>
      <c r="M49" s="621">
        <v>3300</v>
      </c>
      <c r="N49" s="598"/>
      <c r="O49" s="598"/>
      <c r="P49" s="618"/>
    </row>
    <row r="50" spans="1:16" s="619" customFormat="1" ht="36" x14ac:dyDescent="0.2">
      <c r="A50" s="598" t="s">
        <v>1907</v>
      </c>
      <c r="B50" s="620" t="s">
        <v>1908</v>
      </c>
      <c r="C50" s="598" t="s">
        <v>2015</v>
      </c>
      <c r="D50" s="598" t="s">
        <v>2020</v>
      </c>
      <c r="E50" s="621">
        <v>1900</v>
      </c>
      <c r="F50" s="599">
        <v>70691151</v>
      </c>
      <c r="G50" s="598" t="s">
        <v>2021</v>
      </c>
      <c r="H50" s="598" t="s">
        <v>2022</v>
      </c>
      <c r="I50" s="598" t="s">
        <v>1912</v>
      </c>
      <c r="J50" s="617" t="s">
        <v>1913</v>
      </c>
      <c r="K50" s="598">
        <v>3</v>
      </c>
      <c r="L50" s="598">
        <v>7</v>
      </c>
      <c r="M50" s="621">
        <v>13300</v>
      </c>
      <c r="N50" s="598"/>
      <c r="O50" s="598"/>
      <c r="P50" s="618"/>
    </row>
    <row r="51" spans="1:16" s="619" customFormat="1" ht="36" x14ac:dyDescent="0.2">
      <c r="A51" s="598" t="s">
        <v>1907</v>
      </c>
      <c r="B51" s="620" t="s">
        <v>1908</v>
      </c>
      <c r="C51" s="598" t="s">
        <v>2015</v>
      </c>
      <c r="D51" s="598" t="s">
        <v>2020</v>
      </c>
      <c r="E51" s="621">
        <v>3500</v>
      </c>
      <c r="F51" s="599">
        <v>33588790</v>
      </c>
      <c r="G51" s="598" t="s">
        <v>2023</v>
      </c>
      <c r="H51" s="598" t="s">
        <v>2024</v>
      </c>
      <c r="I51" s="598" t="s">
        <v>1912</v>
      </c>
      <c r="J51" s="617" t="s">
        <v>1913</v>
      </c>
      <c r="K51" s="598">
        <v>1</v>
      </c>
      <c r="L51" s="598">
        <v>3</v>
      </c>
      <c r="M51" s="621">
        <v>10500</v>
      </c>
      <c r="N51" s="598"/>
      <c r="O51" s="598"/>
      <c r="P51" s="618"/>
    </row>
    <row r="52" spans="1:16" s="619" customFormat="1" ht="24" x14ac:dyDescent="0.2">
      <c r="A52" s="598" t="s">
        <v>1907</v>
      </c>
      <c r="B52" s="620" t="s">
        <v>1908</v>
      </c>
      <c r="C52" s="598" t="s">
        <v>2015</v>
      </c>
      <c r="D52" s="598" t="s">
        <v>2025</v>
      </c>
      <c r="E52" s="621">
        <v>1000</v>
      </c>
      <c r="F52" s="599">
        <v>33432992</v>
      </c>
      <c r="G52" s="598" t="s">
        <v>2026</v>
      </c>
      <c r="H52" s="598"/>
      <c r="I52" s="598"/>
      <c r="J52" s="617"/>
      <c r="K52" s="598">
        <v>6</v>
      </c>
      <c r="L52" s="598">
        <v>12</v>
      </c>
      <c r="M52" s="621">
        <v>12000</v>
      </c>
      <c r="N52" s="598"/>
      <c r="O52" s="598"/>
      <c r="P52" s="618"/>
    </row>
    <row r="53" spans="1:16" s="619" customFormat="1" ht="36" x14ac:dyDescent="0.2">
      <c r="A53" s="598" t="s">
        <v>1907</v>
      </c>
      <c r="B53" s="620" t="s">
        <v>1908</v>
      </c>
      <c r="C53" s="598" t="s">
        <v>2015</v>
      </c>
      <c r="D53" s="598" t="s">
        <v>2027</v>
      </c>
      <c r="E53" s="621">
        <v>1200</v>
      </c>
      <c r="F53" s="599">
        <v>74560484</v>
      </c>
      <c r="G53" s="598" t="s">
        <v>2028</v>
      </c>
      <c r="H53" s="598"/>
      <c r="I53" s="598"/>
      <c r="J53" s="617"/>
      <c r="K53" s="598">
        <v>1</v>
      </c>
      <c r="L53" s="598">
        <v>3</v>
      </c>
      <c r="M53" s="621">
        <v>3600</v>
      </c>
      <c r="N53" s="598"/>
      <c r="O53" s="598"/>
      <c r="P53" s="618"/>
    </row>
    <row r="54" spans="1:16" s="619" customFormat="1" ht="36" x14ac:dyDescent="0.2">
      <c r="A54" s="598" t="s">
        <v>1907</v>
      </c>
      <c r="B54" s="620" t="s">
        <v>1908</v>
      </c>
      <c r="C54" s="598" t="s">
        <v>2015</v>
      </c>
      <c r="D54" s="598" t="s">
        <v>2027</v>
      </c>
      <c r="E54" s="621">
        <v>1500</v>
      </c>
      <c r="F54" s="599">
        <v>48631796</v>
      </c>
      <c r="G54" s="598" t="s">
        <v>2029</v>
      </c>
      <c r="H54" s="598" t="s">
        <v>2030</v>
      </c>
      <c r="I54" s="598" t="s">
        <v>1912</v>
      </c>
      <c r="J54" s="617" t="s">
        <v>1913</v>
      </c>
      <c r="K54" s="598">
        <v>4</v>
      </c>
      <c r="L54" s="598">
        <v>8</v>
      </c>
      <c r="M54" s="621">
        <v>12000</v>
      </c>
      <c r="N54" s="598"/>
      <c r="O54" s="598"/>
      <c r="P54" s="618"/>
    </row>
    <row r="55" spans="1:16" s="619" customFormat="1" ht="36" x14ac:dyDescent="0.2">
      <c r="A55" s="598" t="s">
        <v>1907</v>
      </c>
      <c r="B55" s="620" t="s">
        <v>1908</v>
      </c>
      <c r="C55" s="598" t="s">
        <v>2015</v>
      </c>
      <c r="D55" s="598" t="s">
        <v>2027</v>
      </c>
      <c r="E55" s="621">
        <v>4000</v>
      </c>
      <c r="F55" s="599">
        <v>26732867</v>
      </c>
      <c r="G55" s="598" t="s">
        <v>2031</v>
      </c>
      <c r="H55" s="598" t="s">
        <v>1911</v>
      </c>
      <c r="I55" s="598" t="s">
        <v>1912</v>
      </c>
      <c r="J55" s="617" t="s">
        <v>1913</v>
      </c>
      <c r="K55" s="598">
        <v>8</v>
      </c>
      <c r="L55" s="598">
        <v>12</v>
      </c>
      <c r="M55" s="621">
        <v>48000</v>
      </c>
      <c r="N55" s="598"/>
      <c r="O55" s="598"/>
      <c r="P55" s="618"/>
    </row>
    <row r="56" spans="1:16" s="619" customFormat="1" ht="36" x14ac:dyDescent="0.2">
      <c r="A56" s="598" t="s">
        <v>1907</v>
      </c>
      <c r="B56" s="620" t="s">
        <v>2032</v>
      </c>
      <c r="C56" s="598" t="s">
        <v>2015</v>
      </c>
      <c r="D56" s="598" t="s">
        <v>2027</v>
      </c>
      <c r="E56" s="621">
        <v>1900</v>
      </c>
      <c r="F56" s="599">
        <v>42178309</v>
      </c>
      <c r="G56" s="598" t="s">
        <v>2033</v>
      </c>
      <c r="H56" s="598" t="s">
        <v>2034</v>
      </c>
      <c r="I56" s="598" t="s">
        <v>1912</v>
      </c>
      <c r="J56" s="617" t="s">
        <v>1913</v>
      </c>
      <c r="K56" s="598">
        <v>6</v>
      </c>
      <c r="L56" s="598">
        <v>12</v>
      </c>
      <c r="M56" s="621">
        <v>22800</v>
      </c>
      <c r="N56" s="598"/>
      <c r="O56" s="598"/>
      <c r="P56" s="618"/>
    </row>
    <row r="57" spans="1:16" s="619" customFormat="1" ht="36" x14ac:dyDescent="0.2">
      <c r="A57" s="598" t="s">
        <v>1907</v>
      </c>
      <c r="B57" s="620" t="s">
        <v>1908</v>
      </c>
      <c r="C57" s="598" t="s">
        <v>2015</v>
      </c>
      <c r="D57" s="598" t="s">
        <v>2027</v>
      </c>
      <c r="E57" s="621">
        <v>1500</v>
      </c>
      <c r="F57" s="599">
        <v>40732967</v>
      </c>
      <c r="G57" s="598" t="s">
        <v>2035</v>
      </c>
      <c r="H57" s="598" t="s">
        <v>2036</v>
      </c>
      <c r="I57" s="598" t="s">
        <v>1912</v>
      </c>
      <c r="J57" s="617" t="s">
        <v>1931</v>
      </c>
      <c r="K57" s="598">
        <v>4</v>
      </c>
      <c r="L57" s="598">
        <v>7</v>
      </c>
      <c r="M57" s="621">
        <v>10500</v>
      </c>
      <c r="N57" s="598"/>
      <c r="O57" s="598"/>
      <c r="P57" s="618"/>
    </row>
    <row r="58" spans="1:16" s="619" customFormat="1" ht="36" x14ac:dyDescent="0.2">
      <c r="A58" s="598" t="s">
        <v>1907</v>
      </c>
      <c r="B58" s="620" t="s">
        <v>1908</v>
      </c>
      <c r="C58" s="598" t="s">
        <v>2015</v>
      </c>
      <c r="D58" s="598" t="s">
        <v>2027</v>
      </c>
      <c r="E58" s="621">
        <v>2500</v>
      </c>
      <c r="F58" s="599">
        <v>41713997</v>
      </c>
      <c r="G58" s="598" t="s">
        <v>2037</v>
      </c>
      <c r="H58" s="598" t="s">
        <v>2038</v>
      </c>
      <c r="I58" s="598" t="s">
        <v>1912</v>
      </c>
      <c r="J58" s="617" t="s">
        <v>1913</v>
      </c>
      <c r="K58" s="598">
        <v>5</v>
      </c>
      <c r="L58" s="598">
        <v>9</v>
      </c>
      <c r="M58" s="621">
        <v>22500</v>
      </c>
      <c r="N58" s="598"/>
      <c r="O58" s="598"/>
      <c r="P58" s="618"/>
    </row>
    <row r="59" spans="1:16" s="619" customFormat="1" ht="36" x14ac:dyDescent="0.2">
      <c r="A59" s="1024" t="s">
        <v>1907</v>
      </c>
      <c r="B59" s="1025" t="s">
        <v>1908</v>
      </c>
      <c r="C59" s="1024" t="s">
        <v>2015</v>
      </c>
      <c r="D59" s="1024" t="s">
        <v>2039</v>
      </c>
      <c r="E59" s="1026">
        <v>1800</v>
      </c>
      <c r="F59" s="1027">
        <v>33678479</v>
      </c>
      <c r="G59" s="1024" t="s">
        <v>2040</v>
      </c>
      <c r="H59" s="1024"/>
      <c r="I59" s="1024"/>
      <c r="J59" s="1028"/>
      <c r="K59" s="1024">
        <v>1</v>
      </c>
      <c r="L59" s="1024">
        <v>4</v>
      </c>
      <c r="M59" s="1026">
        <v>7200</v>
      </c>
      <c r="N59" s="1024"/>
      <c r="O59" s="1024"/>
      <c r="P59" s="1029"/>
    </row>
    <row r="60" spans="1:16" s="619" customFormat="1" ht="24" x14ac:dyDescent="0.2">
      <c r="A60" s="598" t="s">
        <v>1907</v>
      </c>
      <c r="B60" s="620" t="s">
        <v>1908</v>
      </c>
      <c r="C60" s="598" t="s">
        <v>2015</v>
      </c>
      <c r="D60" s="598" t="s">
        <v>2041</v>
      </c>
      <c r="E60" s="621">
        <v>1600</v>
      </c>
      <c r="F60" s="599">
        <v>44030573</v>
      </c>
      <c r="G60" s="598" t="s">
        <v>2042</v>
      </c>
      <c r="H60" s="598"/>
      <c r="I60" s="598"/>
      <c r="J60" s="617"/>
      <c r="K60" s="598">
        <v>2</v>
      </c>
      <c r="L60" s="598">
        <v>5</v>
      </c>
      <c r="M60" s="621">
        <v>8000</v>
      </c>
      <c r="N60" s="598"/>
      <c r="O60" s="598"/>
      <c r="P60" s="618"/>
    </row>
    <row r="61" spans="1:16" s="619" customFormat="1" ht="24" x14ac:dyDescent="0.2">
      <c r="A61" s="598" t="s">
        <v>1907</v>
      </c>
      <c r="B61" s="620" t="s">
        <v>1908</v>
      </c>
      <c r="C61" s="598" t="s">
        <v>2015</v>
      </c>
      <c r="D61" s="598" t="s">
        <v>2041</v>
      </c>
      <c r="E61" s="621">
        <v>2200</v>
      </c>
      <c r="F61" s="599" t="s">
        <v>2043</v>
      </c>
      <c r="G61" s="598" t="s">
        <v>2044</v>
      </c>
      <c r="H61" s="598"/>
      <c r="I61" s="598"/>
      <c r="J61" s="617"/>
      <c r="K61" s="598">
        <v>2</v>
      </c>
      <c r="L61" s="598">
        <v>5</v>
      </c>
      <c r="M61" s="621">
        <v>11000</v>
      </c>
      <c r="N61" s="598"/>
      <c r="O61" s="598"/>
      <c r="P61" s="618"/>
    </row>
    <row r="62" spans="1:16" s="619" customFormat="1" ht="48" x14ac:dyDescent="0.2">
      <c r="A62" s="598" t="s">
        <v>1907</v>
      </c>
      <c r="B62" s="620" t="s">
        <v>1908</v>
      </c>
      <c r="C62" s="598" t="s">
        <v>2015</v>
      </c>
      <c r="D62" s="598" t="s">
        <v>2045</v>
      </c>
      <c r="E62" s="621">
        <v>1900</v>
      </c>
      <c r="F62" s="599">
        <v>45963670</v>
      </c>
      <c r="G62" s="598" t="s">
        <v>2046</v>
      </c>
      <c r="H62" s="598" t="s">
        <v>2034</v>
      </c>
      <c r="I62" s="598" t="s">
        <v>1912</v>
      </c>
      <c r="J62" s="617" t="s">
        <v>1913</v>
      </c>
      <c r="K62" s="598">
        <v>7</v>
      </c>
      <c r="L62" s="598">
        <v>12</v>
      </c>
      <c r="M62" s="621">
        <v>22800</v>
      </c>
      <c r="N62" s="598"/>
      <c r="O62" s="598"/>
      <c r="P62" s="618"/>
    </row>
    <row r="63" spans="1:16" s="619" customFormat="1" ht="48" x14ac:dyDescent="0.2">
      <c r="A63" s="598" t="s">
        <v>1907</v>
      </c>
      <c r="B63" s="620" t="s">
        <v>1908</v>
      </c>
      <c r="C63" s="598" t="s">
        <v>2015</v>
      </c>
      <c r="D63" s="598" t="s">
        <v>2045</v>
      </c>
      <c r="E63" s="621">
        <v>1500</v>
      </c>
      <c r="F63" s="599">
        <v>46045862</v>
      </c>
      <c r="G63" s="598" t="s">
        <v>2047</v>
      </c>
      <c r="H63" s="598"/>
      <c r="I63" s="598"/>
      <c r="J63" s="617"/>
      <c r="K63" s="598">
        <v>6</v>
      </c>
      <c r="L63" s="598">
        <v>9</v>
      </c>
      <c r="M63" s="621">
        <v>13500</v>
      </c>
      <c r="N63" s="598"/>
      <c r="O63" s="598"/>
      <c r="P63" s="618"/>
    </row>
    <row r="64" spans="1:16" s="619" customFormat="1" ht="36" x14ac:dyDescent="0.2">
      <c r="A64" s="598" t="s">
        <v>1907</v>
      </c>
      <c r="B64" s="620" t="s">
        <v>1908</v>
      </c>
      <c r="C64" s="598" t="s">
        <v>2015</v>
      </c>
      <c r="D64" s="598" t="s">
        <v>2048</v>
      </c>
      <c r="E64" s="621">
        <v>2200</v>
      </c>
      <c r="F64" s="599">
        <v>44371620</v>
      </c>
      <c r="G64" s="598" t="s">
        <v>2049</v>
      </c>
      <c r="H64" s="598" t="s">
        <v>2038</v>
      </c>
      <c r="I64" s="598"/>
      <c r="J64" s="617"/>
      <c r="K64" s="598">
        <v>6</v>
      </c>
      <c r="L64" s="598">
        <v>11</v>
      </c>
      <c r="M64" s="621">
        <v>24200</v>
      </c>
      <c r="N64" s="598"/>
      <c r="O64" s="598"/>
      <c r="P64" s="618"/>
    </row>
    <row r="65" spans="1:16" s="619" customFormat="1" ht="38.25" customHeight="1" x14ac:dyDescent="0.2">
      <c r="A65" s="598" t="s">
        <v>1907</v>
      </c>
      <c r="B65" s="620" t="s">
        <v>2050</v>
      </c>
      <c r="C65" s="598" t="s">
        <v>2015</v>
      </c>
      <c r="D65" s="598" t="s">
        <v>2051</v>
      </c>
      <c r="E65" s="621">
        <v>3500</v>
      </c>
      <c r="F65" s="599">
        <v>47208471</v>
      </c>
      <c r="G65" s="598" t="s">
        <v>2052</v>
      </c>
      <c r="H65" s="598" t="s">
        <v>2053</v>
      </c>
      <c r="I65" s="598" t="s">
        <v>1912</v>
      </c>
      <c r="J65" s="617" t="s">
        <v>1913</v>
      </c>
      <c r="K65" s="598">
        <v>8</v>
      </c>
      <c r="L65" s="598">
        <v>10</v>
      </c>
      <c r="M65" s="621">
        <v>35000</v>
      </c>
      <c r="N65" s="598"/>
      <c r="O65" s="598"/>
      <c r="P65" s="618"/>
    </row>
    <row r="66" spans="1:16" s="619" customFormat="1" ht="24" x14ac:dyDescent="0.2">
      <c r="A66" s="598" t="s">
        <v>1907</v>
      </c>
      <c r="B66" s="620" t="s">
        <v>2050</v>
      </c>
      <c r="C66" s="598" t="s">
        <v>2015</v>
      </c>
      <c r="D66" s="598" t="s">
        <v>2051</v>
      </c>
      <c r="E66" s="621">
        <v>1400</v>
      </c>
      <c r="F66" s="599">
        <v>45004907</v>
      </c>
      <c r="G66" s="598" t="s">
        <v>2054</v>
      </c>
      <c r="H66" s="598" t="s">
        <v>2055</v>
      </c>
      <c r="I66" s="598" t="s">
        <v>1912</v>
      </c>
      <c r="J66" s="617" t="s">
        <v>1931</v>
      </c>
      <c r="K66" s="598">
        <v>6</v>
      </c>
      <c r="L66" s="598">
        <v>10</v>
      </c>
      <c r="M66" s="621">
        <v>14000</v>
      </c>
      <c r="N66" s="598"/>
      <c r="O66" s="598"/>
      <c r="P66" s="618"/>
    </row>
    <row r="67" spans="1:16" s="619" customFormat="1" ht="24" x14ac:dyDescent="0.2">
      <c r="A67" s="598" t="s">
        <v>1907</v>
      </c>
      <c r="B67" s="620" t="s">
        <v>1908</v>
      </c>
      <c r="C67" s="598" t="s">
        <v>2015</v>
      </c>
      <c r="D67" s="598" t="s">
        <v>2051</v>
      </c>
      <c r="E67" s="621">
        <v>3000</v>
      </c>
      <c r="F67" s="599">
        <v>46091090</v>
      </c>
      <c r="G67" s="598" t="s">
        <v>2056</v>
      </c>
      <c r="H67" s="598" t="s">
        <v>1985</v>
      </c>
      <c r="I67" s="598" t="s">
        <v>1912</v>
      </c>
      <c r="J67" s="617" t="s">
        <v>1913</v>
      </c>
      <c r="K67" s="598">
        <v>6</v>
      </c>
      <c r="L67" s="598">
        <v>10</v>
      </c>
      <c r="M67" s="621">
        <v>30000</v>
      </c>
      <c r="N67" s="598"/>
      <c r="O67" s="598"/>
      <c r="P67" s="618"/>
    </row>
    <row r="68" spans="1:16" s="619" customFormat="1" ht="36" x14ac:dyDescent="0.2">
      <c r="A68" s="598" t="s">
        <v>1907</v>
      </c>
      <c r="B68" s="620" t="s">
        <v>1908</v>
      </c>
      <c r="C68" s="598" t="s">
        <v>2015</v>
      </c>
      <c r="D68" s="598" t="s">
        <v>2057</v>
      </c>
      <c r="E68" s="621">
        <v>1200</v>
      </c>
      <c r="F68" s="599">
        <v>44740215</v>
      </c>
      <c r="G68" s="598" t="s">
        <v>2058</v>
      </c>
      <c r="H68" s="598" t="s">
        <v>2059</v>
      </c>
      <c r="I68" s="598" t="s">
        <v>1912</v>
      </c>
      <c r="J68" s="617" t="s">
        <v>1913</v>
      </c>
      <c r="K68" s="598">
        <v>6</v>
      </c>
      <c r="L68" s="598">
        <v>9</v>
      </c>
      <c r="M68" s="621">
        <v>10800</v>
      </c>
      <c r="N68" s="598"/>
      <c r="O68" s="598"/>
      <c r="P68" s="618"/>
    </row>
    <row r="69" spans="1:16" s="619" customFormat="1" ht="24" x14ac:dyDescent="0.2">
      <c r="A69" s="598" t="s">
        <v>1907</v>
      </c>
      <c r="B69" s="620" t="s">
        <v>1908</v>
      </c>
      <c r="C69" s="598" t="s">
        <v>2015</v>
      </c>
      <c r="D69" s="598" t="s">
        <v>2051</v>
      </c>
      <c r="E69" s="621">
        <v>3500</v>
      </c>
      <c r="F69" s="599">
        <v>45129233</v>
      </c>
      <c r="G69" s="598" t="s">
        <v>2060</v>
      </c>
      <c r="H69" s="598" t="s">
        <v>2053</v>
      </c>
      <c r="I69" s="598" t="s">
        <v>1912</v>
      </c>
      <c r="J69" s="617" t="s">
        <v>1913</v>
      </c>
      <c r="K69" s="598">
        <v>6</v>
      </c>
      <c r="L69" s="598">
        <v>7</v>
      </c>
      <c r="M69" s="621">
        <v>24500</v>
      </c>
      <c r="N69" s="598"/>
      <c r="O69" s="598"/>
      <c r="P69" s="618"/>
    </row>
    <row r="70" spans="1:16" s="619" customFormat="1" ht="24" x14ac:dyDescent="0.2">
      <c r="A70" s="598" t="s">
        <v>1907</v>
      </c>
      <c r="B70" s="620" t="s">
        <v>1908</v>
      </c>
      <c r="C70" s="598" t="s">
        <v>2015</v>
      </c>
      <c r="D70" s="598" t="s">
        <v>2051</v>
      </c>
      <c r="E70" s="621">
        <v>3500</v>
      </c>
      <c r="F70" s="599">
        <v>47726507</v>
      </c>
      <c r="G70" s="598" t="s">
        <v>2061</v>
      </c>
      <c r="H70" s="598" t="s">
        <v>2062</v>
      </c>
      <c r="I70" s="598" t="s">
        <v>1912</v>
      </c>
      <c r="J70" s="617" t="s">
        <v>1913</v>
      </c>
      <c r="K70" s="598">
        <v>2</v>
      </c>
      <c r="L70" s="598">
        <v>3</v>
      </c>
      <c r="M70" s="621">
        <v>10500</v>
      </c>
      <c r="N70" s="598"/>
      <c r="O70" s="598"/>
      <c r="P70" s="618"/>
    </row>
    <row r="71" spans="1:16" s="619" customFormat="1" ht="36" x14ac:dyDescent="0.2">
      <c r="A71" s="598" t="s">
        <v>1907</v>
      </c>
      <c r="B71" s="620" t="s">
        <v>1908</v>
      </c>
      <c r="C71" s="598" t="s">
        <v>2015</v>
      </c>
      <c r="D71" s="598" t="s">
        <v>2063</v>
      </c>
      <c r="E71" s="621">
        <v>1600</v>
      </c>
      <c r="F71" s="599">
        <v>33405564</v>
      </c>
      <c r="G71" s="598" t="s">
        <v>2064</v>
      </c>
      <c r="H71" s="598" t="s">
        <v>2036</v>
      </c>
      <c r="I71" s="598" t="s">
        <v>1912</v>
      </c>
      <c r="J71" s="617" t="s">
        <v>1931</v>
      </c>
      <c r="K71" s="598">
        <v>8</v>
      </c>
      <c r="L71" s="598">
        <v>12</v>
      </c>
      <c r="M71" s="621">
        <v>19200</v>
      </c>
      <c r="N71" s="598"/>
      <c r="O71" s="598"/>
      <c r="P71" s="618"/>
    </row>
    <row r="72" spans="1:16" s="619" customFormat="1" ht="36" x14ac:dyDescent="0.2">
      <c r="A72" s="598" t="s">
        <v>1907</v>
      </c>
      <c r="B72" s="620" t="s">
        <v>1908</v>
      </c>
      <c r="C72" s="598" t="s">
        <v>2015</v>
      </c>
      <c r="D72" s="598" t="s">
        <v>2065</v>
      </c>
      <c r="E72" s="621">
        <v>1200</v>
      </c>
      <c r="F72" s="599">
        <v>77425437</v>
      </c>
      <c r="G72" s="598" t="s">
        <v>2066</v>
      </c>
      <c r="H72" s="598"/>
      <c r="I72" s="598"/>
      <c r="J72" s="617"/>
      <c r="K72" s="598">
        <v>8</v>
      </c>
      <c r="L72" s="598">
        <v>12</v>
      </c>
      <c r="M72" s="621">
        <v>14400</v>
      </c>
      <c r="N72" s="598"/>
      <c r="O72" s="598"/>
      <c r="P72" s="618"/>
    </row>
    <row r="73" spans="1:16" s="619" customFormat="1" ht="36" x14ac:dyDescent="0.2">
      <c r="A73" s="598" t="s">
        <v>1907</v>
      </c>
      <c r="B73" s="620" t="s">
        <v>1908</v>
      </c>
      <c r="C73" s="598" t="s">
        <v>2015</v>
      </c>
      <c r="D73" s="598" t="s">
        <v>2067</v>
      </c>
      <c r="E73" s="621">
        <v>2000</v>
      </c>
      <c r="F73" s="599">
        <v>70114282</v>
      </c>
      <c r="G73" s="598" t="s">
        <v>2068</v>
      </c>
      <c r="H73" s="598" t="s">
        <v>2069</v>
      </c>
      <c r="I73" s="598" t="s">
        <v>1912</v>
      </c>
      <c r="J73" s="617" t="s">
        <v>1913</v>
      </c>
      <c r="K73" s="598">
        <v>5</v>
      </c>
      <c r="L73" s="598">
        <v>9</v>
      </c>
      <c r="M73" s="621">
        <v>18000</v>
      </c>
      <c r="N73" s="598"/>
      <c r="O73" s="598"/>
      <c r="P73" s="618"/>
    </row>
    <row r="74" spans="1:16" s="619" customFormat="1" ht="24" x14ac:dyDescent="0.2">
      <c r="A74" s="598" t="s">
        <v>1907</v>
      </c>
      <c r="B74" s="620" t="s">
        <v>1908</v>
      </c>
      <c r="C74" s="598" t="s">
        <v>2015</v>
      </c>
      <c r="D74" s="598" t="s">
        <v>2070</v>
      </c>
      <c r="E74" s="621">
        <v>1800</v>
      </c>
      <c r="F74" s="599">
        <v>33941898</v>
      </c>
      <c r="G74" s="598" t="s">
        <v>2071</v>
      </c>
      <c r="H74" s="598" t="s">
        <v>2072</v>
      </c>
      <c r="I74" s="598" t="s">
        <v>1912</v>
      </c>
      <c r="J74" s="617" t="s">
        <v>1931</v>
      </c>
      <c r="K74" s="598">
        <v>1</v>
      </c>
      <c r="L74" s="598">
        <v>3</v>
      </c>
      <c r="M74" s="621">
        <v>5400</v>
      </c>
      <c r="N74" s="598"/>
      <c r="O74" s="598"/>
      <c r="P74" s="618"/>
    </row>
    <row r="75" spans="1:16" s="619" customFormat="1" ht="48" x14ac:dyDescent="0.2">
      <c r="A75" s="598" t="s">
        <v>1907</v>
      </c>
      <c r="B75" s="620" t="s">
        <v>2073</v>
      </c>
      <c r="C75" s="598" t="s">
        <v>2015</v>
      </c>
      <c r="D75" s="598" t="s">
        <v>2070</v>
      </c>
      <c r="E75" s="621">
        <v>1500</v>
      </c>
      <c r="F75" s="599">
        <v>33429734</v>
      </c>
      <c r="G75" s="598" t="s">
        <v>2074</v>
      </c>
      <c r="H75" s="598"/>
      <c r="I75" s="598"/>
      <c r="J75" s="617"/>
      <c r="K75" s="598">
        <v>8</v>
      </c>
      <c r="L75" s="598">
        <v>12</v>
      </c>
      <c r="M75" s="621">
        <v>18000</v>
      </c>
      <c r="N75" s="598"/>
      <c r="O75" s="598"/>
      <c r="P75" s="618"/>
    </row>
    <row r="76" spans="1:16" s="619" customFormat="1" ht="48" x14ac:dyDescent="0.2">
      <c r="A76" s="598" t="s">
        <v>1907</v>
      </c>
      <c r="B76" s="620" t="s">
        <v>2073</v>
      </c>
      <c r="C76" s="598" t="s">
        <v>2015</v>
      </c>
      <c r="D76" s="598" t="s">
        <v>2075</v>
      </c>
      <c r="E76" s="621">
        <v>1800</v>
      </c>
      <c r="F76" s="599">
        <v>46711026</v>
      </c>
      <c r="G76" s="598" t="s">
        <v>2076</v>
      </c>
      <c r="H76" s="598" t="s">
        <v>2036</v>
      </c>
      <c r="I76" s="598" t="s">
        <v>1912</v>
      </c>
      <c r="J76" s="617" t="s">
        <v>1931</v>
      </c>
      <c r="K76" s="598">
        <v>8</v>
      </c>
      <c r="L76" s="598">
        <v>12</v>
      </c>
      <c r="M76" s="621">
        <v>21600</v>
      </c>
      <c r="N76" s="598"/>
      <c r="O76" s="598"/>
      <c r="P76" s="618"/>
    </row>
    <row r="77" spans="1:16" s="619" customFormat="1" ht="36" x14ac:dyDescent="0.2">
      <c r="A77" s="598" t="s">
        <v>1907</v>
      </c>
      <c r="B77" s="620" t="s">
        <v>1908</v>
      </c>
      <c r="C77" s="598" t="s">
        <v>2015</v>
      </c>
      <c r="D77" s="598" t="s">
        <v>2077</v>
      </c>
      <c r="E77" s="621">
        <v>5000</v>
      </c>
      <c r="F77" s="599">
        <v>19082875</v>
      </c>
      <c r="G77" s="598" t="s">
        <v>2078</v>
      </c>
      <c r="H77" s="598" t="s">
        <v>2079</v>
      </c>
      <c r="I77" s="598" t="s">
        <v>1912</v>
      </c>
      <c r="J77" s="617" t="s">
        <v>1913</v>
      </c>
      <c r="K77" s="598">
        <v>3</v>
      </c>
      <c r="L77" s="598">
        <v>5</v>
      </c>
      <c r="M77" s="621">
        <v>25000</v>
      </c>
      <c r="N77" s="598"/>
      <c r="O77" s="598"/>
      <c r="P77" s="618"/>
    </row>
    <row r="78" spans="1:16" s="619" customFormat="1" ht="36" x14ac:dyDescent="0.2">
      <c r="A78" s="598" t="s">
        <v>1907</v>
      </c>
      <c r="B78" s="620" t="s">
        <v>1908</v>
      </c>
      <c r="C78" s="598" t="s">
        <v>2015</v>
      </c>
      <c r="D78" s="598" t="s">
        <v>2080</v>
      </c>
      <c r="E78" s="621">
        <v>1200</v>
      </c>
      <c r="F78" s="599">
        <v>33781430</v>
      </c>
      <c r="G78" s="598" t="s">
        <v>2081</v>
      </c>
      <c r="H78" s="598"/>
      <c r="I78" s="598"/>
      <c r="J78" s="617"/>
      <c r="K78" s="598">
        <v>8</v>
      </c>
      <c r="L78" s="598">
        <v>12</v>
      </c>
      <c r="M78" s="621">
        <v>14400</v>
      </c>
      <c r="N78" s="598"/>
      <c r="O78" s="598"/>
      <c r="P78" s="618"/>
    </row>
    <row r="79" spans="1:16" s="619" customFormat="1" ht="36" x14ac:dyDescent="0.2">
      <c r="A79" s="598" t="s">
        <v>1907</v>
      </c>
      <c r="B79" s="620" t="s">
        <v>1908</v>
      </c>
      <c r="C79" s="598" t="s">
        <v>2015</v>
      </c>
      <c r="D79" s="598" t="s">
        <v>2082</v>
      </c>
      <c r="E79" s="621">
        <v>1800</v>
      </c>
      <c r="F79" s="599">
        <v>74306820</v>
      </c>
      <c r="G79" s="598" t="s">
        <v>2083</v>
      </c>
      <c r="H79" s="598" t="s">
        <v>2084</v>
      </c>
      <c r="I79" s="598" t="s">
        <v>1912</v>
      </c>
      <c r="J79" s="617" t="s">
        <v>1913</v>
      </c>
      <c r="K79" s="598">
        <v>1</v>
      </c>
      <c r="L79" s="598">
        <v>4</v>
      </c>
      <c r="M79" s="621">
        <v>7200</v>
      </c>
      <c r="N79" s="598"/>
      <c r="O79" s="598"/>
      <c r="P79" s="618"/>
    </row>
    <row r="80" spans="1:16" s="619" customFormat="1" ht="48" x14ac:dyDescent="0.2">
      <c r="A80" s="598" t="s">
        <v>1907</v>
      </c>
      <c r="B80" s="620" t="s">
        <v>2073</v>
      </c>
      <c r="C80" s="598" t="s">
        <v>2015</v>
      </c>
      <c r="D80" s="598" t="s">
        <v>2085</v>
      </c>
      <c r="E80" s="621">
        <v>1800</v>
      </c>
      <c r="F80" s="599">
        <v>33407040</v>
      </c>
      <c r="G80" s="598" t="s">
        <v>2086</v>
      </c>
      <c r="H80" s="598" t="s">
        <v>2087</v>
      </c>
      <c r="I80" s="598" t="s">
        <v>1912</v>
      </c>
      <c r="J80" s="617" t="s">
        <v>1931</v>
      </c>
      <c r="K80" s="598">
        <v>8</v>
      </c>
      <c r="L80" s="598">
        <v>12</v>
      </c>
      <c r="M80" s="621">
        <v>21600</v>
      </c>
      <c r="N80" s="598"/>
      <c r="O80" s="598"/>
      <c r="P80" s="618"/>
    </row>
    <row r="81" spans="1:16" s="619" customFormat="1" ht="24" x14ac:dyDescent="0.2">
      <c r="A81" s="598" t="s">
        <v>1907</v>
      </c>
      <c r="B81" s="620" t="s">
        <v>1908</v>
      </c>
      <c r="C81" s="598" t="s">
        <v>2015</v>
      </c>
      <c r="D81" s="598" t="s">
        <v>2088</v>
      </c>
      <c r="E81" s="621">
        <v>1800</v>
      </c>
      <c r="F81" s="599">
        <v>16756237</v>
      </c>
      <c r="G81" s="598" t="s">
        <v>2089</v>
      </c>
      <c r="H81" s="598" t="s">
        <v>2090</v>
      </c>
      <c r="I81" s="598" t="s">
        <v>1912</v>
      </c>
      <c r="J81" s="617" t="s">
        <v>1931</v>
      </c>
      <c r="K81" s="598">
        <v>8</v>
      </c>
      <c r="L81" s="598">
        <v>12</v>
      </c>
      <c r="M81" s="621">
        <v>21600</v>
      </c>
      <c r="N81" s="598"/>
      <c r="O81" s="598"/>
      <c r="P81" s="618"/>
    </row>
    <row r="82" spans="1:16" s="619" customFormat="1" ht="24" x14ac:dyDescent="0.2">
      <c r="A82" s="598" t="s">
        <v>1907</v>
      </c>
      <c r="B82" s="620" t="s">
        <v>1908</v>
      </c>
      <c r="C82" s="598" t="s">
        <v>2015</v>
      </c>
      <c r="D82" s="598" t="s">
        <v>2091</v>
      </c>
      <c r="E82" s="621">
        <v>2200</v>
      </c>
      <c r="F82" s="599">
        <v>46859668</v>
      </c>
      <c r="G82" s="598" t="s">
        <v>2092</v>
      </c>
      <c r="H82" s="598" t="s">
        <v>2038</v>
      </c>
      <c r="I82" s="598" t="s">
        <v>1912</v>
      </c>
      <c r="J82" s="617" t="s">
        <v>1913</v>
      </c>
      <c r="K82" s="598">
        <v>4</v>
      </c>
      <c r="L82" s="598">
        <v>8</v>
      </c>
      <c r="M82" s="621">
        <v>17600</v>
      </c>
      <c r="N82" s="598"/>
      <c r="O82" s="598"/>
      <c r="P82" s="618"/>
    </row>
    <row r="83" spans="1:16" s="619" customFormat="1" ht="48" x14ac:dyDescent="0.2">
      <c r="A83" s="598" t="s">
        <v>1907</v>
      </c>
      <c r="B83" s="620" t="s">
        <v>1908</v>
      </c>
      <c r="C83" s="598" t="s">
        <v>2015</v>
      </c>
      <c r="D83" s="598" t="s">
        <v>2093</v>
      </c>
      <c r="E83" s="621">
        <v>1900</v>
      </c>
      <c r="F83" s="599">
        <v>41798776</v>
      </c>
      <c r="G83" s="598" t="s">
        <v>2094</v>
      </c>
      <c r="H83" s="598" t="s">
        <v>2059</v>
      </c>
      <c r="I83" s="598" t="s">
        <v>1912</v>
      </c>
      <c r="J83" s="617" t="s">
        <v>1913</v>
      </c>
      <c r="K83" s="598">
        <v>8</v>
      </c>
      <c r="L83" s="598">
        <v>12</v>
      </c>
      <c r="M83" s="621">
        <v>22800</v>
      </c>
      <c r="N83" s="598"/>
      <c r="O83" s="598"/>
      <c r="P83" s="618"/>
    </row>
    <row r="84" spans="1:16" s="619" customFormat="1" ht="36" x14ac:dyDescent="0.2">
      <c r="A84" s="598" t="s">
        <v>1907</v>
      </c>
      <c r="B84" s="620" t="s">
        <v>1908</v>
      </c>
      <c r="C84" s="598" t="s">
        <v>2015</v>
      </c>
      <c r="D84" s="598" t="s">
        <v>2095</v>
      </c>
      <c r="E84" s="621">
        <v>5000</v>
      </c>
      <c r="F84" s="599">
        <v>42625434</v>
      </c>
      <c r="G84" s="598" t="s">
        <v>2096</v>
      </c>
      <c r="H84" s="598" t="s">
        <v>2079</v>
      </c>
      <c r="I84" s="598" t="s">
        <v>1912</v>
      </c>
      <c r="J84" s="617" t="s">
        <v>1913</v>
      </c>
      <c r="K84" s="598">
        <v>8</v>
      </c>
      <c r="L84" s="598">
        <v>12</v>
      </c>
      <c r="M84" s="621">
        <v>60000</v>
      </c>
      <c r="N84" s="598"/>
      <c r="O84" s="598"/>
      <c r="P84" s="618"/>
    </row>
    <row r="85" spans="1:16" s="619" customFormat="1" ht="36" x14ac:dyDescent="0.2">
      <c r="A85" s="598" t="s">
        <v>1907</v>
      </c>
      <c r="B85" s="620" t="s">
        <v>1908</v>
      </c>
      <c r="C85" s="598" t="s">
        <v>2015</v>
      </c>
      <c r="D85" s="598" t="s">
        <v>2097</v>
      </c>
      <c r="E85" s="621">
        <v>1000</v>
      </c>
      <c r="F85" s="599">
        <v>33816914</v>
      </c>
      <c r="G85" s="598" t="s">
        <v>2098</v>
      </c>
      <c r="H85" s="598"/>
      <c r="I85" s="598"/>
      <c r="J85" s="617"/>
      <c r="K85" s="598">
        <v>8</v>
      </c>
      <c r="L85" s="598">
        <v>12</v>
      </c>
      <c r="M85" s="621">
        <v>12000</v>
      </c>
      <c r="N85" s="598"/>
      <c r="O85" s="598"/>
      <c r="P85" s="618"/>
    </row>
    <row r="86" spans="1:16" s="619" customFormat="1" ht="36" x14ac:dyDescent="0.2">
      <c r="A86" s="598" t="s">
        <v>1907</v>
      </c>
      <c r="B86" s="620" t="s">
        <v>1908</v>
      </c>
      <c r="C86" s="598" t="s">
        <v>2015</v>
      </c>
      <c r="D86" s="598" t="s">
        <v>2099</v>
      </c>
      <c r="E86" s="621">
        <v>1900</v>
      </c>
      <c r="F86" s="599">
        <v>33430370</v>
      </c>
      <c r="G86" s="598" t="s">
        <v>2100</v>
      </c>
      <c r="H86" s="598" t="s">
        <v>2101</v>
      </c>
      <c r="I86" s="598" t="s">
        <v>1912</v>
      </c>
      <c r="J86" s="617" t="s">
        <v>1913</v>
      </c>
      <c r="K86" s="598">
        <v>6</v>
      </c>
      <c r="L86" s="598">
        <v>11</v>
      </c>
      <c r="M86" s="621">
        <v>20900</v>
      </c>
      <c r="N86" s="598"/>
      <c r="O86" s="598"/>
      <c r="P86" s="618"/>
    </row>
    <row r="87" spans="1:16" s="619" customFormat="1" ht="36" x14ac:dyDescent="0.2">
      <c r="A87" s="1024" t="s">
        <v>1907</v>
      </c>
      <c r="B87" s="1025" t="s">
        <v>1908</v>
      </c>
      <c r="C87" s="1024" t="s">
        <v>2015</v>
      </c>
      <c r="D87" s="1024" t="s">
        <v>2102</v>
      </c>
      <c r="E87" s="1026">
        <v>1800</v>
      </c>
      <c r="F87" s="1027">
        <v>40549352</v>
      </c>
      <c r="G87" s="1024" t="s">
        <v>2103</v>
      </c>
      <c r="H87" s="1024" t="s">
        <v>2104</v>
      </c>
      <c r="I87" s="1024" t="s">
        <v>1912</v>
      </c>
      <c r="J87" s="1028" t="s">
        <v>1931</v>
      </c>
      <c r="K87" s="1024">
        <v>8</v>
      </c>
      <c r="L87" s="1024">
        <v>12</v>
      </c>
      <c r="M87" s="1026">
        <v>21600</v>
      </c>
      <c r="N87" s="1024"/>
      <c r="O87" s="1024"/>
      <c r="P87" s="1029"/>
    </row>
    <row r="88" spans="1:16" s="619" customFormat="1" ht="36" x14ac:dyDescent="0.2">
      <c r="A88" s="598" t="s">
        <v>1907</v>
      </c>
      <c r="B88" s="620" t="s">
        <v>1908</v>
      </c>
      <c r="C88" s="598" t="s">
        <v>2015</v>
      </c>
      <c r="D88" s="598" t="s">
        <v>2102</v>
      </c>
      <c r="E88" s="621">
        <v>2700</v>
      </c>
      <c r="F88" s="599">
        <v>42149277</v>
      </c>
      <c r="G88" s="598" t="s">
        <v>2105</v>
      </c>
      <c r="H88" s="598" t="s">
        <v>2038</v>
      </c>
      <c r="I88" s="598" t="s">
        <v>1912</v>
      </c>
      <c r="J88" s="617" t="s">
        <v>1913</v>
      </c>
      <c r="K88" s="598">
        <v>8</v>
      </c>
      <c r="L88" s="598">
        <v>12</v>
      </c>
      <c r="M88" s="621">
        <v>32400</v>
      </c>
      <c r="N88" s="598"/>
      <c r="O88" s="598"/>
      <c r="P88" s="618"/>
    </row>
    <row r="89" spans="1:16" s="619" customFormat="1" ht="36" x14ac:dyDescent="0.2">
      <c r="A89" s="598" t="s">
        <v>1907</v>
      </c>
      <c r="B89" s="620" t="s">
        <v>1908</v>
      </c>
      <c r="C89" s="598" t="s">
        <v>2015</v>
      </c>
      <c r="D89" s="598" t="s">
        <v>2102</v>
      </c>
      <c r="E89" s="621">
        <v>2100</v>
      </c>
      <c r="F89" s="599">
        <v>70942138</v>
      </c>
      <c r="G89" s="598" t="s">
        <v>2106</v>
      </c>
      <c r="H89" s="598" t="s">
        <v>2038</v>
      </c>
      <c r="I89" s="598" t="s">
        <v>1912</v>
      </c>
      <c r="J89" s="617" t="s">
        <v>1913</v>
      </c>
      <c r="K89" s="598">
        <v>5</v>
      </c>
      <c r="L89" s="598">
        <v>9</v>
      </c>
      <c r="M89" s="621">
        <v>25200</v>
      </c>
      <c r="N89" s="598"/>
      <c r="O89" s="598"/>
      <c r="P89" s="618"/>
    </row>
    <row r="90" spans="1:16" s="619" customFormat="1" ht="24" x14ac:dyDescent="0.2">
      <c r="A90" s="598" t="s">
        <v>1907</v>
      </c>
      <c r="B90" s="620" t="s">
        <v>1908</v>
      </c>
      <c r="C90" s="598" t="s">
        <v>2015</v>
      </c>
      <c r="D90" s="598" t="s">
        <v>2102</v>
      </c>
      <c r="E90" s="621">
        <v>2700</v>
      </c>
      <c r="F90" s="599">
        <v>72637370</v>
      </c>
      <c r="G90" s="598" t="s">
        <v>2107</v>
      </c>
      <c r="H90" s="598" t="s">
        <v>2038</v>
      </c>
      <c r="I90" s="598" t="s">
        <v>1912</v>
      </c>
      <c r="J90" s="617" t="s">
        <v>1913</v>
      </c>
      <c r="K90" s="598">
        <v>1</v>
      </c>
      <c r="L90" s="598">
        <v>3</v>
      </c>
      <c r="M90" s="621">
        <v>32400</v>
      </c>
      <c r="N90" s="598"/>
      <c r="O90" s="598"/>
      <c r="P90" s="618"/>
    </row>
    <row r="91" spans="1:16" s="619" customFormat="1" ht="24" x14ac:dyDescent="0.2">
      <c r="A91" s="598" t="s">
        <v>1907</v>
      </c>
      <c r="B91" s="620" t="s">
        <v>1908</v>
      </c>
      <c r="C91" s="598" t="s">
        <v>2015</v>
      </c>
      <c r="D91" s="598" t="s">
        <v>2102</v>
      </c>
      <c r="E91" s="621">
        <v>1200</v>
      </c>
      <c r="F91" s="599">
        <v>73692054</v>
      </c>
      <c r="G91" s="598" t="s">
        <v>2108</v>
      </c>
      <c r="H91" s="598"/>
      <c r="I91" s="598"/>
      <c r="J91" s="617"/>
      <c r="K91" s="598">
        <v>8</v>
      </c>
      <c r="L91" s="598">
        <v>11</v>
      </c>
      <c r="M91" s="621">
        <v>14400</v>
      </c>
      <c r="N91" s="598"/>
      <c r="O91" s="598"/>
      <c r="P91" s="618"/>
    </row>
    <row r="92" spans="1:16" s="619" customFormat="1" ht="48" x14ac:dyDescent="0.2">
      <c r="A92" s="598" t="s">
        <v>1907</v>
      </c>
      <c r="B92" s="620" t="s">
        <v>1908</v>
      </c>
      <c r="C92" s="598" t="s">
        <v>2015</v>
      </c>
      <c r="D92" s="598" t="s">
        <v>2102</v>
      </c>
      <c r="E92" s="621">
        <v>2100</v>
      </c>
      <c r="F92" s="599">
        <v>72228456</v>
      </c>
      <c r="G92" s="598" t="s">
        <v>2109</v>
      </c>
      <c r="H92" s="598" t="s">
        <v>2038</v>
      </c>
      <c r="I92" s="598" t="s">
        <v>1912</v>
      </c>
      <c r="J92" s="617" t="s">
        <v>1913</v>
      </c>
      <c r="K92" s="598">
        <v>8</v>
      </c>
      <c r="L92" s="598">
        <v>12</v>
      </c>
      <c r="M92" s="621">
        <v>25200</v>
      </c>
      <c r="N92" s="598"/>
      <c r="O92" s="598"/>
      <c r="P92" s="618"/>
    </row>
    <row r="93" spans="1:16" s="619" customFormat="1" ht="36" x14ac:dyDescent="0.2">
      <c r="A93" s="598" t="s">
        <v>1907</v>
      </c>
      <c r="B93" s="620" t="s">
        <v>1908</v>
      </c>
      <c r="C93" s="598" t="s">
        <v>2015</v>
      </c>
      <c r="D93" s="598" t="s">
        <v>2102</v>
      </c>
      <c r="E93" s="621">
        <v>1700</v>
      </c>
      <c r="F93" s="599">
        <v>33432445</v>
      </c>
      <c r="G93" s="598" t="s">
        <v>2110</v>
      </c>
      <c r="H93" s="598" t="s">
        <v>2036</v>
      </c>
      <c r="I93" s="598" t="s">
        <v>1912</v>
      </c>
      <c r="J93" s="617" t="s">
        <v>1931</v>
      </c>
      <c r="K93" s="598">
        <v>8</v>
      </c>
      <c r="L93" s="598">
        <v>12</v>
      </c>
      <c r="M93" s="621">
        <v>20400</v>
      </c>
      <c r="N93" s="598"/>
      <c r="O93" s="598"/>
      <c r="P93" s="618"/>
    </row>
    <row r="94" spans="1:16" s="619" customFormat="1" ht="36" x14ac:dyDescent="0.2">
      <c r="A94" s="598" t="s">
        <v>1907</v>
      </c>
      <c r="B94" s="620" t="s">
        <v>2032</v>
      </c>
      <c r="C94" s="598" t="s">
        <v>2015</v>
      </c>
      <c r="D94" s="598" t="s">
        <v>2111</v>
      </c>
      <c r="E94" s="621">
        <v>2200</v>
      </c>
      <c r="F94" s="599">
        <v>17588805</v>
      </c>
      <c r="G94" s="598" t="s">
        <v>2112</v>
      </c>
      <c r="H94" s="598" t="s">
        <v>2113</v>
      </c>
      <c r="I94" s="598" t="s">
        <v>1912</v>
      </c>
      <c r="J94" s="617" t="s">
        <v>1913</v>
      </c>
      <c r="K94" s="598">
        <v>1</v>
      </c>
      <c r="L94" s="598">
        <v>3</v>
      </c>
      <c r="M94" s="621">
        <v>6600</v>
      </c>
      <c r="N94" s="598"/>
      <c r="O94" s="598"/>
      <c r="P94" s="618"/>
    </row>
    <row r="95" spans="1:16" s="619" customFormat="1" ht="36" x14ac:dyDescent="0.2">
      <c r="A95" s="598" t="s">
        <v>1907</v>
      </c>
      <c r="B95" s="620" t="s">
        <v>1908</v>
      </c>
      <c r="C95" s="598" t="s">
        <v>2015</v>
      </c>
      <c r="D95" s="598" t="s">
        <v>2114</v>
      </c>
      <c r="E95" s="621">
        <v>5000</v>
      </c>
      <c r="F95" s="599">
        <v>45290463</v>
      </c>
      <c r="G95" s="598" t="s">
        <v>2115</v>
      </c>
      <c r="H95" s="598" t="s">
        <v>1911</v>
      </c>
      <c r="I95" s="598" t="s">
        <v>1912</v>
      </c>
      <c r="J95" s="617" t="s">
        <v>1913</v>
      </c>
      <c r="K95" s="598">
        <v>2</v>
      </c>
      <c r="L95" s="598">
        <v>4</v>
      </c>
      <c r="M95" s="621">
        <v>20000</v>
      </c>
      <c r="N95" s="598"/>
      <c r="O95" s="598"/>
      <c r="P95" s="618"/>
    </row>
    <row r="96" spans="1:16" s="619" customFormat="1" ht="36" x14ac:dyDescent="0.2">
      <c r="A96" s="598" t="s">
        <v>1907</v>
      </c>
      <c r="B96" s="620" t="s">
        <v>1908</v>
      </c>
      <c r="C96" s="598" t="s">
        <v>2015</v>
      </c>
      <c r="D96" s="598" t="s">
        <v>2114</v>
      </c>
      <c r="E96" s="621">
        <v>5000</v>
      </c>
      <c r="F96" s="599">
        <v>43137935</v>
      </c>
      <c r="G96" s="598" t="s">
        <v>2116</v>
      </c>
      <c r="H96" s="598" t="s">
        <v>1911</v>
      </c>
      <c r="I96" s="598" t="s">
        <v>1912</v>
      </c>
      <c r="J96" s="617" t="s">
        <v>1913</v>
      </c>
      <c r="K96" s="598">
        <v>1</v>
      </c>
      <c r="L96" s="598">
        <v>3</v>
      </c>
      <c r="M96" s="621">
        <v>15000</v>
      </c>
      <c r="N96" s="598"/>
      <c r="O96" s="598"/>
      <c r="P96" s="618"/>
    </row>
    <row r="97" spans="1:16" s="619" customFormat="1" ht="36" x14ac:dyDescent="0.2">
      <c r="A97" s="598" t="s">
        <v>1907</v>
      </c>
      <c r="B97" s="620" t="s">
        <v>1908</v>
      </c>
      <c r="C97" s="598" t="s">
        <v>2015</v>
      </c>
      <c r="D97" s="598" t="s">
        <v>2117</v>
      </c>
      <c r="E97" s="621">
        <v>1600</v>
      </c>
      <c r="F97" s="599">
        <v>48134316</v>
      </c>
      <c r="G97" s="598" t="s">
        <v>2118</v>
      </c>
      <c r="H97" s="598" t="s">
        <v>2104</v>
      </c>
      <c r="I97" s="598" t="s">
        <v>1912</v>
      </c>
      <c r="J97" s="617" t="s">
        <v>1931</v>
      </c>
      <c r="K97" s="598">
        <v>8</v>
      </c>
      <c r="L97" s="598">
        <v>12</v>
      </c>
      <c r="M97" s="621">
        <v>19200</v>
      </c>
      <c r="N97" s="598"/>
      <c r="O97" s="598"/>
      <c r="P97" s="618"/>
    </row>
    <row r="98" spans="1:16" s="619" customFormat="1" ht="36" x14ac:dyDescent="0.2">
      <c r="A98" s="598" t="s">
        <v>1907</v>
      </c>
      <c r="B98" s="620" t="s">
        <v>1908</v>
      </c>
      <c r="C98" s="598" t="s">
        <v>2015</v>
      </c>
      <c r="D98" s="598" t="s">
        <v>2119</v>
      </c>
      <c r="E98" s="621">
        <v>1400</v>
      </c>
      <c r="F98" s="599">
        <v>44168301</v>
      </c>
      <c r="G98" s="598" t="s">
        <v>2120</v>
      </c>
      <c r="H98" s="598" t="s">
        <v>2036</v>
      </c>
      <c r="I98" s="598" t="s">
        <v>1912</v>
      </c>
      <c r="J98" s="617" t="s">
        <v>1931</v>
      </c>
      <c r="K98" s="598">
        <v>8</v>
      </c>
      <c r="L98" s="598">
        <v>12</v>
      </c>
      <c r="M98" s="621">
        <v>16800</v>
      </c>
      <c r="N98" s="598"/>
      <c r="O98" s="598"/>
      <c r="P98" s="618"/>
    </row>
    <row r="99" spans="1:16" s="619" customFormat="1" ht="48" x14ac:dyDescent="0.2">
      <c r="A99" s="598" t="s">
        <v>1907</v>
      </c>
      <c r="B99" s="620" t="s">
        <v>1908</v>
      </c>
      <c r="C99" s="598" t="s">
        <v>2015</v>
      </c>
      <c r="D99" s="598" t="s">
        <v>2117</v>
      </c>
      <c r="E99" s="621">
        <v>1800</v>
      </c>
      <c r="F99" s="599">
        <v>44786811</v>
      </c>
      <c r="G99" s="598" t="s">
        <v>2121</v>
      </c>
      <c r="H99" s="598" t="s">
        <v>2104</v>
      </c>
      <c r="I99" s="598" t="s">
        <v>1912</v>
      </c>
      <c r="J99" s="617" t="s">
        <v>1931</v>
      </c>
      <c r="K99" s="598">
        <v>8</v>
      </c>
      <c r="L99" s="598">
        <v>12</v>
      </c>
      <c r="M99" s="621">
        <v>21600</v>
      </c>
      <c r="N99" s="598"/>
      <c r="O99" s="598"/>
      <c r="P99" s="618"/>
    </row>
    <row r="100" spans="1:16" s="619" customFormat="1" ht="36" x14ac:dyDescent="0.2">
      <c r="A100" s="598" t="s">
        <v>1907</v>
      </c>
      <c r="B100" s="620" t="s">
        <v>1908</v>
      </c>
      <c r="C100" s="598" t="s">
        <v>2015</v>
      </c>
      <c r="D100" s="598" t="s">
        <v>2114</v>
      </c>
      <c r="E100" s="621">
        <v>1600</v>
      </c>
      <c r="F100" s="599">
        <v>47113444</v>
      </c>
      <c r="G100" s="598" t="s">
        <v>2122</v>
      </c>
      <c r="H100" s="598" t="s">
        <v>2036</v>
      </c>
      <c r="I100" s="598"/>
      <c r="J100" s="617"/>
      <c r="K100" s="598">
        <v>1</v>
      </c>
      <c r="L100" s="598">
        <v>3</v>
      </c>
      <c r="M100" s="621">
        <v>4800</v>
      </c>
      <c r="N100" s="598"/>
      <c r="O100" s="598"/>
      <c r="P100" s="618"/>
    </row>
    <row r="101" spans="1:16" s="619" customFormat="1" ht="24" x14ac:dyDescent="0.2">
      <c r="A101" s="598" t="s">
        <v>1907</v>
      </c>
      <c r="B101" s="620" t="s">
        <v>1908</v>
      </c>
      <c r="C101" s="598" t="s">
        <v>2015</v>
      </c>
      <c r="D101" s="598" t="s">
        <v>2123</v>
      </c>
      <c r="E101" s="621">
        <v>2500</v>
      </c>
      <c r="F101" s="599">
        <v>43272642</v>
      </c>
      <c r="G101" s="598" t="s">
        <v>2124</v>
      </c>
      <c r="H101" s="598" t="s">
        <v>2038</v>
      </c>
      <c r="I101" s="598" t="s">
        <v>1912</v>
      </c>
      <c r="J101" s="617" t="s">
        <v>1913</v>
      </c>
      <c r="K101" s="598">
        <v>8</v>
      </c>
      <c r="L101" s="598">
        <v>12</v>
      </c>
      <c r="M101" s="621">
        <v>30000</v>
      </c>
      <c r="N101" s="598"/>
      <c r="O101" s="598"/>
      <c r="P101" s="618"/>
    </row>
    <row r="102" spans="1:16" s="619" customFormat="1" ht="24" x14ac:dyDescent="0.2">
      <c r="A102" s="598" t="s">
        <v>1907</v>
      </c>
      <c r="B102" s="620" t="s">
        <v>1908</v>
      </c>
      <c r="C102" s="598" t="s">
        <v>2015</v>
      </c>
      <c r="D102" s="598" t="s">
        <v>2125</v>
      </c>
      <c r="E102" s="621">
        <v>2200</v>
      </c>
      <c r="F102" s="599">
        <v>42662992</v>
      </c>
      <c r="G102" s="598" t="s">
        <v>2126</v>
      </c>
      <c r="H102" s="598" t="s">
        <v>1985</v>
      </c>
      <c r="I102" s="598" t="s">
        <v>1912</v>
      </c>
      <c r="J102" s="617" t="s">
        <v>1913</v>
      </c>
      <c r="K102" s="598">
        <v>1</v>
      </c>
      <c r="L102" s="598">
        <v>2</v>
      </c>
      <c r="M102" s="621">
        <v>4400</v>
      </c>
      <c r="N102" s="598"/>
      <c r="O102" s="598"/>
      <c r="P102" s="618"/>
    </row>
    <row r="103" spans="1:16" s="619" customFormat="1" ht="36" x14ac:dyDescent="0.2">
      <c r="A103" s="598" t="s">
        <v>1907</v>
      </c>
      <c r="B103" s="620" t="s">
        <v>1908</v>
      </c>
      <c r="C103" s="598" t="s">
        <v>2015</v>
      </c>
      <c r="D103" s="598" t="s">
        <v>2125</v>
      </c>
      <c r="E103" s="621">
        <v>1600</v>
      </c>
      <c r="F103" s="599">
        <v>48156569</v>
      </c>
      <c r="G103" s="598" t="s">
        <v>2127</v>
      </c>
      <c r="H103" s="598" t="s">
        <v>2036</v>
      </c>
      <c r="I103" s="598" t="s">
        <v>1912</v>
      </c>
      <c r="J103" s="617" t="s">
        <v>1931</v>
      </c>
      <c r="K103" s="598">
        <v>8</v>
      </c>
      <c r="L103" s="598">
        <v>12</v>
      </c>
      <c r="M103" s="621">
        <v>19200</v>
      </c>
      <c r="N103" s="598"/>
      <c r="O103" s="598"/>
      <c r="P103" s="618"/>
    </row>
    <row r="104" spans="1:16" s="619" customFormat="1" ht="24" x14ac:dyDescent="0.2">
      <c r="A104" s="598" t="s">
        <v>1907</v>
      </c>
      <c r="B104" s="620" t="s">
        <v>1908</v>
      </c>
      <c r="C104" s="598" t="s">
        <v>2015</v>
      </c>
      <c r="D104" s="598" t="s">
        <v>2125</v>
      </c>
      <c r="E104" s="621">
        <v>1400</v>
      </c>
      <c r="F104" s="599">
        <v>44640409</v>
      </c>
      <c r="G104" s="598" t="s">
        <v>2128</v>
      </c>
      <c r="H104" s="598"/>
      <c r="I104" s="598"/>
      <c r="J104" s="617"/>
      <c r="K104" s="598">
        <v>8</v>
      </c>
      <c r="L104" s="598">
        <v>12</v>
      </c>
      <c r="M104" s="621">
        <v>16800</v>
      </c>
      <c r="N104" s="598"/>
      <c r="O104" s="598"/>
      <c r="P104" s="618"/>
    </row>
    <row r="105" spans="1:16" s="619" customFormat="1" ht="36" x14ac:dyDescent="0.2">
      <c r="A105" s="598" t="s">
        <v>1907</v>
      </c>
      <c r="B105" s="620" t="s">
        <v>1908</v>
      </c>
      <c r="C105" s="598" t="s">
        <v>2015</v>
      </c>
      <c r="D105" s="598" t="s">
        <v>2123</v>
      </c>
      <c r="E105" s="621">
        <v>1800</v>
      </c>
      <c r="F105" s="599">
        <v>33425692</v>
      </c>
      <c r="G105" s="598" t="s">
        <v>2129</v>
      </c>
      <c r="H105" s="598" t="s">
        <v>2036</v>
      </c>
      <c r="I105" s="598" t="s">
        <v>1912</v>
      </c>
      <c r="J105" s="617" t="s">
        <v>1931</v>
      </c>
      <c r="K105" s="598">
        <v>8</v>
      </c>
      <c r="L105" s="598">
        <v>12</v>
      </c>
      <c r="M105" s="621">
        <v>21600</v>
      </c>
      <c r="N105" s="598"/>
      <c r="O105" s="598"/>
      <c r="P105" s="618"/>
    </row>
    <row r="106" spans="1:16" s="619" customFormat="1" ht="36" x14ac:dyDescent="0.2">
      <c r="A106" s="598" t="s">
        <v>1907</v>
      </c>
      <c r="B106" s="620" t="s">
        <v>1908</v>
      </c>
      <c r="C106" s="598" t="s">
        <v>2015</v>
      </c>
      <c r="D106" s="598" t="s">
        <v>2130</v>
      </c>
      <c r="E106" s="621">
        <v>1200</v>
      </c>
      <c r="F106" s="599">
        <v>73902092</v>
      </c>
      <c r="G106" s="598" t="s">
        <v>2131</v>
      </c>
      <c r="H106" s="598" t="s">
        <v>1951</v>
      </c>
      <c r="I106" s="598" t="s">
        <v>1912</v>
      </c>
      <c r="J106" s="617" t="s">
        <v>1931</v>
      </c>
      <c r="K106" s="598">
        <v>7</v>
      </c>
      <c r="L106" s="598">
        <v>10</v>
      </c>
      <c r="M106" s="621">
        <v>12000</v>
      </c>
      <c r="N106" s="598"/>
      <c r="O106" s="598"/>
      <c r="P106" s="618"/>
    </row>
    <row r="107" spans="1:16" s="619" customFormat="1" ht="24" x14ac:dyDescent="0.2">
      <c r="A107" s="598" t="s">
        <v>1907</v>
      </c>
      <c r="B107" s="620" t="s">
        <v>1908</v>
      </c>
      <c r="C107" s="598" t="s">
        <v>2015</v>
      </c>
      <c r="D107" s="598" t="s">
        <v>2132</v>
      </c>
      <c r="E107" s="621">
        <v>3500</v>
      </c>
      <c r="F107" s="599">
        <v>33429259</v>
      </c>
      <c r="G107" s="598" t="s">
        <v>2133</v>
      </c>
      <c r="H107" s="598" t="s">
        <v>2038</v>
      </c>
      <c r="I107" s="598" t="s">
        <v>1912</v>
      </c>
      <c r="J107" s="617" t="s">
        <v>1913</v>
      </c>
      <c r="K107" s="598">
        <v>1</v>
      </c>
      <c r="L107" s="598">
        <v>3</v>
      </c>
      <c r="M107" s="621">
        <v>10500</v>
      </c>
      <c r="N107" s="598"/>
      <c r="O107" s="598"/>
      <c r="P107" s="618"/>
    </row>
    <row r="108" spans="1:16" s="619" customFormat="1" ht="36" x14ac:dyDescent="0.2">
      <c r="A108" s="598" t="s">
        <v>1907</v>
      </c>
      <c r="B108" s="620" t="s">
        <v>1908</v>
      </c>
      <c r="C108" s="598" t="s">
        <v>2015</v>
      </c>
      <c r="D108" s="598" t="s">
        <v>2134</v>
      </c>
      <c r="E108" s="621">
        <v>3000</v>
      </c>
      <c r="F108" s="599">
        <v>45740991</v>
      </c>
      <c r="G108" s="598" t="s">
        <v>2135</v>
      </c>
      <c r="H108" s="598" t="s">
        <v>1911</v>
      </c>
      <c r="I108" s="598" t="s">
        <v>1912</v>
      </c>
      <c r="J108" s="617" t="s">
        <v>1913</v>
      </c>
      <c r="K108" s="598">
        <v>5</v>
      </c>
      <c r="L108" s="598">
        <v>8</v>
      </c>
      <c r="M108" s="621">
        <v>24000</v>
      </c>
      <c r="N108" s="598"/>
      <c r="O108" s="598"/>
      <c r="P108" s="618"/>
    </row>
    <row r="109" spans="1:16" s="619" customFormat="1" ht="36" x14ac:dyDescent="0.2">
      <c r="A109" s="598" t="s">
        <v>1907</v>
      </c>
      <c r="B109" s="620" t="s">
        <v>1908</v>
      </c>
      <c r="C109" s="598" t="s">
        <v>2015</v>
      </c>
      <c r="D109" s="598" t="s">
        <v>2134</v>
      </c>
      <c r="E109" s="621">
        <v>3500</v>
      </c>
      <c r="F109" s="599">
        <v>47195442</v>
      </c>
      <c r="G109" s="598" t="s">
        <v>2136</v>
      </c>
      <c r="H109" s="598" t="s">
        <v>2137</v>
      </c>
      <c r="I109" s="598" t="s">
        <v>1912</v>
      </c>
      <c r="J109" s="617" t="s">
        <v>1913</v>
      </c>
      <c r="K109" s="598">
        <v>4</v>
      </c>
      <c r="L109" s="598">
        <v>8</v>
      </c>
      <c r="M109" s="621">
        <v>28000</v>
      </c>
      <c r="N109" s="598"/>
      <c r="O109" s="598"/>
      <c r="P109" s="618"/>
    </row>
    <row r="110" spans="1:16" s="619" customFormat="1" ht="24" x14ac:dyDescent="0.2">
      <c r="A110" s="598" t="s">
        <v>1907</v>
      </c>
      <c r="B110" s="620" t="s">
        <v>1908</v>
      </c>
      <c r="C110" s="598" t="s">
        <v>2015</v>
      </c>
      <c r="D110" s="598" t="s">
        <v>2134</v>
      </c>
      <c r="E110" s="621">
        <v>2500</v>
      </c>
      <c r="F110" s="599">
        <v>70562105</v>
      </c>
      <c r="G110" s="598" t="s">
        <v>2138</v>
      </c>
      <c r="H110" s="598" t="s">
        <v>2038</v>
      </c>
      <c r="I110" s="598" t="s">
        <v>1912</v>
      </c>
      <c r="J110" s="617" t="s">
        <v>1913</v>
      </c>
      <c r="K110" s="598">
        <v>7</v>
      </c>
      <c r="L110" s="598">
        <v>11</v>
      </c>
      <c r="M110" s="621">
        <v>27500</v>
      </c>
      <c r="N110" s="598"/>
      <c r="O110" s="598"/>
      <c r="P110" s="618"/>
    </row>
    <row r="111" spans="1:16" s="619" customFormat="1" ht="36" x14ac:dyDescent="0.2">
      <c r="A111" s="598" t="s">
        <v>1907</v>
      </c>
      <c r="B111" s="620" t="s">
        <v>1908</v>
      </c>
      <c r="C111" s="598" t="s">
        <v>2015</v>
      </c>
      <c r="D111" s="598" t="s">
        <v>2139</v>
      </c>
      <c r="E111" s="621">
        <v>2200</v>
      </c>
      <c r="F111" s="599">
        <v>74288033</v>
      </c>
      <c r="G111" s="598" t="s">
        <v>2140</v>
      </c>
      <c r="H111" s="598" t="s">
        <v>2034</v>
      </c>
      <c r="I111" s="598" t="s">
        <v>1912</v>
      </c>
      <c r="J111" s="617" t="s">
        <v>1913</v>
      </c>
      <c r="K111" s="598">
        <v>8</v>
      </c>
      <c r="L111" s="598">
        <v>12</v>
      </c>
      <c r="M111" s="621">
        <v>26400</v>
      </c>
      <c r="N111" s="598"/>
      <c r="O111" s="598"/>
      <c r="P111" s="618"/>
    </row>
    <row r="112" spans="1:16" s="619" customFormat="1" ht="24" x14ac:dyDescent="0.2">
      <c r="A112" s="598" t="s">
        <v>1907</v>
      </c>
      <c r="B112" s="620" t="s">
        <v>1908</v>
      </c>
      <c r="C112" s="598" t="s">
        <v>2015</v>
      </c>
      <c r="D112" s="598" t="s">
        <v>2139</v>
      </c>
      <c r="E112" s="621">
        <v>5000</v>
      </c>
      <c r="F112" s="599">
        <v>43046965</v>
      </c>
      <c r="G112" s="598" t="s">
        <v>2141</v>
      </c>
      <c r="H112" s="598" t="s">
        <v>1911</v>
      </c>
      <c r="I112" s="598" t="s">
        <v>1912</v>
      </c>
      <c r="J112" s="617" t="s">
        <v>1913</v>
      </c>
      <c r="K112" s="598">
        <v>9</v>
      </c>
      <c r="L112" s="598">
        <v>12</v>
      </c>
      <c r="M112" s="621">
        <v>60000</v>
      </c>
      <c r="N112" s="598"/>
      <c r="O112" s="598"/>
      <c r="P112" s="618"/>
    </row>
    <row r="113" spans="1:16" s="619" customFormat="1" ht="36" x14ac:dyDescent="0.2">
      <c r="A113" s="598" t="s">
        <v>1907</v>
      </c>
      <c r="B113" s="620" t="s">
        <v>1908</v>
      </c>
      <c r="C113" s="598" t="s">
        <v>2015</v>
      </c>
      <c r="D113" s="598" t="s">
        <v>2139</v>
      </c>
      <c r="E113" s="621">
        <v>5000</v>
      </c>
      <c r="F113" s="599">
        <v>41758816</v>
      </c>
      <c r="G113" s="598" t="s">
        <v>1940</v>
      </c>
      <c r="H113" s="598" t="s">
        <v>1911</v>
      </c>
      <c r="I113" s="598" t="s">
        <v>1912</v>
      </c>
      <c r="J113" s="617" t="s">
        <v>1913</v>
      </c>
      <c r="K113" s="598">
        <v>3</v>
      </c>
      <c r="L113" s="598">
        <v>6</v>
      </c>
      <c r="M113" s="621">
        <v>30000</v>
      </c>
      <c r="N113" s="598"/>
      <c r="O113" s="598"/>
      <c r="P113" s="618"/>
    </row>
    <row r="114" spans="1:16" s="619" customFormat="1" ht="48" x14ac:dyDescent="0.2">
      <c r="A114" s="598" t="s">
        <v>1907</v>
      </c>
      <c r="B114" s="620" t="s">
        <v>1908</v>
      </c>
      <c r="C114" s="598" t="s">
        <v>2015</v>
      </c>
      <c r="D114" s="598" t="s">
        <v>2139</v>
      </c>
      <c r="E114" s="621">
        <v>1900</v>
      </c>
      <c r="F114" s="599">
        <v>70564146</v>
      </c>
      <c r="G114" s="598" t="s">
        <v>2142</v>
      </c>
      <c r="H114" s="598" t="s">
        <v>2143</v>
      </c>
      <c r="I114" s="598" t="s">
        <v>1912</v>
      </c>
      <c r="J114" s="617" t="s">
        <v>1913</v>
      </c>
      <c r="K114" s="598">
        <v>1</v>
      </c>
      <c r="L114" s="598">
        <v>3</v>
      </c>
      <c r="M114" s="621">
        <v>5700</v>
      </c>
      <c r="N114" s="598"/>
      <c r="O114" s="598"/>
      <c r="P114" s="618"/>
    </row>
    <row r="115" spans="1:16" s="619" customFormat="1" ht="36" x14ac:dyDescent="0.2">
      <c r="A115" s="1024" t="s">
        <v>1907</v>
      </c>
      <c r="B115" s="1025" t="s">
        <v>1908</v>
      </c>
      <c r="C115" s="1024" t="s">
        <v>2015</v>
      </c>
      <c r="D115" s="1024" t="s">
        <v>2144</v>
      </c>
      <c r="E115" s="1026">
        <v>1600</v>
      </c>
      <c r="F115" s="1027">
        <v>47233594</v>
      </c>
      <c r="G115" s="1024" t="s">
        <v>2145</v>
      </c>
      <c r="H115" s="1024" t="s">
        <v>2036</v>
      </c>
      <c r="I115" s="1024" t="s">
        <v>1912</v>
      </c>
      <c r="J115" s="1028" t="s">
        <v>1913</v>
      </c>
      <c r="K115" s="1024">
        <v>8</v>
      </c>
      <c r="L115" s="1024">
        <v>12</v>
      </c>
      <c r="M115" s="1026">
        <v>19200</v>
      </c>
      <c r="N115" s="1024"/>
      <c r="O115" s="1024"/>
      <c r="P115" s="1029"/>
    </row>
    <row r="116" spans="1:16" s="619" customFormat="1" ht="48" x14ac:dyDescent="0.2">
      <c r="A116" s="598" t="s">
        <v>1907</v>
      </c>
      <c r="B116" s="620" t="s">
        <v>1908</v>
      </c>
      <c r="C116" s="598" t="s">
        <v>2015</v>
      </c>
      <c r="D116" s="598" t="s">
        <v>2146</v>
      </c>
      <c r="E116" s="621">
        <v>1100</v>
      </c>
      <c r="F116" s="599">
        <v>44205148</v>
      </c>
      <c r="G116" s="598" t="s">
        <v>2147</v>
      </c>
      <c r="H116" s="598"/>
      <c r="I116" s="598"/>
      <c r="J116" s="617"/>
      <c r="K116" s="598">
        <v>3</v>
      </c>
      <c r="L116" s="598">
        <v>7</v>
      </c>
      <c r="M116" s="621">
        <v>7700</v>
      </c>
      <c r="N116" s="598"/>
      <c r="O116" s="598"/>
      <c r="P116" s="618"/>
    </row>
    <row r="117" spans="1:16" s="619" customFormat="1" ht="36" x14ac:dyDescent="0.2">
      <c r="A117" s="598" t="s">
        <v>1907</v>
      </c>
      <c r="B117" s="620" t="s">
        <v>1908</v>
      </c>
      <c r="C117" s="598" t="s">
        <v>2015</v>
      </c>
      <c r="D117" s="598" t="s">
        <v>2148</v>
      </c>
      <c r="E117" s="621">
        <v>4000</v>
      </c>
      <c r="F117" s="599">
        <v>45942608</v>
      </c>
      <c r="G117" s="598" t="s">
        <v>2149</v>
      </c>
      <c r="H117" s="598" t="s">
        <v>2079</v>
      </c>
      <c r="I117" s="598" t="s">
        <v>1912</v>
      </c>
      <c r="J117" s="617" t="s">
        <v>1913</v>
      </c>
      <c r="K117" s="598">
        <v>5</v>
      </c>
      <c r="L117" s="598">
        <v>11</v>
      </c>
      <c r="M117" s="621">
        <v>44000</v>
      </c>
      <c r="N117" s="598"/>
      <c r="O117" s="598"/>
      <c r="P117" s="618"/>
    </row>
    <row r="118" spans="1:16" s="619" customFormat="1" ht="48" x14ac:dyDescent="0.2">
      <c r="A118" s="598" t="s">
        <v>1907</v>
      </c>
      <c r="B118" s="620" t="s">
        <v>1908</v>
      </c>
      <c r="C118" s="598" t="s">
        <v>2015</v>
      </c>
      <c r="D118" s="598" t="s">
        <v>2150</v>
      </c>
      <c r="E118" s="621">
        <v>2000</v>
      </c>
      <c r="F118" s="599">
        <v>42303516</v>
      </c>
      <c r="G118" s="598" t="s">
        <v>2151</v>
      </c>
      <c r="H118" s="598" t="s">
        <v>2152</v>
      </c>
      <c r="I118" s="598" t="s">
        <v>1912</v>
      </c>
      <c r="J118" s="617" t="s">
        <v>1913</v>
      </c>
      <c r="K118" s="598">
        <v>8</v>
      </c>
      <c r="L118" s="598">
        <v>12</v>
      </c>
      <c r="M118" s="621">
        <v>24000</v>
      </c>
      <c r="N118" s="598"/>
      <c r="O118" s="598"/>
      <c r="P118" s="618"/>
    </row>
    <row r="119" spans="1:16" s="619" customFormat="1" ht="48" x14ac:dyDescent="0.2">
      <c r="A119" s="598" t="s">
        <v>1907</v>
      </c>
      <c r="B119" s="620" t="s">
        <v>1908</v>
      </c>
      <c r="C119" s="598" t="s">
        <v>2015</v>
      </c>
      <c r="D119" s="598" t="s">
        <v>2153</v>
      </c>
      <c r="E119" s="621">
        <v>1900</v>
      </c>
      <c r="F119" s="599">
        <v>72562703</v>
      </c>
      <c r="G119" s="598" t="s">
        <v>2154</v>
      </c>
      <c r="H119" s="598" t="s">
        <v>2155</v>
      </c>
      <c r="I119" s="598" t="s">
        <v>1912</v>
      </c>
      <c r="J119" s="617" t="s">
        <v>1913</v>
      </c>
      <c r="K119" s="598">
        <v>2</v>
      </c>
      <c r="L119" s="598">
        <v>4</v>
      </c>
      <c r="M119" s="621">
        <v>7600</v>
      </c>
      <c r="N119" s="598"/>
      <c r="O119" s="598"/>
      <c r="P119" s="618"/>
    </row>
    <row r="120" spans="1:16" s="619" customFormat="1" ht="48" x14ac:dyDescent="0.2">
      <c r="A120" s="598" t="s">
        <v>1907</v>
      </c>
      <c r="B120" s="620" t="s">
        <v>1908</v>
      </c>
      <c r="C120" s="598" t="s">
        <v>2015</v>
      </c>
      <c r="D120" s="598" t="s">
        <v>2156</v>
      </c>
      <c r="E120" s="621">
        <v>5000</v>
      </c>
      <c r="F120" s="599">
        <v>42153496</v>
      </c>
      <c r="G120" s="598" t="s">
        <v>2157</v>
      </c>
      <c r="H120" s="598" t="s">
        <v>2158</v>
      </c>
      <c r="I120" s="598" t="s">
        <v>1912</v>
      </c>
      <c r="J120" s="617" t="s">
        <v>1913</v>
      </c>
      <c r="K120" s="598">
        <v>6</v>
      </c>
      <c r="L120" s="598">
        <v>11</v>
      </c>
      <c r="M120" s="621">
        <v>55000</v>
      </c>
      <c r="N120" s="598"/>
      <c r="O120" s="598"/>
      <c r="P120" s="618"/>
    </row>
    <row r="121" spans="1:16" s="619" customFormat="1" ht="36" x14ac:dyDescent="0.2">
      <c r="A121" s="598" t="s">
        <v>1907</v>
      </c>
      <c r="B121" s="620" t="s">
        <v>1908</v>
      </c>
      <c r="C121" s="598" t="s">
        <v>2015</v>
      </c>
      <c r="D121" s="598" t="s">
        <v>2156</v>
      </c>
      <c r="E121" s="621">
        <v>7500</v>
      </c>
      <c r="F121" s="599">
        <v>42577913</v>
      </c>
      <c r="G121" s="598" t="s">
        <v>2159</v>
      </c>
      <c r="H121" s="598" t="s">
        <v>2079</v>
      </c>
      <c r="I121" s="598" t="s">
        <v>1912</v>
      </c>
      <c r="J121" s="617" t="s">
        <v>1913</v>
      </c>
      <c r="K121" s="598">
        <v>1</v>
      </c>
      <c r="L121" s="598">
        <v>2</v>
      </c>
      <c r="M121" s="621">
        <v>15000</v>
      </c>
      <c r="N121" s="598"/>
      <c r="O121" s="598"/>
      <c r="P121" s="618"/>
    </row>
    <row r="122" spans="1:16" s="619" customFormat="1" ht="36" x14ac:dyDescent="0.2">
      <c r="A122" s="598" t="s">
        <v>1907</v>
      </c>
      <c r="B122" s="620" t="s">
        <v>1908</v>
      </c>
      <c r="C122" s="598" t="s">
        <v>2015</v>
      </c>
      <c r="D122" s="598" t="s">
        <v>2156</v>
      </c>
      <c r="E122" s="621">
        <v>2500</v>
      </c>
      <c r="F122" s="599">
        <v>41085917</v>
      </c>
      <c r="G122" s="598" t="s">
        <v>2160</v>
      </c>
      <c r="H122" s="598" t="s">
        <v>2161</v>
      </c>
      <c r="I122" s="598" t="s">
        <v>1912</v>
      </c>
      <c r="J122" s="617" t="s">
        <v>1913</v>
      </c>
      <c r="K122" s="598">
        <v>8</v>
      </c>
      <c r="L122" s="598">
        <v>12</v>
      </c>
      <c r="M122" s="621">
        <v>30000</v>
      </c>
      <c r="N122" s="598"/>
      <c r="O122" s="598"/>
      <c r="P122" s="618"/>
    </row>
    <row r="123" spans="1:16" s="619" customFormat="1" ht="24" x14ac:dyDescent="0.2">
      <c r="A123" s="598" t="s">
        <v>1907</v>
      </c>
      <c r="B123" s="620" t="s">
        <v>1908</v>
      </c>
      <c r="C123" s="598" t="s">
        <v>2015</v>
      </c>
      <c r="D123" s="598" t="s">
        <v>2156</v>
      </c>
      <c r="E123" s="621">
        <v>5000</v>
      </c>
      <c r="F123" s="599">
        <v>45512592</v>
      </c>
      <c r="G123" s="598" t="s">
        <v>2162</v>
      </c>
      <c r="H123" s="598" t="s">
        <v>2163</v>
      </c>
      <c r="I123" s="598" t="s">
        <v>1912</v>
      </c>
      <c r="J123" s="617" t="s">
        <v>1913</v>
      </c>
      <c r="K123" s="598">
        <v>7</v>
      </c>
      <c r="L123" s="598">
        <v>10</v>
      </c>
      <c r="M123" s="621">
        <v>50000</v>
      </c>
      <c r="N123" s="598"/>
      <c r="O123" s="598"/>
      <c r="P123" s="618"/>
    </row>
    <row r="124" spans="1:16" s="619" customFormat="1" ht="36" x14ac:dyDescent="0.2">
      <c r="A124" s="598" t="s">
        <v>1907</v>
      </c>
      <c r="B124" s="620" t="s">
        <v>1908</v>
      </c>
      <c r="C124" s="598" t="s">
        <v>2015</v>
      </c>
      <c r="D124" s="598" t="s">
        <v>2156</v>
      </c>
      <c r="E124" s="621">
        <v>5000</v>
      </c>
      <c r="F124" s="599">
        <v>42015232</v>
      </c>
      <c r="G124" s="598" t="s">
        <v>2164</v>
      </c>
      <c r="H124" s="598" t="s">
        <v>2165</v>
      </c>
      <c r="I124" s="598" t="s">
        <v>1912</v>
      </c>
      <c r="J124" s="617" t="s">
        <v>1913</v>
      </c>
      <c r="K124" s="598">
        <v>2</v>
      </c>
      <c r="L124" s="598">
        <v>3</v>
      </c>
      <c r="M124" s="621">
        <v>15000</v>
      </c>
      <c r="N124" s="598"/>
      <c r="O124" s="598"/>
      <c r="P124" s="618"/>
    </row>
    <row r="125" spans="1:16" s="619" customFormat="1" ht="36" x14ac:dyDescent="0.2">
      <c r="A125" s="598" t="s">
        <v>1907</v>
      </c>
      <c r="B125" s="620" t="s">
        <v>1908</v>
      </c>
      <c r="C125" s="598" t="s">
        <v>2015</v>
      </c>
      <c r="D125" s="598" t="s">
        <v>2156</v>
      </c>
      <c r="E125" s="621">
        <v>5000</v>
      </c>
      <c r="F125" s="599">
        <v>45059500</v>
      </c>
      <c r="G125" s="598" t="s">
        <v>2166</v>
      </c>
      <c r="H125" s="598" t="s">
        <v>2079</v>
      </c>
      <c r="I125" s="598" t="s">
        <v>1912</v>
      </c>
      <c r="J125" s="617" t="s">
        <v>1913</v>
      </c>
      <c r="K125" s="598">
        <v>6</v>
      </c>
      <c r="L125" s="598">
        <v>11</v>
      </c>
      <c r="M125" s="621">
        <v>55000</v>
      </c>
      <c r="N125" s="598"/>
      <c r="O125" s="598"/>
      <c r="P125" s="618"/>
    </row>
    <row r="126" spans="1:16" s="619" customFormat="1" ht="36" x14ac:dyDescent="0.2">
      <c r="A126" s="598" t="s">
        <v>1907</v>
      </c>
      <c r="B126" s="620" t="s">
        <v>1908</v>
      </c>
      <c r="C126" s="598" t="s">
        <v>2015</v>
      </c>
      <c r="D126" s="598" t="s">
        <v>2156</v>
      </c>
      <c r="E126" s="621">
        <v>1500</v>
      </c>
      <c r="F126" s="599">
        <v>76097452</v>
      </c>
      <c r="G126" s="598" t="s">
        <v>2167</v>
      </c>
      <c r="H126" s="598" t="s">
        <v>2104</v>
      </c>
      <c r="I126" s="598" t="s">
        <v>1912</v>
      </c>
      <c r="J126" s="617" t="s">
        <v>1931</v>
      </c>
      <c r="K126" s="598">
        <v>2</v>
      </c>
      <c r="L126" s="598">
        <v>3</v>
      </c>
      <c r="M126" s="621">
        <v>4500</v>
      </c>
      <c r="N126" s="598"/>
      <c r="O126" s="598"/>
      <c r="P126" s="618"/>
    </row>
    <row r="127" spans="1:16" s="619" customFormat="1" ht="36" x14ac:dyDescent="0.2">
      <c r="A127" s="598" t="s">
        <v>1907</v>
      </c>
      <c r="B127" s="620" t="s">
        <v>1908</v>
      </c>
      <c r="C127" s="598" t="s">
        <v>2015</v>
      </c>
      <c r="D127" s="598" t="s">
        <v>2168</v>
      </c>
      <c r="E127" s="621">
        <v>5000</v>
      </c>
      <c r="F127" s="599">
        <v>46660003</v>
      </c>
      <c r="G127" s="598" t="s">
        <v>2169</v>
      </c>
      <c r="H127" s="598" t="s">
        <v>2170</v>
      </c>
      <c r="I127" s="598" t="s">
        <v>1912</v>
      </c>
      <c r="J127" s="617" t="s">
        <v>1913</v>
      </c>
      <c r="K127" s="598">
        <v>6</v>
      </c>
      <c r="L127" s="598">
        <v>11</v>
      </c>
      <c r="M127" s="621">
        <v>55000</v>
      </c>
      <c r="N127" s="598"/>
      <c r="O127" s="598"/>
      <c r="P127" s="618"/>
    </row>
    <row r="128" spans="1:16" s="619" customFormat="1" ht="36" x14ac:dyDescent="0.2">
      <c r="A128" s="598" t="s">
        <v>1907</v>
      </c>
      <c r="B128" s="620" t="s">
        <v>1908</v>
      </c>
      <c r="C128" s="598" t="s">
        <v>2015</v>
      </c>
      <c r="D128" s="598" t="s">
        <v>2171</v>
      </c>
      <c r="E128" s="621">
        <v>3000</v>
      </c>
      <c r="F128" s="599">
        <v>70151846</v>
      </c>
      <c r="G128" s="598" t="s">
        <v>2172</v>
      </c>
      <c r="H128" s="598" t="s">
        <v>2079</v>
      </c>
      <c r="I128" s="598" t="s">
        <v>1912</v>
      </c>
      <c r="J128" s="617" t="s">
        <v>1913</v>
      </c>
      <c r="K128" s="598">
        <v>3</v>
      </c>
      <c r="L128" s="598">
        <v>4</v>
      </c>
      <c r="M128" s="621">
        <v>12000</v>
      </c>
      <c r="N128" s="598"/>
      <c r="O128" s="598"/>
      <c r="P128" s="618"/>
    </row>
    <row r="129" spans="1:16" s="619" customFormat="1" ht="24" x14ac:dyDescent="0.2">
      <c r="A129" s="598" t="s">
        <v>1907</v>
      </c>
      <c r="B129" s="620" t="s">
        <v>1908</v>
      </c>
      <c r="C129" s="598" t="s">
        <v>2015</v>
      </c>
      <c r="D129" s="598" t="s">
        <v>2156</v>
      </c>
      <c r="E129" s="621">
        <v>3000</v>
      </c>
      <c r="F129" s="599">
        <v>71521386</v>
      </c>
      <c r="G129" s="598" t="s">
        <v>2173</v>
      </c>
      <c r="H129" s="598" t="s">
        <v>2079</v>
      </c>
      <c r="I129" s="598" t="s">
        <v>1912</v>
      </c>
      <c r="J129" s="617" t="s">
        <v>1913</v>
      </c>
      <c r="K129" s="598">
        <v>4</v>
      </c>
      <c r="L129" s="598">
        <v>8</v>
      </c>
      <c r="M129" s="621">
        <v>24000</v>
      </c>
      <c r="N129" s="598"/>
      <c r="O129" s="598"/>
      <c r="P129" s="618"/>
    </row>
    <row r="130" spans="1:16" s="619" customFormat="1" ht="36" x14ac:dyDescent="0.2">
      <c r="A130" s="598" t="s">
        <v>1907</v>
      </c>
      <c r="B130" s="620" t="s">
        <v>1908</v>
      </c>
      <c r="C130" s="598" t="s">
        <v>2015</v>
      </c>
      <c r="D130" s="598" t="s">
        <v>2156</v>
      </c>
      <c r="E130" s="621">
        <v>1800</v>
      </c>
      <c r="F130" s="599">
        <v>47025587</v>
      </c>
      <c r="G130" s="598" t="s">
        <v>2174</v>
      </c>
      <c r="H130" s="598" t="s">
        <v>2175</v>
      </c>
      <c r="I130" s="598" t="s">
        <v>1912</v>
      </c>
      <c r="J130" s="617" t="s">
        <v>1931</v>
      </c>
      <c r="K130" s="598">
        <v>2</v>
      </c>
      <c r="L130" s="598">
        <v>4</v>
      </c>
      <c r="M130" s="621">
        <v>7200</v>
      </c>
      <c r="N130" s="598"/>
      <c r="O130" s="598"/>
      <c r="P130" s="618"/>
    </row>
    <row r="131" spans="1:16" s="619" customFormat="1" ht="36" x14ac:dyDescent="0.2">
      <c r="A131" s="598" t="s">
        <v>1907</v>
      </c>
      <c r="B131" s="620" t="s">
        <v>1908</v>
      </c>
      <c r="C131" s="598" t="s">
        <v>2015</v>
      </c>
      <c r="D131" s="598" t="s">
        <v>2156</v>
      </c>
      <c r="E131" s="621">
        <v>1500</v>
      </c>
      <c r="F131" s="599">
        <v>43552560</v>
      </c>
      <c r="G131" s="598" t="s">
        <v>2176</v>
      </c>
      <c r="H131" s="598" t="s">
        <v>2177</v>
      </c>
      <c r="I131" s="598" t="s">
        <v>1912</v>
      </c>
      <c r="J131" s="617" t="s">
        <v>1931</v>
      </c>
      <c r="K131" s="598">
        <v>4</v>
      </c>
      <c r="L131" s="598">
        <v>6</v>
      </c>
      <c r="M131" s="621">
        <v>9000</v>
      </c>
      <c r="N131" s="598"/>
      <c r="O131" s="598"/>
      <c r="P131" s="618"/>
    </row>
    <row r="132" spans="1:16" s="619" customFormat="1" ht="36" x14ac:dyDescent="0.2">
      <c r="A132" s="598" t="s">
        <v>1907</v>
      </c>
      <c r="B132" s="620" t="s">
        <v>1908</v>
      </c>
      <c r="C132" s="598" t="s">
        <v>2015</v>
      </c>
      <c r="D132" s="598" t="s">
        <v>2171</v>
      </c>
      <c r="E132" s="621">
        <v>1200</v>
      </c>
      <c r="F132" s="599">
        <v>47114827</v>
      </c>
      <c r="G132" s="598" t="s">
        <v>2178</v>
      </c>
      <c r="H132" s="598" t="s">
        <v>2036</v>
      </c>
      <c r="I132" s="598" t="s">
        <v>1912</v>
      </c>
      <c r="J132" s="617" t="s">
        <v>1931</v>
      </c>
      <c r="K132" s="598">
        <v>4</v>
      </c>
      <c r="L132" s="598">
        <v>6</v>
      </c>
      <c r="M132" s="621">
        <v>7200</v>
      </c>
      <c r="N132" s="598"/>
      <c r="O132" s="598"/>
      <c r="P132" s="618"/>
    </row>
    <row r="133" spans="1:16" s="619" customFormat="1" ht="24" x14ac:dyDescent="0.2">
      <c r="A133" s="598" t="s">
        <v>1907</v>
      </c>
      <c r="B133" s="620" t="s">
        <v>1908</v>
      </c>
      <c r="C133" s="598" t="s">
        <v>2015</v>
      </c>
      <c r="D133" s="598" t="s">
        <v>2156</v>
      </c>
      <c r="E133" s="621">
        <v>1900</v>
      </c>
      <c r="F133" s="599">
        <v>46942273</v>
      </c>
      <c r="G133" s="598" t="s">
        <v>2179</v>
      </c>
      <c r="H133" s="598" t="s">
        <v>2161</v>
      </c>
      <c r="I133" s="598" t="s">
        <v>1912</v>
      </c>
      <c r="J133" s="617" t="s">
        <v>1913</v>
      </c>
      <c r="K133" s="598">
        <v>2</v>
      </c>
      <c r="L133" s="598">
        <v>3</v>
      </c>
      <c r="M133" s="621">
        <v>5700</v>
      </c>
      <c r="N133" s="598"/>
      <c r="O133" s="598"/>
      <c r="P133" s="618"/>
    </row>
    <row r="134" spans="1:16" s="619" customFormat="1" ht="24" x14ac:dyDescent="0.2">
      <c r="A134" s="598" t="s">
        <v>1907</v>
      </c>
      <c r="B134" s="620" t="s">
        <v>1908</v>
      </c>
      <c r="C134" s="598" t="s">
        <v>2015</v>
      </c>
      <c r="D134" s="598" t="s">
        <v>2180</v>
      </c>
      <c r="E134" s="621">
        <v>1900</v>
      </c>
      <c r="F134" s="599">
        <v>70207478</v>
      </c>
      <c r="G134" s="598" t="s">
        <v>2181</v>
      </c>
      <c r="H134" s="598" t="s">
        <v>2182</v>
      </c>
      <c r="I134" s="598" t="s">
        <v>1912</v>
      </c>
      <c r="J134" s="617" t="s">
        <v>1913</v>
      </c>
      <c r="K134" s="598">
        <v>4</v>
      </c>
      <c r="L134" s="598">
        <v>9</v>
      </c>
      <c r="M134" s="621">
        <v>17100</v>
      </c>
      <c r="N134" s="598"/>
      <c r="O134" s="598"/>
      <c r="P134" s="618"/>
    </row>
    <row r="135" spans="1:16" s="619" customFormat="1" ht="48" x14ac:dyDescent="0.2">
      <c r="A135" s="598" t="s">
        <v>1907</v>
      </c>
      <c r="B135" s="620" t="s">
        <v>2073</v>
      </c>
      <c r="C135" s="598" t="s">
        <v>2015</v>
      </c>
      <c r="D135" s="598" t="s">
        <v>2183</v>
      </c>
      <c r="E135" s="621">
        <v>5000</v>
      </c>
      <c r="F135" s="599">
        <v>25539304</v>
      </c>
      <c r="G135" s="598" t="s">
        <v>2184</v>
      </c>
      <c r="H135" s="598" t="s">
        <v>2185</v>
      </c>
      <c r="I135" s="598" t="s">
        <v>1912</v>
      </c>
      <c r="J135" s="617" t="s">
        <v>1913</v>
      </c>
      <c r="K135" s="598">
        <v>5</v>
      </c>
      <c r="L135" s="598">
        <v>10</v>
      </c>
      <c r="M135" s="621">
        <v>50000</v>
      </c>
      <c r="N135" s="598"/>
      <c r="O135" s="598"/>
      <c r="P135" s="618"/>
    </row>
    <row r="136" spans="1:16" s="619" customFormat="1" ht="48" x14ac:dyDescent="0.2">
      <c r="A136" s="598" t="s">
        <v>1907</v>
      </c>
      <c r="B136" s="620" t="s">
        <v>1908</v>
      </c>
      <c r="C136" s="598" t="s">
        <v>2015</v>
      </c>
      <c r="D136" s="598" t="s">
        <v>2183</v>
      </c>
      <c r="E136" s="621">
        <v>2000</v>
      </c>
      <c r="F136" s="599">
        <v>45105876</v>
      </c>
      <c r="G136" s="598" t="s">
        <v>2186</v>
      </c>
      <c r="H136" s="598" t="s">
        <v>2187</v>
      </c>
      <c r="I136" s="598" t="s">
        <v>1912</v>
      </c>
      <c r="J136" s="617" t="s">
        <v>1931</v>
      </c>
      <c r="K136" s="598">
        <v>1</v>
      </c>
      <c r="L136" s="598">
        <v>3</v>
      </c>
      <c r="M136" s="621">
        <v>6000</v>
      </c>
      <c r="N136" s="598"/>
      <c r="O136" s="598"/>
      <c r="P136" s="618"/>
    </row>
    <row r="137" spans="1:16" s="619" customFormat="1" ht="48" x14ac:dyDescent="0.2">
      <c r="A137" s="598" t="s">
        <v>1907</v>
      </c>
      <c r="B137" s="620" t="s">
        <v>1908</v>
      </c>
      <c r="C137" s="598" t="s">
        <v>2015</v>
      </c>
      <c r="D137" s="598" t="s">
        <v>2183</v>
      </c>
      <c r="E137" s="621">
        <v>1100</v>
      </c>
      <c r="F137" s="599">
        <v>33407826</v>
      </c>
      <c r="G137" s="598" t="s">
        <v>2188</v>
      </c>
      <c r="H137" s="598"/>
      <c r="I137" s="598"/>
      <c r="J137" s="617"/>
      <c r="K137" s="598">
        <v>7</v>
      </c>
      <c r="L137" s="598">
        <v>12</v>
      </c>
      <c r="M137" s="621">
        <v>13200</v>
      </c>
      <c r="N137" s="598"/>
      <c r="O137" s="598"/>
      <c r="P137" s="618"/>
    </row>
    <row r="138" spans="1:16" s="619" customFormat="1" ht="36" x14ac:dyDescent="0.2">
      <c r="A138" s="598" t="s">
        <v>1907</v>
      </c>
      <c r="B138" s="620" t="s">
        <v>1908</v>
      </c>
      <c r="C138" s="598" t="s">
        <v>2015</v>
      </c>
      <c r="D138" s="598" t="s">
        <v>2183</v>
      </c>
      <c r="E138" s="621">
        <v>1200</v>
      </c>
      <c r="F138" s="599">
        <v>45235947</v>
      </c>
      <c r="G138" s="598" t="s">
        <v>2189</v>
      </c>
      <c r="H138" s="598"/>
      <c r="I138" s="598"/>
      <c r="J138" s="617"/>
      <c r="K138" s="598">
        <v>7</v>
      </c>
      <c r="L138" s="598">
        <v>12</v>
      </c>
      <c r="M138" s="621">
        <v>14400</v>
      </c>
      <c r="N138" s="598"/>
      <c r="O138" s="598"/>
      <c r="P138" s="618"/>
    </row>
    <row r="139" spans="1:16" s="619" customFormat="1" ht="36" x14ac:dyDescent="0.2">
      <c r="A139" s="598" t="s">
        <v>1907</v>
      </c>
      <c r="B139" s="620" t="s">
        <v>1908</v>
      </c>
      <c r="C139" s="598" t="s">
        <v>2015</v>
      </c>
      <c r="D139" s="598" t="s">
        <v>2190</v>
      </c>
      <c r="E139" s="621">
        <v>1500</v>
      </c>
      <c r="F139" s="599">
        <v>47196966</v>
      </c>
      <c r="G139" s="598" t="s">
        <v>2191</v>
      </c>
      <c r="H139" s="598" t="s">
        <v>2036</v>
      </c>
      <c r="I139" s="598" t="s">
        <v>1912</v>
      </c>
      <c r="J139" s="617" t="s">
        <v>1931</v>
      </c>
      <c r="K139" s="598">
        <v>1</v>
      </c>
      <c r="L139" s="598">
        <v>3</v>
      </c>
      <c r="M139" s="621">
        <v>4500</v>
      </c>
      <c r="N139" s="598"/>
      <c r="O139" s="598"/>
      <c r="P139" s="618"/>
    </row>
    <row r="140" spans="1:16" s="619" customFormat="1" ht="24" x14ac:dyDescent="0.2">
      <c r="A140" s="598" t="s">
        <v>1907</v>
      </c>
      <c r="B140" s="620" t="s">
        <v>1908</v>
      </c>
      <c r="C140" s="598" t="s">
        <v>2015</v>
      </c>
      <c r="D140" s="598" t="s">
        <v>2190</v>
      </c>
      <c r="E140" s="621">
        <v>1800</v>
      </c>
      <c r="F140" s="599">
        <v>76827203</v>
      </c>
      <c r="G140" s="598" t="s">
        <v>2192</v>
      </c>
      <c r="H140" s="598" t="s">
        <v>2193</v>
      </c>
      <c r="I140" s="598" t="s">
        <v>1912</v>
      </c>
      <c r="J140" s="617" t="s">
        <v>1913</v>
      </c>
      <c r="K140" s="598">
        <v>8</v>
      </c>
      <c r="L140" s="598">
        <v>12</v>
      </c>
      <c r="M140" s="621">
        <v>21600</v>
      </c>
      <c r="N140" s="598"/>
      <c r="O140" s="598"/>
      <c r="P140" s="618"/>
    </row>
    <row r="141" spans="1:16" s="619" customFormat="1" ht="36" x14ac:dyDescent="0.2">
      <c r="A141" s="598" t="s">
        <v>1907</v>
      </c>
      <c r="B141" s="620" t="s">
        <v>1908</v>
      </c>
      <c r="C141" s="598" t="s">
        <v>2015</v>
      </c>
      <c r="D141" s="598" t="s">
        <v>2190</v>
      </c>
      <c r="E141" s="621">
        <v>2500</v>
      </c>
      <c r="F141" s="599">
        <v>10173979</v>
      </c>
      <c r="G141" s="598" t="s">
        <v>2194</v>
      </c>
      <c r="H141" s="598" t="s">
        <v>2104</v>
      </c>
      <c r="I141" s="598" t="s">
        <v>1912</v>
      </c>
      <c r="J141" s="617" t="s">
        <v>1931</v>
      </c>
      <c r="K141" s="598">
        <v>8</v>
      </c>
      <c r="L141" s="598">
        <v>12</v>
      </c>
      <c r="M141" s="621">
        <v>30000</v>
      </c>
      <c r="N141" s="598"/>
      <c r="O141" s="598"/>
      <c r="P141" s="618"/>
    </row>
    <row r="142" spans="1:16" s="619" customFormat="1" ht="36" x14ac:dyDescent="0.2">
      <c r="A142" s="598" t="s">
        <v>1907</v>
      </c>
      <c r="B142" s="620" t="s">
        <v>1908</v>
      </c>
      <c r="C142" s="598" t="s">
        <v>2015</v>
      </c>
      <c r="D142" s="598" t="s">
        <v>2190</v>
      </c>
      <c r="E142" s="621">
        <v>1200</v>
      </c>
      <c r="F142" s="599">
        <v>70208559</v>
      </c>
      <c r="G142" s="598" t="s">
        <v>2195</v>
      </c>
      <c r="H142" s="598" t="s">
        <v>2036</v>
      </c>
      <c r="I142" s="598" t="s">
        <v>1912</v>
      </c>
      <c r="J142" s="617" t="s">
        <v>1931</v>
      </c>
      <c r="K142" s="598">
        <v>7</v>
      </c>
      <c r="L142" s="598">
        <v>11</v>
      </c>
      <c r="M142" s="621">
        <v>13200</v>
      </c>
      <c r="N142" s="598"/>
      <c r="O142" s="598"/>
      <c r="P142" s="618"/>
    </row>
    <row r="143" spans="1:16" s="619" customFormat="1" ht="24" x14ac:dyDescent="0.2">
      <c r="A143" s="598" t="s">
        <v>1907</v>
      </c>
      <c r="B143" s="620" t="s">
        <v>1908</v>
      </c>
      <c r="C143" s="598" t="s">
        <v>2015</v>
      </c>
      <c r="D143" s="598" t="s">
        <v>2196</v>
      </c>
      <c r="E143" s="621">
        <v>4000</v>
      </c>
      <c r="F143" s="599" t="s">
        <v>2197</v>
      </c>
      <c r="G143" s="598" t="s">
        <v>2198</v>
      </c>
      <c r="H143" s="598" t="s">
        <v>2079</v>
      </c>
      <c r="I143" s="598" t="s">
        <v>1912</v>
      </c>
      <c r="J143" s="617" t="s">
        <v>1913</v>
      </c>
      <c r="K143" s="598">
        <v>8</v>
      </c>
      <c r="L143" s="598">
        <v>12</v>
      </c>
      <c r="M143" s="621">
        <v>48000</v>
      </c>
      <c r="N143" s="598"/>
      <c r="O143" s="598"/>
      <c r="P143" s="618"/>
    </row>
    <row r="144" spans="1:16" s="619" customFormat="1" ht="36" x14ac:dyDescent="0.2">
      <c r="A144" s="598" t="s">
        <v>1907</v>
      </c>
      <c r="B144" s="620" t="s">
        <v>2050</v>
      </c>
      <c r="C144" s="598" t="s">
        <v>2015</v>
      </c>
      <c r="D144" s="598" t="s">
        <v>2199</v>
      </c>
      <c r="E144" s="621">
        <v>1300</v>
      </c>
      <c r="F144" s="599">
        <v>71339865</v>
      </c>
      <c r="G144" s="598" t="s">
        <v>2200</v>
      </c>
      <c r="H144" s="598"/>
      <c r="I144" s="598"/>
      <c r="J144" s="617"/>
      <c r="K144" s="598">
        <v>5</v>
      </c>
      <c r="L144" s="598">
        <v>9</v>
      </c>
      <c r="M144" s="621">
        <v>11700</v>
      </c>
      <c r="N144" s="598"/>
      <c r="O144" s="598"/>
      <c r="P144" s="618"/>
    </row>
    <row r="145" spans="1:16" s="619" customFormat="1" ht="36" x14ac:dyDescent="0.2">
      <c r="A145" s="598" t="s">
        <v>1907</v>
      </c>
      <c r="B145" s="620" t="s">
        <v>1908</v>
      </c>
      <c r="C145" s="598" t="s">
        <v>2015</v>
      </c>
      <c r="D145" s="598" t="s">
        <v>2199</v>
      </c>
      <c r="E145" s="621">
        <v>2500</v>
      </c>
      <c r="F145" s="599">
        <v>44068638</v>
      </c>
      <c r="G145" s="598" t="s">
        <v>2201</v>
      </c>
      <c r="H145" s="598" t="s">
        <v>2161</v>
      </c>
      <c r="I145" s="598" t="s">
        <v>1912</v>
      </c>
      <c r="J145" s="617" t="s">
        <v>1913</v>
      </c>
      <c r="K145" s="598">
        <v>3</v>
      </c>
      <c r="L145" s="598">
        <v>8</v>
      </c>
      <c r="M145" s="621">
        <v>20000</v>
      </c>
      <c r="N145" s="598"/>
      <c r="O145" s="598"/>
      <c r="P145" s="618"/>
    </row>
    <row r="146" spans="1:16" s="619" customFormat="1" ht="48" x14ac:dyDescent="0.2">
      <c r="A146" s="598" t="s">
        <v>1907</v>
      </c>
      <c r="B146" s="620" t="s">
        <v>1908</v>
      </c>
      <c r="C146" s="598" t="s">
        <v>2015</v>
      </c>
      <c r="D146" s="598" t="s">
        <v>2202</v>
      </c>
      <c r="E146" s="621">
        <v>6000</v>
      </c>
      <c r="F146" s="599" t="s">
        <v>2203</v>
      </c>
      <c r="G146" s="598" t="s">
        <v>2204</v>
      </c>
      <c r="H146" s="598" t="s">
        <v>2079</v>
      </c>
      <c r="I146" s="598" t="s">
        <v>1912</v>
      </c>
      <c r="J146" s="617" t="s">
        <v>1913</v>
      </c>
      <c r="K146" s="598">
        <v>4</v>
      </c>
      <c r="L146" s="598">
        <v>8</v>
      </c>
      <c r="M146" s="621">
        <v>48000</v>
      </c>
      <c r="N146" s="598"/>
      <c r="O146" s="598"/>
      <c r="P146" s="618"/>
    </row>
    <row r="147" spans="1:16" s="619" customFormat="1" ht="48" x14ac:dyDescent="0.2">
      <c r="A147" s="598" t="s">
        <v>1907</v>
      </c>
      <c r="B147" s="620" t="s">
        <v>2073</v>
      </c>
      <c r="C147" s="598" t="s">
        <v>2015</v>
      </c>
      <c r="D147" s="598" t="s">
        <v>2202</v>
      </c>
      <c r="E147" s="621">
        <v>6000</v>
      </c>
      <c r="F147" s="599">
        <v>26617086</v>
      </c>
      <c r="G147" s="598" t="s">
        <v>2205</v>
      </c>
      <c r="H147" s="598" t="s">
        <v>2079</v>
      </c>
      <c r="I147" s="598" t="s">
        <v>1912</v>
      </c>
      <c r="J147" s="617" t="s">
        <v>1913</v>
      </c>
      <c r="K147" s="598">
        <v>7</v>
      </c>
      <c r="L147" s="598">
        <v>12</v>
      </c>
      <c r="M147" s="621">
        <v>72000</v>
      </c>
      <c r="N147" s="598"/>
      <c r="O147" s="598"/>
      <c r="P147" s="618"/>
    </row>
    <row r="148" spans="1:16" s="619" customFormat="1" ht="36" x14ac:dyDescent="0.2">
      <c r="A148" s="598" t="s">
        <v>1907</v>
      </c>
      <c r="B148" s="620" t="s">
        <v>1908</v>
      </c>
      <c r="C148" s="598" t="s">
        <v>2015</v>
      </c>
      <c r="D148" s="598" t="s">
        <v>2199</v>
      </c>
      <c r="E148" s="621">
        <v>3000</v>
      </c>
      <c r="F148" s="599">
        <v>70476412</v>
      </c>
      <c r="G148" s="598" t="s">
        <v>2206</v>
      </c>
      <c r="H148" s="598" t="s">
        <v>2038</v>
      </c>
      <c r="I148" s="598" t="s">
        <v>1912</v>
      </c>
      <c r="J148" s="617" t="s">
        <v>1913</v>
      </c>
      <c r="K148" s="598">
        <v>2</v>
      </c>
      <c r="L148" s="598">
        <v>4</v>
      </c>
      <c r="M148" s="621">
        <v>12000</v>
      </c>
      <c r="N148" s="598"/>
      <c r="O148" s="598"/>
      <c r="P148" s="618"/>
    </row>
    <row r="149" spans="1:16" s="619" customFormat="1" ht="36" x14ac:dyDescent="0.2">
      <c r="A149" s="598" t="s">
        <v>1907</v>
      </c>
      <c r="B149" s="620" t="s">
        <v>1908</v>
      </c>
      <c r="C149" s="598" t="s">
        <v>2015</v>
      </c>
      <c r="D149" s="598" t="s">
        <v>2202</v>
      </c>
      <c r="E149" s="621">
        <v>6000</v>
      </c>
      <c r="F149" s="599">
        <v>70118451</v>
      </c>
      <c r="G149" s="598" t="s">
        <v>2207</v>
      </c>
      <c r="H149" s="598" t="s">
        <v>2079</v>
      </c>
      <c r="I149" s="598" t="s">
        <v>1912</v>
      </c>
      <c r="J149" s="617" t="s">
        <v>1913</v>
      </c>
      <c r="K149" s="598">
        <v>6</v>
      </c>
      <c r="L149" s="598">
        <v>12</v>
      </c>
      <c r="M149" s="621">
        <v>72000</v>
      </c>
      <c r="N149" s="598"/>
      <c r="O149" s="598"/>
      <c r="P149" s="618"/>
    </row>
    <row r="150" spans="1:16" s="619" customFormat="1" ht="36" x14ac:dyDescent="0.2">
      <c r="A150" s="598" t="s">
        <v>1907</v>
      </c>
      <c r="B150" s="620" t="s">
        <v>2050</v>
      </c>
      <c r="C150" s="598" t="s">
        <v>2015</v>
      </c>
      <c r="D150" s="598" t="s">
        <v>2199</v>
      </c>
      <c r="E150" s="621">
        <v>1200</v>
      </c>
      <c r="F150" s="599">
        <v>47660900</v>
      </c>
      <c r="G150" s="598" t="s">
        <v>2208</v>
      </c>
      <c r="H150" s="598"/>
      <c r="I150" s="598"/>
      <c r="J150" s="617"/>
      <c r="K150" s="598">
        <v>4</v>
      </c>
      <c r="L150" s="598">
        <v>9</v>
      </c>
      <c r="M150" s="621">
        <v>10800</v>
      </c>
      <c r="N150" s="598"/>
      <c r="O150" s="598"/>
      <c r="P150" s="618"/>
    </row>
    <row r="151" spans="1:16" s="619" customFormat="1" ht="36" x14ac:dyDescent="0.2">
      <c r="A151" s="598" t="s">
        <v>1907</v>
      </c>
      <c r="B151" s="620" t="s">
        <v>1908</v>
      </c>
      <c r="C151" s="598" t="s">
        <v>2015</v>
      </c>
      <c r="D151" s="598" t="s">
        <v>2202</v>
      </c>
      <c r="E151" s="621">
        <v>6000</v>
      </c>
      <c r="F151" s="599">
        <v>42225240</v>
      </c>
      <c r="G151" s="598" t="s">
        <v>2209</v>
      </c>
      <c r="H151" s="598" t="s">
        <v>2210</v>
      </c>
      <c r="I151" s="598" t="s">
        <v>1912</v>
      </c>
      <c r="J151" s="617" t="s">
        <v>1913</v>
      </c>
      <c r="K151" s="598">
        <v>3</v>
      </c>
      <c r="L151" s="598">
        <v>6</v>
      </c>
      <c r="M151" s="621">
        <v>36000</v>
      </c>
      <c r="N151" s="598"/>
      <c r="O151" s="598"/>
      <c r="P151" s="618"/>
    </row>
    <row r="152" spans="1:16" s="619" customFormat="1" ht="48" x14ac:dyDescent="0.2">
      <c r="A152" s="598" t="s">
        <v>1907</v>
      </c>
      <c r="B152" s="620" t="s">
        <v>1908</v>
      </c>
      <c r="C152" s="598" t="s">
        <v>2015</v>
      </c>
      <c r="D152" s="598" t="s">
        <v>2199</v>
      </c>
      <c r="E152" s="621">
        <v>3000</v>
      </c>
      <c r="F152" s="599">
        <v>73946486</v>
      </c>
      <c r="G152" s="598" t="s">
        <v>2211</v>
      </c>
      <c r="H152" s="598" t="s">
        <v>2212</v>
      </c>
      <c r="I152" s="598" t="s">
        <v>1912</v>
      </c>
      <c r="J152" s="617" t="s">
        <v>1913</v>
      </c>
      <c r="K152" s="598">
        <v>2</v>
      </c>
      <c r="L152" s="598">
        <v>4</v>
      </c>
      <c r="M152" s="621">
        <v>12000</v>
      </c>
      <c r="N152" s="598"/>
      <c r="O152" s="598"/>
      <c r="P152" s="618"/>
    </row>
    <row r="153" spans="1:16" s="619" customFormat="1" ht="48" x14ac:dyDescent="0.2">
      <c r="A153" s="598" t="s">
        <v>1907</v>
      </c>
      <c r="B153" s="620" t="s">
        <v>2073</v>
      </c>
      <c r="C153" s="598" t="s">
        <v>2015</v>
      </c>
      <c r="D153" s="598" t="s">
        <v>2202</v>
      </c>
      <c r="E153" s="621">
        <v>6000</v>
      </c>
      <c r="F153" s="599">
        <v>33590013</v>
      </c>
      <c r="G153" s="598" t="s">
        <v>2213</v>
      </c>
      <c r="H153" s="598" t="s">
        <v>2079</v>
      </c>
      <c r="I153" s="598" t="s">
        <v>1912</v>
      </c>
      <c r="J153" s="617" t="s">
        <v>1913</v>
      </c>
      <c r="K153" s="598">
        <v>7</v>
      </c>
      <c r="L153" s="598">
        <v>12</v>
      </c>
      <c r="M153" s="621">
        <v>72000</v>
      </c>
      <c r="N153" s="598"/>
      <c r="O153" s="598"/>
      <c r="P153" s="618"/>
    </row>
    <row r="154" spans="1:16" s="619" customFormat="1" ht="24" x14ac:dyDescent="0.2">
      <c r="A154" s="598" t="s">
        <v>1907</v>
      </c>
      <c r="B154" s="620" t="s">
        <v>1908</v>
      </c>
      <c r="C154" s="598" t="s">
        <v>2015</v>
      </c>
      <c r="D154" s="598" t="s">
        <v>2214</v>
      </c>
      <c r="E154" s="621">
        <v>3000</v>
      </c>
      <c r="F154" s="599">
        <v>41475803</v>
      </c>
      <c r="G154" s="598" t="s">
        <v>2215</v>
      </c>
      <c r="H154" s="598" t="s">
        <v>2193</v>
      </c>
      <c r="I154" s="598" t="s">
        <v>1912</v>
      </c>
      <c r="J154" s="617" t="s">
        <v>1913</v>
      </c>
      <c r="K154" s="598">
        <v>7</v>
      </c>
      <c r="L154" s="598">
        <v>12</v>
      </c>
      <c r="M154" s="621">
        <v>36000</v>
      </c>
      <c r="N154" s="598"/>
      <c r="O154" s="598"/>
      <c r="P154" s="618"/>
    </row>
    <row r="155" spans="1:16" s="619" customFormat="1" ht="48" x14ac:dyDescent="0.2">
      <c r="A155" s="598" t="s">
        <v>1907</v>
      </c>
      <c r="B155" s="620" t="s">
        <v>1908</v>
      </c>
      <c r="C155" s="598" t="s">
        <v>2015</v>
      </c>
      <c r="D155" s="598" t="s">
        <v>2216</v>
      </c>
      <c r="E155" s="621">
        <v>2200</v>
      </c>
      <c r="F155" s="599">
        <v>46345036</v>
      </c>
      <c r="G155" s="598" t="s">
        <v>2217</v>
      </c>
      <c r="H155" s="598" t="s">
        <v>2218</v>
      </c>
      <c r="I155" s="598" t="s">
        <v>1912</v>
      </c>
      <c r="J155" s="617" t="s">
        <v>1913</v>
      </c>
      <c r="K155" s="598">
        <v>8</v>
      </c>
      <c r="L155" s="598">
        <v>12</v>
      </c>
      <c r="M155" s="621">
        <v>26400</v>
      </c>
      <c r="N155" s="598"/>
      <c r="O155" s="598"/>
      <c r="P155" s="618"/>
    </row>
    <row r="156" spans="1:16" s="619" customFormat="1" ht="24" x14ac:dyDescent="0.2">
      <c r="A156" s="598" t="s">
        <v>1907</v>
      </c>
      <c r="B156" s="620" t="s">
        <v>1908</v>
      </c>
      <c r="C156" s="598" t="s">
        <v>2015</v>
      </c>
      <c r="D156" s="598" t="s">
        <v>2219</v>
      </c>
      <c r="E156" s="621">
        <v>2500</v>
      </c>
      <c r="F156" s="599">
        <v>44590529</v>
      </c>
      <c r="G156" s="598" t="s">
        <v>2220</v>
      </c>
      <c r="H156" s="598" t="s">
        <v>2059</v>
      </c>
      <c r="I156" s="598" t="s">
        <v>1912</v>
      </c>
      <c r="J156" s="617" t="s">
        <v>1913</v>
      </c>
      <c r="K156" s="598">
        <v>8</v>
      </c>
      <c r="L156" s="598">
        <v>12</v>
      </c>
      <c r="M156" s="621">
        <v>30000</v>
      </c>
      <c r="N156" s="598"/>
      <c r="O156" s="598"/>
      <c r="P156" s="618"/>
    </row>
    <row r="157" spans="1:16" s="619" customFormat="1" ht="48" x14ac:dyDescent="0.2">
      <c r="A157" s="598" t="s">
        <v>1907</v>
      </c>
      <c r="B157" s="620" t="s">
        <v>1908</v>
      </c>
      <c r="C157" s="598" t="s">
        <v>2015</v>
      </c>
      <c r="D157" s="598" t="s">
        <v>2221</v>
      </c>
      <c r="E157" s="621">
        <v>2000</v>
      </c>
      <c r="F157" s="599">
        <v>71487380</v>
      </c>
      <c r="G157" s="598" t="s">
        <v>2222</v>
      </c>
      <c r="H157" s="598" t="s">
        <v>2223</v>
      </c>
      <c r="I157" s="598" t="s">
        <v>1912</v>
      </c>
      <c r="J157" s="617" t="s">
        <v>1913</v>
      </c>
      <c r="K157" s="598">
        <v>3</v>
      </c>
      <c r="L157" s="598">
        <v>7</v>
      </c>
      <c r="M157" s="621">
        <v>14000</v>
      </c>
      <c r="N157" s="598"/>
      <c r="O157" s="598"/>
      <c r="P157" s="618"/>
    </row>
    <row r="158" spans="1:16" s="619" customFormat="1" ht="48" x14ac:dyDescent="0.2">
      <c r="A158" s="598" t="s">
        <v>1907</v>
      </c>
      <c r="B158" s="620" t="s">
        <v>1908</v>
      </c>
      <c r="C158" s="598" t="s">
        <v>2015</v>
      </c>
      <c r="D158" s="598" t="s">
        <v>2224</v>
      </c>
      <c r="E158" s="621">
        <v>1900</v>
      </c>
      <c r="F158" s="599">
        <v>46190309</v>
      </c>
      <c r="G158" s="598" t="s">
        <v>2225</v>
      </c>
      <c r="H158" s="598" t="s">
        <v>2226</v>
      </c>
      <c r="I158" s="598" t="s">
        <v>1912</v>
      </c>
      <c r="J158" s="617" t="s">
        <v>1913</v>
      </c>
      <c r="K158" s="598">
        <v>8</v>
      </c>
      <c r="L158" s="598">
        <v>12</v>
      </c>
      <c r="M158" s="621">
        <v>22800</v>
      </c>
      <c r="N158" s="598"/>
      <c r="O158" s="598"/>
      <c r="P158" s="618"/>
    </row>
    <row r="159" spans="1:16" s="619" customFormat="1" ht="36" x14ac:dyDescent="0.2">
      <c r="A159" s="598" t="s">
        <v>1907</v>
      </c>
      <c r="B159" s="620" t="s">
        <v>1908</v>
      </c>
      <c r="C159" s="598" t="s">
        <v>2015</v>
      </c>
      <c r="D159" s="598" t="s">
        <v>2227</v>
      </c>
      <c r="E159" s="621">
        <v>3500</v>
      </c>
      <c r="F159" s="599">
        <v>46186283</v>
      </c>
      <c r="G159" s="598" t="s">
        <v>2228</v>
      </c>
      <c r="H159" s="598" t="s">
        <v>2059</v>
      </c>
      <c r="I159" s="598" t="s">
        <v>1912</v>
      </c>
      <c r="J159" s="617" t="s">
        <v>1913</v>
      </c>
      <c r="K159" s="598">
        <v>1</v>
      </c>
      <c r="L159" s="598">
        <v>3</v>
      </c>
      <c r="M159" s="621">
        <v>10500</v>
      </c>
      <c r="N159" s="598"/>
      <c r="O159" s="598"/>
      <c r="P159" s="618"/>
    </row>
    <row r="160" spans="1:16" s="619" customFormat="1" ht="24" x14ac:dyDescent="0.2">
      <c r="A160" s="598" t="s">
        <v>1907</v>
      </c>
      <c r="B160" s="620" t="s">
        <v>1908</v>
      </c>
      <c r="C160" s="598" t="s">
        <v>2015</v>
      </c>
      <c r="D160" s="598" t="s">
        <v>2216</v>
      </c>
      <c r="E160" s="621">
        <v>1600</v>
      </c>
      <c r="F160" s="599">
        <v>72806259</v>
      </c>
      <c r="G160" s="598" t="s">
        <v>2229</v>
      </c>
      <c r="H160" s="598"/>
      <c r="I160" s="598"/>
      <c r="J160" s="617"/>
      <c r="K160" s="598">
        <v>6</v>
      </c>
      <c r="L160" s="598">
        <v>12</v>
      </c>
      <c r="M160" s="621">
        <v>19200</v>
      </c>
      <c r="N160" s="598"/>
      <c r="O160" s="598"/>
      <c r="P160" s="618"/>
    </row>
    <row r="161" spans="1:16" s="619" customFormat="1" ht="36" x14ac:dyDescent="0.2">
      <c r="A161" s="598" t="s">
        <v>1907</v>
      </c>
      <c r="B161" s="620" t="s">
        <v>1908</v>
      </c>
      <c r="C161" s="598" t="s">
        <v>2015</v>
      </c>
      <c r="D161" s="598" t="s">
        <v>2230</v>
      </c>
      <c r="E161" s="621">
        <v>3500</v>
      </c>
      <c r="F161" s="599">
        <v>40207661</v>
      </c>
      <c r="G161" s="598" t="s">
        <v>2231</v>
      </c>
      <c r="H161" s="598" t="s">
        <v>2232</v>
      </c>
      <c r="I161" s="598" t="s">
        <v>1912</v>
      </c>
      <c r="J161" s="617" t="s">
        <v>1913</v>
      </c>
      <c r="K161" s="598">
        <v>9</v>
      </c>
      <c r="L161" s="598">
        <v>12</v>
      </c>
      <c r="M161" s="621">
        <v>42000</v>
      </c>
      <c r="N161" s="598"/>
      <c r="O161" s="598"/>
      <c r="P161" s="618"/>
    </row>
    <row r="162" spans="1:16" s="619" customFormat="1" ht="36" x14ac:dyDescent="0.2">
      <c r="A162" s="598" t="s">
        <v>1907</v>
      </c>
      <c r="B162" s="620" t="s">
        <v>1908</v>
      </c>
      <c r="C162" s="598" t="s">
        <v>2015</v>
      </c>
      <c r="D162" s="598" t="s">
        <v>2233</v>
      </c>
      <c r="E162" s="621">
        <v>1200</v>
      </c>
      <c r="F162" s="599">
        <v>33407685</v>
      </c>
      <c r="G162" s="598" t="s">
        <v>2234</v>
      </c>
      <c r="H162" s="598"/>
      <c r="I162" s="598"/>
      <c r="J162" s="617"/>
      <c r="K162" s="598">
        <v>8</v>
      </c>
      <c r="L162" s="598">
        <v>12</v>
      </c>
      <c r="M162" s="621">
        <v>14400</v>
      </c>
      <c r="N162" s="598"/>
      <c r="O162" s="598"/>
      <c r="P162" s="618"/>
    </row>
    <row r="163" spans="1:16" s="619" customFormat="1" ht="36" x14ac:dyDescent="0.2">
      <c r="A163" s="598" t="s">
        <v>1907</v>
      </c>
      <c r="B163" s="620" t="s">
        <v>1908</v>
      </c>
      <c r="C163" s="598" t="s">
        <v>2015</v>
      </c>
      <c r="D163" s="598" t="s">
        <v>2235</v>
      </c>
      <c r="E163" s="621">
        <v>5000</v>
      </c>
      <c r="F163" s="599">
        <v>16794375</v>
      </c>
      <c r="G163" s="598" t="s">
        <v>2236</v>
      </c>
      <c r="H163" s="598" t="s">
        <v>2034</v>
      </c>
      <c r="I163" s="598" t="s">
        <v>1912</v>
      </c>
      <c r="J163" s="617" t="s">
        <v>1913</v>
      </c>
      <c r="K163" s="598">
        <v>6</v>
      </c>
      <c r="L163" s="598">
        <v>7</v>
      </c>
      <c r="M163" s="621">
        <v>35000</v>
      </c>
      <c r="N163" s="598"/>
      <c r="O163" s="598"/>
      <c r="P163" s="618"/>
    </row>
    <row r="164" spans="1:16" s="619" customFormat="1" ht="24" x14ac:dyDescent="0.2">
      <c r="A164" s="598" t="s">
        <v>1907</v>
      </c>
      <c r="B164" s="620" t="s">
        <v>2050</v>
      </c>
      <c r="C164" s="598" t="s">
        <v>2015</v>
      </c>
      <c r="D164" s="598" t="s">
        <v>2237</v>
      </c>
      <c r="E164" s="621">
        <v>1300</v>
      </c>
      <c r="F164" s="599">
        <v>72558328</v>
      </c>
      <c r="G164" s="598" t="s">
        <v>2238</v>
      </c>
      <c r="H164" s="598"/>
      <c r="I164" s="598"/>
      <c r="J164" s="617"/>
      <c r="K164" s="598">
        <v>6</v>
      </c>
      <c r="L164" s="598">
        <v>12</v>
      </c>
      <c r="M164" s="621">
        <v>15600</v>
      </c>
      <c r="N164" s="598"/>
      <c r="O164" s="598"/>
      <c r="P164" s="618"/>
    </row>
    <row r="165" spans="1:16" s="619" customFormat="1" ht="48" x14ac:dyDescent="0.2">
      <c r="A165" s="598" t="s">
        <v>1907</v>
      </c>
      <c r="B165" s="620" t="s">
        <v>2050</v>
      </c>
      <c r="C165" s="598" t="s">
        <v>2015</v>
      </c>
      <c r="D165" s="598" t="s">
        <v>2239</v>
      </c>
      <c r="E165" s="621">
        <v>1900</v>
      </c>
      <c r="F165" s="599">
        <v>46069644</v>
      </c>
      <c r="G165" s="598" t="s">
        <v>2240</v>
      </c>
      <c r="H165" s="598" t="s">
        <v>2241</v>
      </c>
      <c r="I165" s="598" t="s">
        <v>1912</v>
      </c>
      <c r="J165" s="617" t="s">
        <v>1913</v>
      </c>
      <c r="K165" s="598">
        <v>2</v>
      </c>
      <c r="L165" s="598">
        <v>6</v>
      </c>
      <c r="M165" s="621">
        <v>11400</v>
      </c>
      <c r="N165" s="598"/>
      <c r="O165" s="598"/>
      <c r="P165" s="618"/>
    </row>
    <row r="166" spans="1:16" s="619" customFormat="1" ht="24" x14ac:dyDescent="0.2">
      <c r="A166" s="598" t="s">
        <v>1907</v>
      </c>
      <c r="B166" s="620" t="s">
        <v>1908</v>
      </c>
      <c r="C166" s="598" t="s">
        <v>2015</v>
      </c>
      <c r="D166" s="598" t="s">
        <v>2242</v>
      </c>
      <c r="E166" s="621">
        <v>1800</v>
      </c>
      <c r="F166" s="599">
        <v>70792149</v>
      </c>
      <c r="G166" s="598" t="s">
        <v>2243</v>
      </c>
      <c r="H166" s="598" t="s">
        <v>2038</v>
      </c>
      <c r="I166" s="598" t="s">
        <v>1912</v>
      </c>
      <c r="J166" s="617" t="s">
        <v>1913</v>
      </c>
      <c r="K166" s="598">
        <v>7</v>
      </c>
      <c r="L166" s="598">
        <v>9</v>
      </c>
      <c r="M166" s="621">
        <v>16200</v>
      </c>
      <c r="N166" s="598"/>
      <c r="O166" s="598"/>
      <c r="P166" s="618"/>
    </row>
    <row r="167" spans="1:16" s="619" customFormat="1" ht="36" x14ac:dyDescent="0.2">
      <c r="A167" s="598" t="s">
        <v>1907</v>
      </c>
      <c r="B167" s="620" t="s">
        <v>1908</v>
      </c>
      <c r="C167" s="598" t="s">
        <v>2015</v>
      </c>
      <c r="D167" s="598" t="s">
        <v>2242</v>
      </c>
      <c r="E167" s="621">
        <v>1500</v>
      </c>
      <c r="F167" s="599">
        <v>46745715</v>
      </c>
      <c r="G167" s="598" t="s">
        <v>2244</v>
      </c>
      <c r="H167" s="598" t="s">
        <v>2245</v>
      </c>
      <c r="I167" s="598" t="s">
        <v>1912</v>
      </c>
      <c r="J167" s="617" t="s">
        <v>1931</v>
      </c>
      <c r="K167" s="598">
        <v>8</v>
      </c>
      <c r="L167" s="598">
        <v>10</v>
      </c>
      <c r="M167" s="621">
        <v>15000</v>
      </c>
      <c r="N167" s="598"/>
      <c r="O167" s="598"/>
      <c r="P167" s="618"/>
    </row>
    <row r="168" spans="1:16" s="619" customFormat="1" ht="36" x14ac:dyDescent="0.2">
      <c r="A168" s="598" t="s">
        <v>1907</v>
      </c>
      <c r="B168" s="620" t="s">
        <v>1908</v>
      </c>
      <c r="C168" s="598" t="s">
        <v>2015</v>
      </c>
      <c r="D168" s="598" t="s">
        <v>2246</v>
      </c>
      <c r="E168" s="621">
        <v>2200</v>
      </c>
      <c r="F168" s="599">
        <v>71215471</v>
      </c>
      <c r="G168" s="598" t="s">
        <v>2247</v>
      </c>
      <c r="H168" s="598" t="s">
        <v>2034</v>
      </c>
      <c r="I168" s="598" t="s">
        <v>1912</v>
      </c>
      <c r="J168" s="617" t="s">
        <v>1913</v>
      </c>
      <c r="K168" s="598">
        <v>8</v>
      </c>
      <c r="L168" s="598">
        <v>12</v>
      </c>
      <c r="M168" s="621">
        <v>26400</v>
      </c>
      <c r="N168" s="598"/>
      <c r="O168" s="598"/>
      <c r="P168" s="618"/>
    </row>
    <row r="169" spans="1:16" s="619" customFormat="1" ht="36" x14ac:dyDescent="0.2">
      <c r="A169" s="598" t="s">
        <v>1907</v>
      </c>
      <c r="B169" s="620" t="s">
        <v>1908</v>
      </c>
      <c r="C169" s="598" t="s">
        <v>2015</v>
      </c>
      <c r="D169" s="598" t="s">
        <v>2248</v>
      </c>
      <c r="E169" s="621">
        <v>1400</v>
      </c>
      <c r="F169" s="599">
        <v>40877939</v>
      </c>
      <c r="G169" s="598" t="s">
        <v>2249</v>
      </c>
      <c r="H169" s="598" t="s">
        <v>2036</v>
      </c>
      <c r="I169" s="598" t="s">
        <v>1912</v>
      </c>
      <c r="J169" s="617" t="s">
        <v>1931</v>
      </c>
      <c r="K169" s="598">
        <v>6</v>
      </c>
      <c r="L169" s="598">
        <v>12</v>
      </c>
      <c r="M169" s="621">
        <v>16800</v>
      </c>
      <c r="N169" s="598"/>
      <c r="O169" s="598"/>
      <c r="P169" s="618"/>
    </row>
    <row r="170" spans="1:16" s="619" customFormat="1" ht="24" x14ac:dyDescent="0.2">
      <c r="A170" s="598" t="s">
        <v>1907</v>
      </c>
      <c r="B170" s="620" t="s">
        <v>1908</v>
      </c>
      <c r="C170" s="598" t="s">
        <v>2015</v>
      </c>
      <c r="D170" s="598" t="s">
        <v>2250</v>
      </c>
      <c r="E170" s="621">
        <v>2200</v>
      </c>
      <c r="F170" s="599">
        <v>70093602</v>
      </c>
      <c r="G170" s="598" t="s">
        <v>2251</v>
      </c>
      <c r="H170" s="598" t="s">
        <v>1988</v>
      </c>
      <c r="I170" s="598" t="s">
        <v>1912</v>
      </c>
      <c r="J170" s="617" t="s">
        <v>1913</v>
      </c>
      <c r="K170" s="598">
        <v>1</v>
      </c>
      <c r="L170" s="598">
        <v>3</v>
      </c>
      <c r="M170" s="621">
        <v>6600</v>
      </c>
      <c r="N170" s="598"/>
      <c r="O170" s="598"/>
      <c r="P170" s="618"/>
    </row>
    <row r="171" spans="1:16" s="619" customFormat="1" ht="36" x14ac:dyDescent="0.2">
      <c r="A171" s="598" t="s">
        <v>1907</v>
      </c>
      <c r="B171" s="620" t="s">
        <v>1908</v>
      </c>
      <c r="C171" s="598" t="s">
        <v>2015</v>
      </c>
      <c r="D171" s="598" t="s">
        <v>2252</v>
      </c>
      <c r="E171" s="621">
        <v>3000</v>
      </c>
      <c r="F171" s="599">
        <v>33408521</v>
      </c>
      <c r="G171" s="598" t="s">
        <v>2253</v>
      </c>
      <c r="H171" s="598"/>
      <c r="I171" s="598"/>
      <c r="J171" s="617"/>
      <c r="K171" s="598">
        <v>3</v>
      </c>
      <c r="L171" s="598">
        <v>4</v>
      </c>
      <c r="M171" s="621">
        <v>12000</v>
      </c>
      <c r="N171" s="598"/>
      <c r="O171" s="598"/>
      <c r="P171" s="618"/>
    </row>
    <row r="172" spans="1:16" s="619" customFormat="1" ht="36" x14ac:dyDescent="0.2">
      <c r="A172" s="598" t="s">
        <v>1907</v>
      </c>
      <c r="B172" s="620" t="s">
        <v>1908</v>
      </c>
      <c r="C172" s="598" t="s">
        <v>2015</v>
      </c>
      <c r="D172" s="598" t="s">
        <v>2221</v>
      </c>
      <c r="E172" s="621">
        <v>2000</v>
      </c>
      <c r="F172" s="599">
        <v>43553098</v>
      </c>
      <c r="G172" s="598" t="s">
        <v>2254</v>
      </c>
      <c r="H172" s="598" t="s">
        <v>2255</v>
      </c>
      <c r="I172" s="598" t="s">
        <v>1912</v>
      </c>
      <c r="J172" s="617" t="s">
        <v>1913</v>
      </c>
      <c r="K172" s="598">
        <v>1</v>
      </c>
      <c r="L172" s="598">
        <v>3</v>
      </c>
      <c r="M172" s="621">
        <v>6000</v>
      </c>
      <c r="N172" s="598"/>
      <c r="O172" s="598"/>
      <c r="P172" s="618"/>
    </row>
    <row r="173" spans="1:16" s="619" customFormat="1" ht="36" x14ac:dyDescent="0.2">
      <c r="A173" s="598" t="s">
        <v>1907</v>
      </c>
      <c r="B173" s="620" t="s">
        <v>1908</v>
      </c>
      <c r="C173" s="598" t="s">
        <v>2015</v>
      </c>
      <c r="D173" s="598" t="s">
        <v>2221</v>
      </c>
      <c r="E173" s="621">
        <v>2000</v>
      </c>
      <c r="F173" s="599">
        <v>47470954</v>
      </c>
      <c r="G173" s="598" t="s">
        <v>2256</v>
      </c>
      <c r="H173" s="598" t="s">
        <v>2245</v>
      </c>
      <c r="I173" s="598" t="s">
        <v>1912</v>
      </c>
      <c r="J173" s="617" t="s">
        <v>1931</v>
      </c>
      <c r="K173" s="598">
        <v>4</v>
      </c>
      <c r="L173" s="598">
        <v>8</v>
      </c>
      <c r="M173" s="621">
        <v>16000</v>
      </c>
      <c r="N173" s="598"/>
      <c r="O173" s="598"/>
      <c r="P173" s="618"/>
    </row>
    <row r="174" spans="1:16" s="619" customFormat="1" ht="36" x14ac:dyDescent="0.2">
      <c r="A174" s="598" t="s">
        <v>1907</v>
      </c>
      <c r="B174" s="620" t="s">
        <v>1908</v>
      </c>
      <c r="C174" s="598" t="s">
        <v>2015</v>
      </c>
      <c r="D174" s="598" t="s">
        <v>2257</v>
      </c>
      <c r="E174" s="621">
        <v>3700</v>
      </c>
      <c r="F174" s="599">
        <v>41927432</v>
      </c>
      <c r="G174" s="598" t="s">
        <v>2258</v>
      </c>
      <c r="H174" s="598" t="s">
        <v>1911</v>
      </c>
      <c r="I174" s="598" t="s">
        <v>1912</v>
      </c>
      <c r="J174" s="617" t="s">
        <v>1913</v>
      </c>
      <c r="K174" s="598">
        <v>1</v>
      </c>
      <c r="L174" s="598">
        <v>3</v>
      </c>
      <c r="M174" s="621">
        <v>11100</v>
      </c>
      <c r="N174" s="598"/>
      <c r="O174" s="598"/>
      <c r="P174" s="618"/>
    </row>
    <row r="175" spans="1:16" s="619" customFormat="1" ht="48" x14ac:dyDescent="0.2">
      <c r="A175" s="598" t="s">
        <v>1907</v>
      </c>
      <c r="B175" s="620" t="s">
        <v>1908</v>
      </c>
      <c r="C175" s="598" t="s">
        <v>2015</v>
      </c>
      <c r="D175" s="598" t="s">
        <v>2259</v>
      </c>
      <c r="E175" s="621">
        <v>2000</v>
      </c>
      <c r="F175" s="599">
        <v>75872872</v>
      </c>
      <c r="G175" s="598" t="s">
        <v>2260</v>
      </c>
      <c r="H175" s="598" t="s">
        <v>2255</v>
      </c>
      <c r="I175" s="598" t="s">
        <v>1912</v>
      </c>
      <c r="J175" s="617" t="s">
        <v>1913</v>
      </c>
      <c r="K175" s="598">
        <v>3</v>
      </c>
      <c r="L175" s="598">
        <v>6</v>
      </c>
      <c r="M175" s="621">
        <v>12000</v>
      </c>
      <c r="N175" s="598"/>
      <c r="O175" s="598"/>
      <c r="P175" s="618"/>
    </row>
    <row r="176" spans="1:16" s="619" customFormat="1" ht="24" x14ac:dyDescent="0.2">
      <c r="A176" s="598" t="s">
        <v>1907</v>
      </c>
      <c r="B176" s="620" t="s">
        <v>1908</v>
      </c>
      <c r="C176" s="598" t="s">
        <v>2015</v>
      </c>
      <c r="D176" s="598" t="s">
        <v>2261</v>
      </c>
      <c r="E176" s="621">
        <v>2000</v>
      </c>
      <c r="F176" s="599">
        <v>41337098</v>
      </c>
      <c r="G176" s="598" t="s">
        <v>2262</v>
      </c>
      <c r="H176" s="598" t="s">
        <v>2263</v>
      </c>
      <c r="I176" s="598" t="s">
        <v>1912</v>
      </c>
      <c r="J176" s="617" t="s">
        <v>1931</v>
      </c>
      <c r="K176" s="598">
        <v>1</v>
      </c>
      <c r="L176" s="598">
        <v>2</v>
      </c>
      <c r="M176" s="621">
        <v>4000</v>
      </c>
      <c r="N176" s="598"/>
      <c r="O176" s="598"/>
      <c r="P176" s="618"/>
    </row>
    <row r="177" spans="1:16" s="619" customFormat="1" ht="36" x14ac:dyDescent="0.2">
      <c r="A177" s="598" t="s">
        <v>1907</v>
      </c>
      <c r="B177" s="620" t="s">
        <v>1908</v>
      </c>
      <c r="C177" s="598" t="s">
        <v>2015</v>
      </c>
      <c r="D177" s="598" t="s">
        <v>2259</v>
      </c>
      <c r="E177" s="621">
        <v>2000</v>
      </c>
      <c r="F177" s="599">
        <v>44329222</v>
      </c>
      <c r="G177" s="598" t="s">
        <v>2264</v>
      </c>
      <c r="H177" s="598" t="s">
        <v>2263</v>
      </c>
      <c r="I177" s="598" t="s">
        <v>1912</v>
      </c>
      <c r="J177" s="617" t="s">
        <v>1931</v>
      </c>
      <c r="K177" s="598">
        <v>2</v>
      </c>
      <c r="L177" s="598">
        <v>5</v>
      </c>
      <c r="M177" s="621">
        <v>10000</v>
      </c>
      <c r="N177" s="598"/>
      <c r="O177" s="598"/>
      <c r="P177" s="618"/>
    </row>
    <row r="178" spans="1:16" s="619" customFormat="1" ht="24" x14ac:dyDescent="0.2">
      <c r="A178" s="598" t="s">
        <v>1907</v>
      </c>
      <c r="B178" s="620" t="s">
        <v>1908</v>
      </c>
      <c r="C178" s="598" t="s">
        <v>2015</v>
      </c>
      <c r="D178" s="598" t="s">
        <v>2259</v>
      </c>
      <c r="E178" s="621">
        <v>2000</v>
      </c>
      <c r="F178" s="599">
        <v>77473850</v>
      </c>
      <c r="G178" s="598" t="s">
        <v>2265</v>
      </c>
      <c r="H178" s="598" t="s">
        <v>2266</v>
      </c>
      <c r="I178" s="598" t="s">
        <v>1912</v>
      </c>
      <c r="J178" s="617" t="s">
        <v>1913</v>
      </c>
      <c r="K178" s="598">
        <v>2</v>
      </c>
      <c r="L178" s="598">
        <v>5</v>
      </c>
      <c r="M178" s="621">
        <v>10000</v>
      </c>
      <c r="N178" s="598"/>
      <c r="O178" s="598"/>
      <c r="P178" s="618"/>
    </row>
    <row r="179" spans="1:16" s="619" customFormat="1" ht="36" x14ac:dyDescent="0.2">
      <c r="A179" s="598" t="s">
        <v>1907</v>
      </c>
      <c r="B179" s="620" t="s">
        <v>1908</v>
      </c>
      <c r="C179" s="598" t="s">
        <v>2015</v>
      </c>
      <c r="D179" s="598" t="s">
        <v>2259</v>
      </c>
      <c r="E179" s="621">
        <v>2000</v>
      </c>
      <c r="F179" s="599">
        <v>44819798</v>
      </c>
      <c r="G179" s="598" t="s">
        <v>2267</v>
      </c>
      <c r="H179" s="598" t="s">
        <v>2268</v>
      </c>
      <c r="I179" s="598" t="s">
        <v>1912</v>
      </c>
      <c r="J179" s="617" t="s">
        <v>1913</v>
      </c>
      <c r="K179" s="598">
        <v>3</v>
      </c>
      <c r="L179" s="598">
        <v>7</v>
      </c>
      <c r="M179" s="621">
        <v>14000</v>
      </c>
      <c r="N179" s="598"/>
      <c r="O179" s="598"/>
      <c r="P179" s="618"/>
    </row>
    <row r="180" spans="1:16" s="619" customFormat="1" ht="24" x14ac:dyDescent="0.2">
      <c r="A180" s="598" t="s">
        <v>1907</v>
      </c>
      <c r="B180" s="620" t="s">
        <v>1908</v>
      </c>
      <c r="C180" s="598" t="s">
        <v>2015</v>
      </c>
      <c r="D180" s="598" t="s">
        <v>2259</v>
      </c>
      <c r="E180" s="621">
        <v>2000</v>
      </c>
      <c r="F180" s="599">
        <v>71932195</v>
      </c>
      <c r="G180" s="598" t="s">
        <v>2269</v>
      </c>
      <c r="H180" s="598" t="s">
        <v>2270</v>
      </c>
      <c r="I180" s="598" t="s">
        <v>1912</v>
      </c>
      <c r="J180" s="617" t="s">
        <v>1913</v>
      </c>
      <c r="K180" s="598">
        <v>3</v>
      </c>
      <c r="L180" s="598">
        <v>7</v>
      </c>
      <c r="M180" s="621">
        <v>24000</v>
      </c>
      <c r="N180" s="598"/>
      <c r="O180" s="598"/>
      <c r="P180" s="618"/>
    </row>
    <row r="181" spans="1:16" s="619" customFormat="1" ht="36" x14ac:dyDescent="0.2">
      <c r="A181" s="598" t="s">
        <v>1907</v>
      </c>
      <c r="B181" s="620" t="s">
        <v>1908</v>
      </c>
      <c r="C181" s="598" t="s">
        <v>2015</v>
      </c>
      <c r="D181" s="598" t="s">
        <v>2271</v>
      </c>
      <c r="E181" s="621">
        <v>3500</v>
      </c>
      <c r="F181" s="599">
        <v>46305017</v>
      </c>
      <c r="G181" s="598" t="s">
        <v>2272</v>
      </c>
      <c r="H181" s="598" t="s">
        <v>2182</v>
      </c>
      <c r="I181" s="598" t="s">
        <v>1912</v>
      </c>
      <c r="J181" s="617" t="s">
        <v>1913</v>
      </c>
      <c r="K181" s="598">
        <v>7</v>
      </c>
      <c r="L181" s="598">
        <v>12</v>
      </c>
      <c r="M181" s="621">
        <v>42000</v>
      </c>
      <c r="N181" s="598"/>
      <c r="O181" s="598"/>
      <c r="P181" s="618"/>
    </row>
    <row r="182" spans="1:16" s="619" customFormat="1" ht="36" x14ac:dyDescent="0.2">
      <c r="A182" s="598" t="s">
        <v>1907</v>
      </c>
      <c r="B182" s="620" t="s">
        <v>1908</v>
      </c>
      <c r="C182" s="598" t="s">
        <v>2015</v>
      </c>
      <c r="D182" s="598" t="s">
        <v>2221</v>
      </c>
      <c r="E182" s="621">
        <v>2000</v>
      </c>
      <c r="F182" s="599">
        <v>43024141</v>
      </c>
      <c r="G182" s="598" t="s">
        <v>2273</v>
      </c>
      <c r="H182" s="598" t="s">
        <v>2059</v>
      </c>
      <c r="I182" s="598" t="s">
        <v>1912</v>
      </c>
      <c r="J182" s="617" t="s">
        <v>1913</v>
      </c>
      <c r="K182" s="598">
        <v>3</v>
      </c>
      <c r="L182" s="598">
        <v>7</v>
      </c>
      <c r="M182" s="621">
        <v>14000</v>
      </c>
      <c r="N182" s="598"/>
      <c r="O182" s="598"/>
      <c r="P182" s="618"/>
    </row>
    <row r="183" spans="1:16" s="619" customFormat="1" ht="36" x14ac:dyDescent="0.2">
      <c r="A183" s="598" t="s">
        <v>1907</v>
      </c>
      <c r="B183" s="620" t="s">
        <v>1908</v>
      </c>
      <c r="C183" s="598" t="s">
        <v>2015</v>
      </c>
      <c r="D183" s="598" t="s">
        <v>2221</v>
      </c>
      <c r="E183" s="621">
        <v>2000</v>
      </c>
      <c r="F183" s="599">
        <v>43803564</v>
      </c>
      <c r="G183" s="598" t="s">
        <v>2274</v>
      </c>
      <c r="H183" s="598" t="s">
        <v>2255</v>
      </c>
      <c r="I183" s="598" t="s">
        <v>1912</v>
      </c>
      <c r="J183" s="617" t="s">
        <v>1913</v>
      </c>
      <c r="K183" s="598">
        <v>1</v>
      </c>
      <c r="L183" s="598">
        <v>3</v>
      </c>
      <c r="M183" s="621">
        <v>6000</v>
      </c>
      <c r="N183" s="598"/>
      <c r="O183" s="598"/>
      <c r="P183" s="618"/>
    </row>
    <row r="184" spans="1:16" s="619" customFormat="1" ht="36" x14ac:dyDescent="0.2">
      <c r="A184" s="598" t="s">
        <v>1907</v>
      </c>
      <c r="B184" s="620" t="s">
        <v>2275</v>
      </c>
      <c r="C184" s="598" t="s">
        <v>2015</v>
      </c>
      <c r="D184" s="598" t="s">
        <v>2276</v>
      </c>
      <c r="E184" s="621">
        <v>3000</v>
      </c>
      <c r="F184" s="599">
        <v>10201982</v>
      </c>
      <c r="G184" s="598" t="s">
        <v>2277</v>
      </c>
      <c r="H184" s="598" t="s">
        <v>1911</v>
      </c>
      <c r="I184" s="598" t="s">
        <v>1912</v>
      </c>
      <c r="J184" s="617" t="s">
        <v>1913</v>
      </c>
      <c r="K184" s="598">
        <v>7</v>
      </c>
      <c r="L184" s="598">
        <v>10</v>
      </c>
      <c r="M184" s="621">
        <v>30000</v>
      </c>
      <c r="N184" s="598"/>
      <c r="O184" s="598"/>
      <c r="P184" s="618"/>
    </row>
    <row r="185" spans="1:16" s="619" customFormat="1" ht="24" x14ac:dyDescent="0.2">
      <c r="A185" s="598" t="s">
        <v>1907</v>
      </c>
      <c r="B185" s="620" t="s">
        <v>1908</v>
      </c>
      <c r="C185" s="598" t="s">
        <v>2015</v>
      </c>
      <c r="D185" s="598" t="s">
        <v>2221</v>
      </c>
      <c r="E185" s="621">
        <v>2000</v>
      </c>
      <c r="F185" s="599">
        <v>47147437</v>
      </c>
      <c r="G185" s="598" t="s">
        <v>2278</v>
      </c>
      <c r="H185" s="598" t="s">
        <v>2279</v>
      </c>
      <c r="I185" s="598" t="s">
        <v>1912</v>
      </c>
      <c r="J185" s="617" t="s">
        <v>1913</v>
      </c>
      <c r="K185" s="598">
        <v>2</v>
      </c>
      <c r="L185" s="598">
        <v>5</v>
      </c>
      <c r="M185" s="621">
        <v>10000</v>
      </c>
      <c r="N185" s="598"/>
      <c r="O185" s="598"/>
      <c r="P185" s="618"/>
    </row>
    <row r="186" spans="1:16" s="619" customFormat="1" ht="36" x14ac:dyDescent="0.2">
      <c r="A186" s="598" t="s">
        <v>1907</v>
      </c>
      <c r="B186" s="620" t="s">
        <v>1908</v>
      </c>
      <c r="C186" s="598" t="s">
        <v>2015</v>
      </c>
      <c r="D186" s="598" t="s">
        <v>2280</v>
      </c>
      <c r="E186" s="621">
        <v>1400</v>
      </c>
      <c r="F186" s="599">
        <v>43998321</v>
      </c>
      <c r="G186" s="598" t="s">
        <v>2281</v>
      </c>
      <c r="H186" s="598" t="s">
        <v>2104</v>
      </c>
      <c r="I186" s="598" t="s">
        <v>1912</v>
      </c>
      <c r="J186" s="617" t="s">
        <v>1913</v>
      </c>
      <c r="K186" s="598">
        <v>4</v>
      </c>
      <c r="L186" s="598">
        <v>8</v>
      </c>
      <c r="M186" s="621">
        <v>11200</v>
      </c>
      <c r="N186" s="598"/>
      <c r="O186" s="598"/>
      <c r="P186" s="618"/>
    </row>
    <row r="187" spans="1:16" s="619" customFormat="1" ht="36" x14ac:dyDescent="0.2">
      <c r="A187" s="598" t="s">
        <v>1907</v>
      </c>
      <c r="B187" s="620" t="s">
        <v>1908</v>
      </c>
      <c r="C187" s="598" t="s">
        <v>2015</v>
      </c>
      <c r="D187" s="598" t="s">
        <v>2221</v>
      </c>
      <c r="E187" s="621">
        <v>2000</v>
      </c>
      <c r="F187" s="599">
        <v>47663044</v>
      </c>
      <c r="G187" s="598" t="s">
        <v>2282</v>
      </c>
      <c r="H187" s="598" t="s">
        <v>1985</v>
      </c>
      <c r="I187" s="598" t="s">
        <v>1912</v>
      </c>
      <c r="J187" s="617" t="s">
        <v>1913</v>
      </c>
      <c r="K187" s="598">
        <v>3</v>
      </c>
      <c r="L187" s="598">
        <v>7</v>
      </c>
      <c r="M187" s="621">
        <v>14000</v>
      </c>
      <c r="N187" s="598"/>
      <c r="O187" s="598"/>
      <c r="P187" s="618"/>
    </row>
    <row r="188" spans="1:16" s="619" customFormat="1" ht="36" x14ac:dyDescent="0.2">
      <c r="A188" s="598" t="s">
        <v>1907</v>
      </c>
      <c r="B188" s="620" t="s">
        <v>1908</v>
      </c>
      <c r="C188" s="598" t="s">
        <v>2015</v>
      </c>
      <c r="D188" s="598" t="s">
        <v>2221</v>
      </c>
      <c r="E188" s="621">
        <v>2000</v>
      </c>
      <c r="F188" s="599">
        <v>43264953</v>
      </c>
      <c r="G188" s="598" t="s">
        <v>2283</v>
      </c>
      <c r="H188" s="598" t="s">
        <v>2059</v>
      </c>
      <c r="I188" s="598" t="s">
        <v>1912</v>
      </c>
      <c r="J188" s="617" t="s">
        <v>1913</v>
      </c>
      <c r="K188" s="598">
        <v>6</v>
      </c>
      <c r="L188" s="598">
        <v>8</v>
      </c>
      <c r="M188" s="621">
        <v>16000</v>
      </c>
      <c r="N188" s="598"/>
      <c r="O188" s="598"/>
      <c r="P188" s="618"/>
    </row>
    <row r="189" spans="1:16" s="619" customFormat="1" ht="24" x14ac:dyDescent="0.2">
      <c r="A189" s="598" t="s">
        <v>1907</v>
      </c>
      <c r="B189" s="620" t="s">
        <v>1908</v>
      </c>
      <c r="C189" s="598" t="s">
        <v>2015</v>
      </c>
      <c r="D189" s="598" t="s">
        <v>2284</v>
      </c>
      <c r="E189" s="621">
        <v>1100</v>
      </c>
      <c r="F189" s="599">
        <v>33408465</v>
      </c>
      <c r="G189" s="598" t="s">
        <v>2285</v>
      </c>
      <c r="H189" s="598"/>
      <c r="I189" s="598"/>
      <c r="J189" s="617"/>
      <c r="K189" s="598">
        <v>1</v>
      </c>
      <c r="L189" s="598">
        <v>12</v>
      </c>
      <c r="M189" s="621"/>
      <c r="N189" s="598"/>
      <c r="O189" s="598"/>
      <c r="P189" s="618"/>
    </row>
    <row r="190" spans="1:16" s="619" customFormat="1" ht="36" x14ac:dyDescent="0.2">
      <c r="A190" s="598" t="s">
        <v>1907</v>
      </c>
      <c r="B190" s="620" t="s">
        <v>1908</v>
      </c>
      <c r="C190" s="598" t="s">
        <v>2015</v>
      </c>
      <c r="D190" s="598" t="s">
        <v>2284</v>
      </c>
      <c r="E190" s="621">
        <v>1100</v>
      </c>
      <c r="F190" s="599">
        <v>33431850</v>
      </c>
      <c r="G190" s="598" t="s">
        <v>2286</v>
      </c>
      <c r="H190" s="598" t="s">
        <v>2287</v>
      </c>
      <c r="I190" s="598" t="s">
        <v>1912</v>
      </c>
      <c r="J190" s="617" t="s">
        <v>1931</v>
      </c>
      <c r="K190" s="598">
        <v>1</v>
      </c>
      <c r="L190" s="598">
        <v>12</v>
      </c>
      <c r="M190" s="621"/>
      <c r="N190" s="598"/>
      <c r="O190" s="598"/>
      <c r="P190" s="618"/>
    </row>
    <row r="191" spans="1:16" s="619" customFormat="1" ht="24" x14ac:dyDescent="0.2">
      <c r="A191" s="598" t="s">
        <v>1907</v>
      </c>
      <c r="B191" s="620" t="s">
        <v>1908</v>
      </c>
      <c r="C191" s="598" t="s">
        <v>2015</v>
      </c>
      <c r="D191" s="598" t="s">
        <v>2117</v>
      </c>
      <c r="E191" s="621">
        <v>5000</v>
      </c>
      <c r="F191" s="599">
        <v>45482835</v>
      </c>
      <c r="G191" s="598" t="s">
        <v>2288</v>
      </c>
      <c r="H191" s="598" t="s">
        <v>1911</v>
      </c>
      <c r="I191" s="598" t="s">
        <v>1912</v>
      </c>
      <c r="J191" s="617" t="s">
        <v>1913</v>
      </c>
      <c r="K191" s="598">
        <v>1</v>
      </c>
      <c r="L191" s="598">
        <v>3</v>
      </c>
      <c r="M191" s="621"/>
      <c r="N191" s="598"/>
      <c r="O191" s="598"/>
      <c r="P191" s="618"/>
    </row>
    <row r="192" spans="1:16" s="619" customFormat="1" ht="24" x14ac:dyDescent="0.2">
      <c r="A192" s="598" t="s">
        <v>1907</v>
      </c>
      <c r="B192" s="620" t="s">
        <v>1908</v>
      </c>
      <c r="C192" s="598" t="s">
        <v>2015</v>
      </c>
      <c r="D192" s="598" t="s">
        <v>2289</v>
      </c>
      <c r="E192" s="621">
        <v>5000</v>
      </c>
      <c r="F192" s="599">
        <v>42357686</v>
      </c>
      <c r="G192" s="598" t="s">
        <v>2290</v>
      </c>
      <c r="H192" s="598" t="s">
        <v>1911</v>
      </c>
      <c r="I192" s="598" t="s">
        <v>1912</v>
      </c>
      <c r="J192" s="617" t="s">
        <v>1913</v>
      </c>
      <c r="K192" s="598">
        <v>6</v>
      </c>
      <c r="L192" s="598">
        <v>9</v>
      </c>
      <c r="M192" s="621">
        <v>45000</v>
      </c>
      <c r="N192" s="598"/>
      <c r="O192" s="598"/>
      <c r="P192" s="618"/>
    </row>
    <row r="193" spans="1:16" s="619" customFormat="1" ht="36" x14ac:dyDescent="0.2">
      <c r="A193" s="598" t="s">
        <v>1907</v>
      </c>
      <c r="B193" s="620" t="s">
        <v>1908</v>
      </c>
      <c r="C193" s="598" t="s">
        <v>2015</v>
      </c>
      <c r="D193" s="598" t="s">
        <v>2289</v>
      </c>
      <c r="E193" s="621">
        <v>5000</v>
      </c>
      <c r="F193" s="599">
        <v>42781614</v>
      </c>
      <c r="G193" s="598" t="s">
        <v>2291</v>
      </c>
      <c r="H193" s="598" t="s">
        <v>1911</v>
      </c>
      <c r="I193" s="598" t="s">
        <v>1912</v>
      </c>
      <c r="J193" s="617" t="s">
        <v>1913</v>
      </c>
      <c r="K193" s="598">
        <v>4</v>
      </c>
      <c r="L193" s="598">
        <v>6</v>
      </c>
      <c r="M193" s="621">
        <v>30000</v>
      </c>
      <c r="N193" s="598"/>
      <c r="O193" s="598"/>
      <c r="P193" s="618"/>
    </row>
    <row r="194" spans="1:16" s="619" customFormat="1" ht="48" x14ac:dyDescent="0.2">
      <c r="A194" s="598" t="s">
        <v>1907</v>
      </c>
      <c r="B194" s="620" t="s">
        <v>1908</v>
      </c>
      <c r="C194" s="598" t="s">
        <v>2015</v>
      </c>
      <c r="D194" s="598" t="s">
        <v>2216</v>
      </c>
      <c r="E194" s="621">
        <v>2500</v>
      </c>
      <c r="F194" s="599">
        <v>46817096</v>
      </c>
      <c r="G194" s="598" t="s">
        <v>2292</v>
      </c>
      <c r="H194" s="598" t="s">
        <v>2038</v>
      </c>
      <c r="I194" s="598" t="s">
        <v>1912</v>
      </c>
      <c r="J194" s="617" t="s">
        <v>1913</v>
      </c>
      <c r="K194" s="598">
        <v>3</v>
      </c>
      <c r="L194" s="598">
        <v>5</v>
      </c>
      <c r="M194" s="621">
        <v>12500</v>
      </c>
      <c r="N194" s="598"/>
      <c r="O194" s="598"/>
      <c r="P194" s="618"/>
    </row>
    <row r="195" spans="1:16" s="619" customFormat="1" ht="24" x14ac:dyDescent="0.2">
      <c r="A195" s="598" t="s">
        <v>1907</v>
      </c>
      <c r="B195" s="620" t="s">
        <v>1908</v>
      </c>
      <c r="C195" s="598" t="s">
        <v>2015</v>
      </c>
      <c r="D195" s="598" t="s">
        <v>2293</v>
      </c>
      <c r="E195" s="621">
        <v>3500</v>
      </c>
      <c r="F195" s="599">
        <v>42664441</v>
      </c>
      <c r="G195" s="598" t="s">
        <v>2294</v>
      </c>
      <c r="H195" s="598" t="s">
        <v>2193</v>
      </c>
      <c r="I195" s="598" t="s">
        <v>1912</v>
      </c>
      <c r="J195" s="617" t="s">
        <v>1913</v>
      </c>
      <c r="K195" s="598">
        <v>6</v>
      </c>
      <c r="L195" s="598">
        <v>8</v>
      </c>
      <c r="M195" s="621">
        <v>28000</v>
      </c>
      <c r="N195" s="598"/>
      <c r="O195" s="598"/>
      <c r="P195" s="618"/>
    </row>
    <row r="196" spans="1:16" s="619" customFormat="1" ht="36" x14ac:dyDescent="0.2">
      <c r="A196" s="598" t="s">
        <v>1907</v>
      </c>
      <c r="B196" s="620" t="s">
        <v>1908</v>
      </c>
      <c r="C196" s="598" t="s">
        <v>2015</v>
      </c>
      <c r="D196" s="598" t="s">
        <v>2289</v>
      </c>
      <c r="E196" s="621">
        <v>2000</v>
      </c>
      <c r="F196" s="599">
        <v>40483986</v>
      </c>
      <c r="G196" s="598" t="s">
        <v>2295</v>
      </c>
      <c r="H196" s="598" t="s">
        <v>2059</v>
      </c>
      <c r="I196" s="598" t="s">
        <v>1912</v>
      </c>
      <c r="J196" s="617" t="s">
        <v>1913</v>
      </c>
      <c r="K196" s="598">
        <v>6</v>
      </c>
      <c r="L196" s="598">
        <v>9</v>
      </c>
      <c r="M196" s="621">
        <v>18000</v>
      </c>
      <c r="N196" s="598"/>
      <c r="O196" s="598"/>
      <c r="P196" s="618"/>
    </row>
    <row r="197" spans="1:16" s="619" customFormat="1" ht="36" x14ac:dyDescent="0.2">
      <c r="A197" s="598" t="s">
        <v>1907</v>
      </c>
      <c r="B197" s="620" t="s">
        <v>1908</v>
      </c>
      <c r="C197" s="598" t="s">
        <v>2015</v>
      </c>
      <c r="D197" s="598" t="s">
        <v>2296</v>
      </c>
      <c r="E197" s="621">
        <v>4000</v>
      </c>
      <c r="F197" s="599">
        <v>41907778</v>
      </c>
      <c r="G197" s="598" t="s">
        <v>2297</v>
      </c>
      <c r="H197" s="598" t="s">
        <v>2298</v>
      </c>
      <c r="I197" s="598" t="s">
        <v>1912</v>
      </c>
      <c r="J197" s="617" t="s">
        <v>1913</v>
      </c>
      <c r="K197" s="598">
        <v>7</v>
      </c>
      <c r="L197" s="598">
        <v>10</v>
      </c>
      <c r="M197" s="621">
        <v>40000</v>
      </c>
      <c r="N197" s="598"/>
      <c r="O197" s="598"/>
      <c r="P197" s="618"/>
    </row>
    <row r="198" spans="1:16" s="619" customFormat="1" ht="36" x14ac:dyDescent="0.2">
      <c r="A198" s="598" t="s">
        <v>1907</v>
      </c>
      <c r="B198" s="620" t="s">
        <v>1908</v>
      </c>
      <c r="C198" s="598" t="s">
        <v>2015</v>
      </c>
      <c r="D198" s="598" t="s">
        <v>2299</v>
      </c>
      <c r="E198" s="621">
        <v>3000</v>
      </c>
      <c r="F198" s="599">
        <v>46124966</v>
      </c>
      <c r="G198" s="598" t="s">
        <v>2300</v>
      </c>
      <c r="H198" s="598" t="s">
        <v>1911</v>
      </c>
      <c r="I198" s="598" t="s">
        <v>1912</v>
      </c>
      <c r="J198" s="617" t="s">
        <v>1913</v>
      </c>
      <c r="K198" s="598">
        <v>7</v>
      </c>
      <c r="L198" s="598">
        <v>10</v>
      </c>
      <c r="M198" s="621">
        <v>30000</v>
      </c>
      <c r="N198" s="598"/>
      <c r="O198" s="598"/>
      <c r="P198" s="618"/>
    </row>
    <row r="199" spans="1:16" s="619" customFormat="1" ht="36" x14ac:dyDescent="0.2">
      <c r="A199" s="598" t="s">
        <v>1907</v>
      </c>
      <c r="B199" s="620" t="s">
        <v>1908</v>
      </c>
      <c r="C199" s="598" t="s">
        <v>2015</v>
      </c>
      <c r="D199" s="598" t="s">
        <v>2299</v>
      </c>
      <c r="E199" s="621">
        <v>1200</v>
      </c>
      <c r="F199" s="599">
        <v>48135298</v>
      </c>
      <c r="G199" s="598" t="s">
        <v>2301</v>
      </c>
      <c r="H199" s="598" t="s">
        <v>2036</v>
      </c>
      <c r="I199" s="598" t="s">
        <v>1912</v>
      </c>
      <c r="J199" s="617" t="s">
        <v>1931</v>
      </c>
      <c r="K199" s="598">
        <v>7</v>
      </c>
      <c r="L199" s="598">
        <v>10</v>
      </c>
      <c r="M199" s="621">
        <v>12000</v>
      </c>
      <c r="N199" s="598"/>
      <c r="O199" s="598"/>
      <c r="P199" s="618"/>
    </row>
    <row r="200" spans="1:16" s="619" customFormat="1" ht="24" x14ac:dyDescent="0.2">
      <c r="A200" s="598" t="s">
        <v>1907</v>
      </c>
      <c r="B200" s="620" t="s">
        <v>1908</v>
      </c>
      <c r="C200" s="598" t="s">
        <v>2015</v>
      </c>
      <c r="D200" s="598" t="s">
        <v>2302</v>
      </c>
      <c r="E200" s="621">
        <v>5200</v>
      </c>
      <c r="F200" s="599">
        <v>40703679</v>
      </c>
      <c r="G200" s="598" t="s">
        <v>2303</v>
      </c>
      <c r="H200" s="598" t="s">
        <v>1922</v>
      </c>
      <c r="I200" s="598" t="s">
        <v>1912</v>
      </c>
      <c r="J200" s="617" t="s">
        <v>1913</v>
      </c>
      <c r="K200" s="598">
        <v>1</v>
      </c>
      <c r="L200" s="598">
        <v>4</v>
      </c>
      <c r="M200" s="621">
        <v>20800</v>
      </c>
      <c r="N200" s="598"/>
      <c r="O200" s="598"/>
      <c r="P200" s="618"/>
    </row>
    <row r="201" spans="1:16" s="619" customFormat="1" ht="24" x14ac:dyDescent="0.2">
      <c r="A201" s="598" t="s">
        <v>1907</v>
      </c>
      <c r="B201" s="620" t="s">
        <v>1908</v>
      </c>
      <c r="C201" s="598" t="s">
        <v>2015</v>
      </c>
      <c r="D201" s="598" t="s">
        <v>2304</v>
      </c>
      <c r="E201" s="621">
        <v>5000</v>
      </c>
      <c r="F201" s="599">
        <v>16650985</v>
      </c>
      <c r="G201" s="598" t="s">
        <v>2305</v>
      </c>
      <c r="H201" s="598" t="s">
        <v>2306</v>
      </c>
      <c r="I201" s="598" t="s">
        <v>1912</v>
      </c>
      <c r="J201" s="617" t="s">
        <v>1913</v>
      </c>
      <c r="K201" s="598">
        <v>5</v>
      </c>
      <c r="L201" s="598">
        <v>6</v>
      </c>
      <c r="M201" s="621">
        <v>30000</v>
      </c>
      <c r="N201" s="598"/>
      <c r="O201" s="598"/>
      <c r="P201" s="618"/>
    </row>
    <row r="202" spans="1:16" s="619" customFormat="1" ht="36" x14ac:dyDescent="0.2">
      <c r="A202" s="598" t="s">
        <v>1907</v>
      </c>
      <c r="B202" s="620" t="s">
        <v>1908</v>
      </c>
      <c r="C202" s="598" t="s">
        <v>2015</v>
      </c>
      <c r="D202" s="598" t="s">
        <v>2307</v>
      </c>
      <c r="E202" s="621">
        <v>1600</v>
      </c>
      <c r="F202" s="599">
        <v>41402419</v>
      </c>
      <c r="G202" s="598" t="s">
        <v>2308</v>
      </c>
      <c r="H202" s="598" t="s">
        <v>2104</v>
      </c>
      <c r="I202" s="598" t="s">
        <v>1912</v>
      </c>
      <c r="J202" s="617" t="s">
        <v>1931</v>
      </c>
      <c r="K202" s="598">
        <v>4</v>
      </c>
      <c r="L202" s="598">
        <v>8</v>
      </c>
      <c r="M202" s="621">
        <v>12800</v>
      </c>
      <c r="N202" s="598"/>
      <c r="O202" s="598"/>
      <c r="P202" s="618"/>
    </row>
    <row r="203" spans="1:16" s="619" customFormat="1" ht="36" x14ac:dyDescent="0.2">
      <c r="A203" s="598" t="s">
        <v>1907</v>
      </c>
      <c r="B203" s="620" t="s">
        <v>1908</v>
      </c>
      <c r="C203" s="598" t="s">
        <v>2015</v>
      </c>
      <c r="D203" s="598" t="s">
        <v>2139</v>
      </c>
      <c r="E203" s="621">
        <v>1900</v>
      </c>
      <c r="F203" s="599">
        <v>41955070</v>
      </c>
      <c r="G203" s="598" t="s">
        <v>2309</v>
      </c>
      <c r="H203" s="598" t="s">
        <v>2034</v>
      </c>
      <c r="I203" s="598" t="s">
        <v>1912</v>
      </c>
      <c r="J203" s="617" t="s">
        <v>1913</v>
      </c>
      <c r="K203" s="598">
        <v>4</v>
      </c>
      <c r="L203" s="598">
        <v>8</v>
      </c>
      <c r="M203" s="621">
        <v>15200</v>
      </c>
      <c r="N203" s="598"/>
      <c r="O203" s="598"/>
      <c r="P203" s="618"/>
    </row>
    <row r="204" spans="1:16" s="619" customFormat="1" ht="24" x14ac:dyDescent="0.2">
      <c r="A204" s="598" t="s">
        <v>1907</v>
      </c>
      <c r="B204" s="620" t="s">
        <v>1908</v>
      </c>
      <c r="C204" s="598" t="s">
        <v>2015</v>
      </c>
      <c r="D204" s="598" t="s">
        <v>2310</v>
      </c>
      <c r="E204" s="621">
        <v>1500</v>
      </c>
      <c r="F204" s="599">
        <v>18898078</v>
      </c>
      <c r="G204" s="598" t="s">
        <v>2311</v>
      </c>
      <c r="H204" s="598"/>
      <c r="I204" s="598"/>
      <c r="J204" s="617"/>
      <c r="K204" s="598">
        <v>6</v>
      </c>
      <c r="L204" s="598">
        <v>10</v>
      </c>
      <c r="M204" s="621">
        <v>15000</v>
      </c>
      <c r="N204" s="598"/>
      <c r="O204" s="598"/>
      <c r="P204" s="618"/>
    </row>
    <row r="205" spans="1:16" s="619" customFormat="1" ht="24" x14ac:dyDescent="0.2">
      <c r="A205" s="598" t="s">
        <v>1907</v>
      </c>
      <c r="B205" s="620" t="s">
        <v>1908</v>
      </c>
      <c r="C205" s="598" t="s">
        <v>2015</v>
      </c>
      <c r="D205" s="598" t="s">
        <v>2051</v>
      </c>
      <c r="E205" s="621">
        <v>3500</v>
      </c>
      <c r="F205" s="599">
        <v>26716788</v>
      </c>
      <c r="G205" s="598" t="s">
        <v>2312</v>
      </c>
      <c r="H205" s="598" t="s">
        <v>2182</v>
      </c>
      <c r="I205" s="598" t="s">
        <v>1912</v>
      </c>
      <c r="J205" s="617" t="s">
        <v>1913</v>
      </c>
      <c r="K205" s="598">
        <v>5</v>
      </c>
      <c r="L205" s="598">
        <v>10</v>
      </c>
      <c r="M205" s="621">
        <v>35000</v>
      </c>
      <c r="N205" s="598"/>
      <c r="O205" s="598"/>
      <c r="P205" s="618"/>
    </row>
    <row r="206" spans="1:16" s="619" customFormat="1" ht="24" x14ac:dyDescent="0.2">
      <c r="A206" s="598" t="s">
        <v>1907</v>
      </c>
      <c r="B206" s="620" t="s">
        <v>1908</v>
      </c>
      <c r="C206" s="598" t="s">
        <v>2015</v>
      </c>
      <c r="D206" s="598" t="s">
        <v>2313</v>
      </c>
      <c r="E206" s="621">
        <v>3000</v>
      </c>
      <c r="F206" s="599">
        <v>70869609</v>
      </c>
      <c r="G206" s="598" t="s">
        <v>2314</v>
      </c>
      <c r="H206" s="598" t="s">
        <v>1911</v>
      </c>
      <c r="I206" s="598" t="s">
        <v>1912</v>
      </c>
      <c r="J206" s="617" t="s">
        <v>1913</v>
      </c>
      <c r="K206" s="598">
        <v>3</v>
      </c>
      <c r="L206" s="598">
        <v>6</v>
      </c>
      <c r="M206" s="621">
        <v>18000</v>
      </c>
      <c r="N206" s="598"/>
      <c r="O206" s="598"/>
      <c r="P206" s="618"/>
    </row>
    <row r="207" spans="1:16" s="619" customFormat="1" ht="36" x14ac:dyDescent="0.2">
      <c r="A207" s="598" t="s">
        <v>1907</v>
      </c>
      <c r="B207" s="620" t="s">
        <v>1908</v>
      </c>
      <c r="C207" s="598" t="s">
        <v>2015</v>
      </c>
      <c r="D207" s="598" t="s">
        <v>2315</v>
      </c>
      <c r="E207" s="621">
        <v>3000</v>
      </c>
      <c r="F207" s="599">
        <v>41787848</v>
      </c>
      <c r="G207" s="598" t="s">
        <v>2316</v>
      </c>
      <c r="H207" s="598" t="s">
        <v>1911</v>
      </c>
      <c r="I207" s="598" t="s">
        <v>1912</v>
      </c>
      <c r="J207" s="617" t="s">
        <v>1913</v>
      </c>
      <c r="K207" s="598">
        <v>2</v>
      </c>
      <c r="L207" s="598">
        <v>4</v>
      </c>
      <c r="M207" s="621">
        <v>12000</v>
      </c>
      <c r="N207" s="598"/>
      <c r="O207" s="598"/>
      <c r="P207" s="618"/>
    </row>
    <row r="208" spans="1:16" s="619" customFormat="1" ht="36" x14ac:dyDescent="0.2">
      <c r="A208" s="598" t="s">
        <v>1907</v>
      </c>
      <c r="B208" s="620" t="s">
        <v>1908</v>
      </c>
      <c r="C208" s="598" t="s">
        <v>2015</v>
      </c>
      <c r="D208" s="598" t="s">
        <v>2221</v>
      </c>
      <c r="E208" s="621">
        <v>2000</v>
      </c>
      <c r="F208" s="599">
        <v>70156531</v>
      </c>
      <c r="G208" s="598" t="s">
        <v>2317</v>
      </c>
      <c r="H208" s="598" t="s">
        <v>1985</v>
      </c>
      <c r="I208" s="598" t="s">
        <v>1912</v>
      </c>
      <c r="J208" s="617" t="s">
        <v>1913</v>
      </c>
      <c r="K208" s="598">
        <v>1</v>
      </c>
      <c r="L208" s="598">
        <v>3</v>
      </c>
      <c r="M208" s="621">
        <v>6000</v>
      </c>
      <c r="N208" s="598"/>
      <c r="O208" s="598"/>
      <c r="P208" s="618"/>
    </row>
    <row r="209" spans="1:16" s="619" customFormat="1" ht="24" x14ac:dyDescent="0.2">
      <c r="A209" s="598" t="s">
        <v>1907</v>
      </c>
      <c r="B209" s="620" t="s">
        <v>1908</v>
      </c>
      <c r="C209" s="598" t="s">
        <v>2015</v>
      </c>
      <c r="D209" s="598" t="s">
        <v>2318</v>
      </c>
      <c r="E209" s="621">
        <v>1200</v>
      </c>
      <c r="F209" s="599">
        <v>72809848</v>
      </c>
      <c r="G209" s="598" t="s">
        <v>2319</v>
      </c>
      <c r="H209" s="598"/>
      <c r="I209" s="598"/>
      <c r="J209" s="617"/>
      <c r="K209" s="598">
        <v>4</v>
      </c>
      <c r="L209" s="598">
        <v>6</v>
      </c>
      <c r="M209" s="621">
        <v>7200</v>
      </c>
      <c r="N209" s="598"/>
      <c r="O209" s="598"/>
      <c r="P209" s="618"/>
    </row>
    <row r="210" spans="1:16" s="619" customFormat="1" ht="24" x14ac:dyDescent="0.2">
      <c r="A210" s="598" t="s">
        <v>1907</v>
      </c>
      <c r="B210" s="620" t="s">
        <v>2050</v>
      </c>
      <c r="C210" s="598" t="s">
        <v>2015</v>
      </c>
      <c r="D210" s="598" t="s">
        <v>2242</v>
      </c>
      <c r="E210" s="621">
        <v>3000</v>
      </c>
      <c r="F210" s="599">
        <v>41778613</v>
      </c>
      <c r="G210" s="598" t="s">
        <v>2320</v>
      </c>
      <c r="H210" s="598" t="s">
        <v>2059</v>
      </c>
      <c r="I210" s="598" t="s">
        <v>1912</v>
      </c>
      <c r="J210" s="617" t="s">
        <v>1913</v>
      </c>
      <c r="K210" s="598">
        <v>6</v>
      </c>
      <c r="L210" s="598">
        <v>9</v>
      </c>
      <c r="M210" s="621">
        <v>27000</v>
      </c>
      <c r="N210" s="598"/>
      <c r="O210" s="598"/>
      <c r="P210" s="618"/>
    </row>
    <row r="211" spans="1:16" s="619" customFormat="1" ht="48" x14ac:dyDescent="0.2">
      <c r="A211" s="598" t="s">
        <v>1907</v>
      </c>
      <c r="B211" s="620" t="s">
        <v>2073</v>
      </c>
      <c r="C211" s="598" t="s">
        <v>2015</v>
      </c>
      <c r="D211" s="598" t="s">
        <v>2321</v>
      </c>
      <c r="E211" s="621">
        <v>4800</v>
      </c>
      <c r="F211" s="599">
        <v>46578454</v>
      </c>
      <c r="G211" s="598" t="s">
        <v>2322</v>
      </c>
      <c r="H211" s="598" t="s">
        <v>2079</v>
      </c>
      <c r="I211" s="598" t="s">
        <v>1912</v>
      </c>
      <c r="J211" s="617" t="s">
        <v>1913</v>
      </c>
      <c r="K211" s="598">
        <v>4</v>
      </c>
      <c r="L211" s="598">
        <v>6</v>
      </c>
      <c r="M211" s="621">
        <v>28800</v>
      </c>
      <c r="N211" s="598"/>
      <c r="O211" s="598"/>
      <c r="P211" s="618"/>
    </row>
    <row r="212" spans="1:16" s="619" customFormat="1" ht="36" x14ac:dyDescent="0.2">
      <c r="A212" s="598" t="s">
        <v>1907</v>
      </c>
      <c r="B212" s="620" t="s">
        <v>1908</v>
      </c>
      <c r="C212" s="598" t="s">
        <v>2015</v>
      </c>
      <c r="D212" s="598" t="s">
        <v>2261</v>
      </c>
      <c r="E212" s="621">
        <v>1900</v>
      </c>
      <c r="F212" s="599">
        <v>74758099</v>
      </c>
      <c r="G212" s="598" t="s">
        <v>2323</v>
      </c>
      <c r="H212" s="598" t="s">
        <v>2324</v>
      </c>
      <c r="I212" s="598" t="s">
        <v>1912</v>
      </c>
      <c r="J212" s="617" t="s">
        <v>1913</v>
      </c>
      <c r="K212" s="598">
        <v>1</v>
      </c>
      <c r="L212" s="598">
        <v>2</v>
      </c>
      <c r="M212" s="621">
        <v>3800</v>
      </c>
      <c r="N212" s="598"/>
      <c r="O212" s="598"/>
      <c r="P212" s="618"/>
    </row>
    <row r="213" spans="1:16" s="619" customFormat="1" ht="36" x14ac:dyDescent="0.2">
      <c r="A213" s="598" t="s">
        <v>1907</v>
      </c>
      <c r="B213" s="620" t="s">
        <v>1908</v>
      </c>
      <c r="C213" s="598" t="s">
        <v>2015</v>
      </c>
      <c r="D213" s="598" t="s">
        <v>2261</v>
      </c>
      <c r="E213" s="621">
        <v>2500</v>
      </c>
      <c r="F213" s="599">
        <v>42322435</v>
      </c>
      <c r="G213" s="598" t="s">
        <v>2325</v>
      </c>
      <c r="H213" s="598" t="s">
        <v>2038</v>
      </c>
      <c r="I213" s="598" t="s">
        <v>1912</v>
      </c>
      <c r="J213" s="617" t="s">
        <v>1913</v>
      </c>
      <c r="K213" s="598">
        <v>1</v>
      </c>
      <c r="L213" s="598">
        <v>2</v>
      </c>
      <c r="M213" s="621">
        <v>5000</v>
      </c>
      <c r="N213" s="598"/>
      <c r="O213" s="598"/>
      <c r="P213" s="618"/>
    </row>
    <row r="214" spans="1:16" s="619" customFormat="1" ht="24" x14ac:dyDescent="0.2">
      <c r="A214" s="598" t="s">
        <v>1907</v>
      </c>
      <c r="B214" s="620" t="s">
        <v>1908</v>
      </c>
      <c r="C214" s="598" t="s">
        <v>2015</v>
      </c>
      <c r="D214" s="598" t="s">
        <v>2221</v>
      </c>
      <c r="E214" s="621">
        <v>2000</v>
      </c>
      <c r="F214" s="599">
        <v>71464147</v>
      </c>
      <c r="G214" s="598" t="s">
        <v>2326</v>
      </c>
      <c r="H214" s="598" t="s">
        <v>2327</v>
      </c>
      <c r="I214" s="598" t="s">
        <v>1912</v>
      </c>
      <c r="J214" s="617" t="s">
        <v>1913</v>
      </c>
      <c r="K214" s="598">
        <v>2</v>
      </c>
      <c r="L214" s="598">
        <v>5</v>
      </c>
      <c r="M214" s="621">
        <v>10000</v>
      </c>
      <c r="N214" s="598"/>
      <c r="O214" s="598"/>
      <c r="P214" s="618"/>
    </row>
    <row r="215" spans="1:16" s="619" customFormat="1" ht="24" x14ac:dyDescent="0.2">
      <c r="A215" s="598" t="s">
        <v>1907</v>
      </c>
      <c r="B215" s="620" t="s">
        <v>1908</v>
      </c>
      <c r="C215" s="598" t="s">
        <v>2015</v>
      </c>
      <c r="D215" s="598" t="s">
        <v>2328</v>
      </c>
      <c r="E215" s="621">
        <v>3000</v>
      </c>
      <c r="F215" s="599">
        <v>46443975</v>
      </c>
      <c r="G215" s="598" t="s">
        <v>2329</v>
      </c>
      <c r="H215" s="598" t="s">
        <v>2330</v>
      </c>
      <c r="I215" s="598" t="s">
        <v>1912</v>
      </c>
      <c r="J215" s="617" t="s">
        <v>1913</v>
      </c>
      <c r="K215" s="598">
        <v>1</v>
      </c>
      <c r="L215" s="598">
        <v>3</v>
      </c>
      <c r="M215" s="621">
        <v>9000</v>
      </c>
      <c r="N215" s="598"/>
      <c r="O215" s="598"/>
      <c r="P215" s="618"/>
    </row>
    <row r="216" spans="1:16" s="619" customFormat="1" ht="24" x14ac:dyDescent="0.2">
      <c r="A216" s="598" t="s">
        <v>1907</v>
      </c>
      <c r="B216" s="620" t="s">
        <v>1908</v>
      </c>
      <c r="C216" s="598" t="s">
        <v>2015</v>
      </c>
      <c r="D216" s="598" t="s">
        <v>2310</v>
      </c>
      <c r="E216" s="621">
        <v>1500</v>
      </c>
      <c r="F216" s="599" t="s">
        <v>2331</v>
      </c>
      <c r="G216" s="598" t="s">
        <v>2332</v>
      </c>
      <c r="H216" s="598"/>
      <c r="I216" s="598"/>
      <c r="J216" s="617"/>
      <c r="K216" s="598">
        <v>6</v>
      </c>
      <c r="L216" s="598">
        <v>11</v>
      </c>
      <c r="M216" s="621">
        <v>16500</v>
      </c>
      <c r="N216" s="598"/>
      <c r="O216" s="598"/>
      <c r="P216" s="618"/>
    </row>
    <row r="217" spans="1:16" s="619" customFormat="1" ht="24" x14ac:dyDescent="0.2">
      <c r="A217" s="598" t="s">
        <v>1907</v>
      </c>
      <c r="B217" s="620" t="s">
        <v>1908</v>
      </c>
      <c r="C217" s="598" t="s">
        <v>2015</v>
      </c>
      <c r="D217" s="598" t="s">
        <v>2284</v>
      </c>
      <c r="E217" s="621">
        <v>2500</v>
      </c>
      <c r="F217" s="599">
        <v>44871538</v>
      </c>
      <c r="G217" s="598" t="s">
        <v>2333</v>
      </c>
      <c r="H217" s="598" t="s">
        <v>2059</v>
      </c>
      <c r="I217" s="598" t="s">
        <v>1912</v>
      </c>
      <c r="J217" s="617" t="s">
        <v>1913</v>
      </c>
      <c r="K217" s="598">
        <v>5</v>
      </c>
      <c r="L217" s="598">
        <v>9</v>
      </c>
      <c r="M217" s="621">
        <v>22500</v>
      </c>
      <c r="N217" s="598"/>
      <c r="O217" s="598"/>
      <c r="P217" s="618"/>
    </row>
    <row r="218" spans="1:16" s="619" customFormat="1" ht="36" x14ac:dyDescent="0.2">
      <c r="A218" s="598" t="s">
        <v>1907</v>
      </c>
      <c r="B218" s="620" t="s">
        <v>1908</v>
      </c>
      <c r="C218" s="598" t="s">
        <v>2015</v>
      </c>
      <c r="D218" s="598" t="s">
        <v>2334</v>
      </c>
      <c r="E218" s="621">
        <v>1800</v>
      </c>
      <c r="F218" s="599">
        <v>73952906</v>
      </c>
      <c r="G218" s="598" t="s">
        <v>2335</v>
      </c>
      <c r="H218" s="598"/>
      <c r="I218" s="598"/>
      <c r="J218" s="617"/>
      <c r="K218" s="598">
        <v>6</v>
      </c>
      <c r="L218" s="598">
        <v>10</v>
      </c>
      <c r="M218" s="621">
        <v>18000</v>
      </c>
      <c r="N218" s="598"/>
      <c r="O218" s="598"/>
      <c r="P218" s="618"/>
    </row>
    <row r="219" spans="1:16" s="619" customFormat="1" ht="24" x14ac:dyDescent="0.2">
      <c r="A219" s="598" t="s">
        <v>1907</v>
      </c>
      <c r="B219" s="620" t="s">
        <v>1908</v>
      </c>
      <c r="C219" s="598" t="s">
        <v>2015</v>
      </c>
      <c r="D219" s="598" t="s">
        <v>2221</v>
      </c>
      <c r="E219" s="621">
        <v>2000</v>
      </c>
      <c r="F219" s="599">
        <v>47343558</v>
      </c>
      <c r="G219" s="598" t="s">
        <v>2336</v>
      </c>
      <c r="H219" s="598" t="s">
        <v>1985</v>
      </c>
      <c r="I219" s="598" t="s">
        <v>1912</v>
      </c>
      <c r="J219" s="617" t="s">
        <v>1913</v>
      </c>
      <c r="K219" s="598">
        <v>2</v>
      </c>
      <c r="L219" s="598">
        <v>5</v>
      </c>
      <c r="M219" s="621">
        <v>10000</v>
      </c>
      <c r="N219" s="598"/>
      <c r="O219" s="598"/>
      <c r="P219" s="618"/>
    </row>
    <row r="220" spans="1:16" s="619" customFormat="1" ht="36" x14ac:dyDescent="0.2">
      <c r="A220" s="598" t="s">
        <v>1907</v>
      </c>
      <c r="B220" s="620" t="s">
        <v>1908</v>
      </c>
      <c r="C220" s="598" t="s">
        <v>2015</v>
      </c>
      <c r="D220" s="598" t="s">
        <v>2318</v>
      </c>
      <c r="E220" s="621">
        <v>1200</v>
      </c>
      <c r="F220" s="599">
        <v>48452169</v>
      </c>
      <c r="G220" s="598" t="s">
        <v>2337</v>
      </c>
      <c r="H220" s="598"/>
      <c r="I220" s="598"/>
      <c r="J220" s="617"/>
      <c r="K220" s="598">
        <v>5</v>
      </c>
      <c r="L220" s="598">
        <v>9</v>
      </c>
      <c r="M220" s="621">
        <v>10800</v>
      </c>
      <c r="N220" s="598"/>
      <c r="O220" s="598"/>
      <c r="P220" s="618"/>
    </row>
    <row r="221" spans="1:16" s="619" customFormat="1" ht="36" x14ac:dyDescent="0.2">
      <c r="A221" s="598" t="s">
        <v>1907</v>
      </c>
      <c r="B221" s="620" t="s">
        <v>1908</v>
      </c>
      <c r="C221" s="598" t="s">
        <v>2015</v>
      </c>
      <c r="D221" s="598" t="s">
        <v>2318</v>
      </c>
      <c r="E221" s="621">
        <v>1000</v>
      </c>
      <c r="F221" s="599">
        <v>33430178</v>
      </c>
      <c r="G221" s="598" t="s">
        <v>2338</v>
      </c>
      <c r="H221" s="598"/>
      <c r="I221" s="598"/>
      <c r="J221" s="617"/>
      <c r="K221" s="598">
        <v>6</v>
      </c>
      <c r="L221" s="598">
        <v>10</v>
      </c>
      <c r="M221" s="621">
        <v>10000</v>
      </c>
      <c r="N221" s="598"/>
      <c r="O221" s="598"/>
      <c r="P221" s="618"/>
    </row>
    <row r="222" spans="1:16" s="619" customFormat="1" ht="24" x14ac:dyDescent="0.2">
      <c r="A222" s="598" t="s">
        <v>1907</v>
      </c>
      <c r="B222" s="620" t="s">
        <v>1908</v>
      </c>
      <c r="C222" s="598" t="s">
        <v>2015</v>
      </c>
      <c r="D222" s="598" t="s">
        <v>2221</v>
      </c>
      <c r="E222" s="621">
        <v>2000</v>
      </c>
      <c r="F222" s="599">
        <v>33766379</v>
      </c>
      <c r="G222" s="598" t="s">
        <v>2339</v>
      </c>
      <c r="H222" s="598"/>
      <c r="I222" s="598"/>
      <c r="J222" s="617"/>
      <c r="K222" s="598">
        <v>2</v>
      </c>
      <c r="L222" s="598">
        <v>5</v>
      </c>
      <c r="M222" s="621">
        <v>10000</v>
      </c>
      <c r="N222" s="598"/>
      <c r="O222" s="598"/>
      <c r="P222" s="618"/>
    </row>
    <row r="223" spans="1:16" s="619" customFormat="1" ht="36" x14ac:dyDescent="0.2">
      <c r="A223" s="598" t="s">
        <v>1907</v>
      </c>
      <c r="B223" s="620" t="s">
        <v>1908</v>
      </c>
      <c r="C223" s="598" t="s">
        <v>2015</v>
      </c>
      <c r="D223" s="598" t="s">
        <v>2202</v>
      </c>
      <c r="E223" s="621">
        <v>5000</v>
      </c>
      <c r="F223" s="599">
        <v>72230758</v>
      </c>
      <c r="G223" s="598" t="s">
        <v>2340</v>
      </c>
      <c r="H223" s="598" t="s">
        <v>2079</v>
      </c>
      <c r="I223" s="598" t="s">
        <v>1912</v>
      </c>
      <c r="J223" s="617" t="s">
        <v>1913</v>
      </c>
      <c r="K223" s="598">
        <v>1</v>
      </c>
      <c r="L223" s="598">
        <v>2</v>
      </c>
      <c r="M223" s="621">
        <v>10000</v>
      </c>
      <c r="N223" s="598"/>
      <c r="O223" s="598"/>
      <c r="P223" s="618"/>
    </row>
    <row r="224" spans="1:16" s="619" customFormat="1" ht="36" x14ac:dyDescent="0.2">
      <c r="A224" s="598" t="s">
        <v>1907</v>
      </c>
      <c r="B224" s="620" t="s">
        <v>2050</v>
      </c>
      <c r="C224" s="598" t="s">
        <v>2015</v>
      </c>
      <c r="D224" s="598" t="s">
        <v>2341</v>
      </c>
      <c r="E224" s="621">
        <v>1600</v>
      </c>
      <c r="F224" s="599">
        <v>33430794</v>
      </c>
      <c r="G224" s="598" t="s">
        <v>2342</v>
      </c>
      <c r="H224" s="598"/>
      <c r="I224" s="598"/>
      <c r="J224" s="617"/>
      <c r="K224" s="598">
        <v>3</v>
      </c>
      <c r="L224" s="598">
        <v>8</v>
      </c>
      <c r="M224" s="621">
        <v>12800</v>
      </c>
      <c r="N224" s="598"/>
      <c r="O224" s="598"/>
      <c r="P224" s="618"/>
    </row>
    <row r="225" spans="1:16" s="619" customFormat="1" ht="24" x14ac:dyDescent="0.2">
      <c r="A225" s="598" t="s">
        <v>1907</v>
      </c>
      <c r="B225" s="620" t="s">
        <v>1908</v>
      </c>
      <c r="C225" s="598" t="s">
        <v>2015</v>
      </c>
      <c r="D225" s="598" t="s">
        <v>2284</v>
      </c>
      <c r="E225" s="621">
        <v>1400</v>
      </c>
      <c r="F225" s="599">
        <v>47209156</v>
      </c>
      <c r="G225" s="598" t="s">
        <v>2343</v>
      </c>
      <c r="H225" s="598"/>
      <c r="I225" s="598"/>
      <c r="J225" s="617"/>
      <c r="K225" s="598">
        <v>4</v>
      </c>
      <c r="L225" s="598">
        <v>7</v>
      </c>
      <c r="M225" s="621">
        <v>9800</v>
      </c>
      <c r="N225" s="598"/>
      <c r="O225" s="598"/>
      <c r="P225" s="618"/>
    </row>
    <row r="226" spans="1:16" s="619" customFormat="1" ht="24" x14ac:dyDescent="0.2">
      <c r="A226" s="598" t="s">
        <v>1907</v>
      </c>
      <c r="B226" s="620" t="s">
        <v>1908</v>
      </c>
      <c r="C226" s="598" t="s">
        <v>2015</v>
      </c>
      <c r="D226" s="598" t="s">
        <v>2284</v>
      </c>
      <c r="E226" s="621">
        <v>1000</v>
      </c>
      <c r="F226" s="599">
        <v>10618815</v>
      </c>
      <c r="G226" s="598" t="s">
        <v>2344</v>
      </c>
      <c r="H226" s="598"/>
      <c r="I226" s="598"/>
      <c r="J226" s="617"/>
      <c r="K226" s="598">
        <v>1</v>
      </c>
      <c r="L226" s="598">
        <v>3</v>
      </c>
      <c r="M226" s="621">
        <v>3000</v>
      </c>
      <c r="N226" s="598"/>
      <c r="O226" s="598"/>
      <c r="P226" s="618"/>
    </row>
    <row r="227" spans="1:16" s="619" customFormat="1" ht="24" x14ac:dyDescent="0.2">
      <c r="A227" s="598" t="s">
        <v>1907</v>
      </c>
      <c r="B227" s="620" t="s">
        <v>1908</v>
      </c>
      <c r="C227" s="598" t="s">
        <v>2015</v>
      </c>
      <c r="D227" s="598" t="s">
        <v>2097</v>
      </c>
      <c r="E227" s="621">
        <v>1000</v>
      </c>
      <c r="F227" s="599">
        <v>33405156</v>
      </c>
      <c r="G227" s="598" t="s">
        <v>2345</v>
      </c>
      <c r="H227" s="598"/>
      <c r="I227" s="598"/>
      <c r="J227" s="617"/>
      <c r="K227" s="598">
        <v>7</v>
      </c>
      <c r="L227" s="598">
        <v>12</v>
      </c>
      <c r="M227" s="621">
        <v>12000</v>
      </c>
      <c r="N227" s="598"/>
      <c r="O227" s="598"/>
      <c r="P227" s="618"/>
    </row>
    <row r="228" spans="1:16" s="619" customFormat="1" ht="24" x14ac:dyDescent="0.2">
      <c r="A228" s="598" t="s">
        <v>1907</v>
      </c>
      <c r="B228" s="620" t="s">
        <v>1908</v>
      </c>
      <c r="C228" s="598" t="s">
        <v>2015</v>
      </c>
      <c r="D228" s="598" t="s">
        <v>2139</v>
      </c>
      <c r="E228" s="621">
        <v>1400</v>
      </c>
      <c r="F228" s="599">
        <v>48378877</v>
      </c>
      <c r="G228" s="598" t="s">
        <v>2346</v>
      </c>
      <c r="H228" s="598"/>
      <c r="I228" s="598"/>
      <c r="J228" s="617"/>
      <c r="K228" s="598">
        <v>4</v>
      </c>
      <c r="L228" s="598">
        <v>8</v>
      </c>
      <c r="M228" s="621">
        <v>11200</v>
      </c>
      <c r="N228" s="598"/>
      <c r="O228" s="598"/>
      <c r="P228" s="618"/>
    </row>
    <row r="229" spans="1:16" s="619" customFormat="1" ht="48" x14ac:dyDescent="0.2">
      <c r="A229" s="598" t="s">
        <v>1907</v>
      </c>
      <c r="B229" s="620" t="s">
        <v>1908</v>
      </c>
      <c r="C229" s="598" t="s">
        <v>2015</v>
      </c>
      <c r="D229" s="598" t="s">
        <v>2051</v>
      </c>
      <c r="E229" s="621">
        <v>3500</v>
      </c>
      <c r="F229" s="599">
        <v>18212197</v>
      </c>
      <c r="G229" s="598" t="s">
        <v>2347</v>
      </c>
      <c r="H229" s="598" t="s">
        <v>2327</v>
      </c>
      <c r="I229" s="598" t="s">
        <v>1912</v>
      </c>
      <c r="J229" s="617" t="s">
        <v>1913</v>
      </c>
      <c r="K229" s="598">
        <v>5</v>
      </c>
      <c r="L229" s="598">
        <v>8</v>
      </c>
      <c r="M229" s="621">
        <v>28000</v>
      </c>
      <c r="N229" s="598"/>
      <c r="O229" s="598"/>
      <c r="P229" s="618"/>
    </row>
    <row r="230" spans="1:16" s="619" customFormat="1" ht="48" x14ac:dyDescent="0.2">
      <c r="A230" s="598" t="s">
        <v>1907</v>
      </c>
      <c r="B230" s="620" t="s">
        <v>1908</v>
      </c>
      <c r="C230" s="598" t="s">
        <v>2015</v>
      </c>
      <c r="D230" s="598" t="s">
        <v>2348</v>
      </c>
      <c r="E230" s="621">
        <v>2000</v>
      </c>
      <c r="F230" s="599">
        <v>43530932</v>
      </c>
      <c r="G230" s="598" t="s">
        <v>2349</v>
      </c>
      <c r="H230" s="598" t="s">
        <v>2350</v>
      </c>
      <c r="I230" s="598" t="s">
        <v>1912</v>
      </c>
      <c r="J230" s="617" t="s">
        <v>1913</v>
      </c>
      <c r="K230" s="598">
        <v>2</v>
      </c>
      <c r="L230" s="598">
        <v>3</v>
      </c>
      <c r="M230" s="621">
        <v>6000</v>
      </c>
      <c r="N230" s="598"/>
      <c r="O230" s="598"/>
      <c r="P230" s="618"/>
    </row>
    <row r="231" spans="1:16" s="619" customFormat="1" ht="36" x14ac:dyDescent="0.2">
      <c r="A231" s="598" t="s">
        <v>1907</v>
      </c>
      <c r="B231" s="620" t="s">
        <v>1908</v>
      </c>
      <c r="C231" s="598" t="s">
        <v>2015</v>
      </c>
      <c r="D231" s="598" t="s">
        <v>2242</v>
      </c>
      <c r="E231" s="621">
        <v>1200</v>
      </c>
      <c r="F231" s="599">
        <v>43895481</v>
      </c>
      <c r="G231" s="598" t="s">
        <v>2351</v>
      </c>
      <c r="H231" s="598" t="s">
        <v>2352</v>
      </c>
      <c r="I231" s="598" t="s">
        <v>1912</v>
      </c>
      <c r="J231" s="617" t="s">
        <v>1913</v>
      </c>
      <c r="K231" s="598">
        <v>6</v>
      </c>
      <c r="L231" s="598">
        <v>10</v>
      </c>
      <c r="M231" s="621">
        <v>12000</v>
      </c>
      <c r="N231" s="598"/>
      <c r="O231" s="598"/>
      <c r="P231" s="618"/>
    </row>
    <row r="232" spans="1:16" s="619" customFormat="1" ht="24" x14ac:dyDescent="0.2">
      <c r="A232" s="598" t="s">
        <v>1907</v>
      </c>
      <c r="B232" s="620" t="s">
        <v>2050</v>
      </c>
      <c r="C232" s="598" t="s">
        <v>2015</v>
      </c>
      <c r="D232" s="598" t="s">
        <v>2242</v>
      </c>
      <c r="E232" s="621">
        <v>1000</v>
      </c>
      <c r="F232" s="599">
        <v>44618539</v>
      </c>
      <c r="G232" s="598" t="s">
        <v>2353</v>
      </c>
      <c r="H232" s="598"/>
      <c r="I232" s="598"/>
      <c r="J232" s="617"/>
      <c r="K232" s="598">
        <v>5</v>
      </c>
      <c r="L232" s="598">
        <v>8</v>
      </c>
      <c r="M232" s="621">
        <v>8000</v>
      </c>
      <c r="N232" s="598"/>
      <c r="O232" s="598"/>
      <c r="P232" s="618"/>
    </row>
    <row r="233" spans="1:16" s="619" customFormat="1" ht="36" x14ac:dyDescent="0.2">
      <c r="A233" s="598" t="s">
        <v>1907</v>
      </c>
      <c r="B233" s="620" t="s">
        <v>2050</v>
      </c>
      <c r="C233" s="598" t="s">
        <v>2015</v>
      </c>
      <c r="D233" s="598" t="s">
        <v>2354</v>
      </c>
      <c r="E233" s="621">
        <v>3000</v>
      </c>
      <c r="F233" s="599">
        <v>72160399</v>
      </c>
      <c r="G233" s="598" t="s">
        <v>2355</v>
      </c>
      <c r="H233" s="598" t="s">
        <v>2079</v>
      </c>
      <c r="I233" s="598" t="s">
        <v>1912</v>
      </c>
      <c r="J233" s="617" t="s">
        <v>1913</v>
      </c>
      <c r="K233" s="598">
        <v>6</v>
      </c>
      <c r="L233" s="598">
        <v>10</v>
      </c>
      <c r="M233" s="621">
        <v>30000</v>
      </c>
      <c r="N233" s="598"/>
      <c r="O233" s="598"/>
      <c r="P233" s="618"/>
    </row>
    <row r="234" spans="1:16" s="619" customFormat="1" ht="48" x14ac:dyDescent="0.2">
      <c r="A234" s="598" t="s">
        <v>1907</v>
      </c>
      <c r="B234" s="620" t="s">
        <v>1908</v>
      </c>
      <c r="C234" s="598" t="s">
        <v>2015</v>
      </c>
      <c r="D234" s="598" t="s">
        <v>2334</v>
      </c>
      <c r="E234" s="621">
        <v>3000</v>
      </c>
      <c r="F234" s="599">
        <v>72228457</v>
      </c>
      <c r="G234" s="598" t="s">
        <v>2356</v>
      </c>
      <c r="H234" s="598" t="s">
        <v>2357</v>
      </c>
      <c r="I234" s="598" t="s">
        <v>1912</v>
      </c>
      <c r="J234" s="617" t="s">
        <v>1913</v>
      </c>
      <c r="K234" s="598">
        <v>5</v>
      </c>
      <c r="L234" s="598">
        <v>8</v>
      </c>
      <c r="M234" s="621">
        <v>24000</v>
      </c>
      <c r="N234" s="598"/>
      <c r="O234" s="598"/>
      <c r="P234" s="618"/>
    </row>
    <row r="235" spans="1:16" s="619" customFormat="1" ht="24" x14ac:dyDescent="0.2">
      <c r="A235" s="598" t="s">
        <v>1907</v>
      </c>
      <c r="B235" s="620" t="s">
        <v>1908</v>
      </c>
      <c r="C235" s="598" t="s">
        <v>2015</v>
      </c>
      <c r="D235" s="598" t="s">
        <v>2280</v>
      </c>
      <c r="E235" s="621">
        <v>3500</v>
      </c>
      <c r="F235" s="599">
        <v>45923117</v>
      </c>
      <c r="G235" s="598" t="s">
        <v>2358</v>
      </c>
      <c r="H235" s="598" t="s">
        <v>2079</v>
      </c>
      <c r="I235" s="598" t="s">
        <v>1912</v>
      </c>
      <c r="J235" s="617" t="s">
        <v>1913</v>
      </c>
      <c r="K235" s="598">
        <v>2</v>
      </c>
      <c r="L235" s="598">
        <v>5</v>
      </c>
      <c r="M235" s="621">
        <v>17500</v>
      </c>
      <c r="N235" s="598"/>
      <c r="O235" s="598"/>
      <c r="P235" s="618"/>
    </row>
    <row r="236" spans="1:16" s="619" customFormat="1" ht="24" x14ac:dyDescent="0.2">
      <c r="A236" s="598" t="s">
        <v>1907</v>
      </c>
      <c r="B236" s="620" t="s">
        <v>1908</v>
      </c>
      <c r="C236" s="598" t="s">
        <v>2015</v>
      </c>
      <c r="D236" s="598" t="s">
        <v>2202</v>
      </c>
      <c r="E236" s="621">
        <v>6000</v>
      </c>
      <c r="F236" s="599">
        <v>45095379</v>
      </c>
      <c r="G236" s="598" t="s">
        <v>2359</v>
      </c>
      <c r="H236" s="598" t="s">
        <v>2079</v>
      </c>
      <c r="I236" s="598" t="s">
        <v>1912</v>
      </c>
      <c r="J236" s="617" t="s">
        <v>1913</v>
      </c>
      <c r="K236" s="598">
        <v>1</v>
      </c>
      <c r="L236" s="598">
        <v>3</v>
      </c>
      <c r="M236" s="621">
        <v>18000</v>
      </c>
      <c r="N236" s="598"/>
      <c r="O236" s="598"/>
      <c r="P236" s="618"/>
    </row>
    <row r="237" spans="1:16" s="619" customFormat="1" ht="24" x14ac:dyDescent="0.2">
      <c r="A237" s="598" t="s">
        <v>1907</v>
      </c>
      <c r="B237" s="620" t="s">
        <v>1908</v>
      </c>
      <c r="C237" s="598" t="s">
        <v>2015</v>
      </c>
      <c r="D237" s="598" t="s">
        <v>2221</v>
      </c>
      <c r="E237" s="621">
        <v>2000</v>
      </c>
      <c r="F237" s="599">
        <v>46907569</v>
      </c>
      <c r="G237" s="598" t="s">
        <v>2360</v>
      </c>
      <c r="H237" s="598" t="s">
        <v>2327</v>
      </c>
      <c r="I237" s="598" t="s">
        <v>1912</v>
      </c>
      <c r="J237" s="617" t="s">
        <v>1913</v>
      </c>
      <c r="K237" s="598">
        <v>2</v>
      </c>
      <c r="L237" s="598">
        <v>6</v>
      </c>
      <c r="M237" s="621">
        <v>12000</v>
      </c>
      <c r="N237" s="598"/>
      <c r="O237" s="598"/>
      <c r="P237" s="618"/>
    </row>
    <row r="238" spans="1:16" s="619" customFormat="1" ht="24" x14ac:dyDescent="0.2">
      <c r="A238" s="598" t="s">
        <v>1907</v>
      </c>
      <c r="B238" s="620" t="s">
        <v>1908</v>
      </c>
      <c r="C238" s="598" t="s">
        <v>2015</v>
      </c>
      <c r="D238" s="598" t="s">
        <v>2221</v>
      </c>
      <c r="E238" s="621">
        <v>2000</v>
      </c>
      <c r="F238" s="599">
        <v>44926528</v>
      </c>
      <c r="G238" s="598" t="s">
        <v>2361</v>
      </c>
      <c r="H238" s="598" t="s">
        <v>2362</v>
      </c>
      <c r="I238" s="598" t="s">
        <v>1912</v>
      </c>
      <c r="J238" s="617" t="s">
        <v>1913</v>
      </c>
      <c r="K238" s="598">
        <v>3</v>
      </c>
      <c r="L238" s="598">
        <v>7</v>
      </c>
      <c r="M238" s="621">
        <v>14000</v>
      </c>
      <c r="N238" s="598"/>
      <c r="O238" s="598"/>
      <c r="P238" s="618"/>
    </row>
    <row r="239" spans="1:16" s="619" customFormat="1" ht="24" x14ac:dyDescent="0.2">
      <c r="A239" s="598" t="s">
        <v>1907</v>
      </c>
      <c r="B239" s="620" t="s">
        <v>1908</v>
      </c>
      <c r="C239" s="598" t="s">
        <v>2015</v>
      </c>
      <c r="D239" s="598" t="s">
        <v>2334</v>
      </c>
      <c r="E239" s="621">
        <v>5000</v>
      </c>
      <c r="F239" s="599">
        <v>43796844</v>
      </c>
      <c r="G239" s="598" t="s">
        <v>2363</v>
      </c>
      <c r="H239" s="598" t="s">
        <v>2079</v>
      </c>
      <c r="I239" s="598" t="s">
        <v>1912</v>
      </c>
      <c r="J239" s="617" t="s">
        <v>1913</v>
      </c>
      <c r="K239" s="598">
        <v>7</v>
      </c>
      <c r="L239" s="598">
        <v>12</v>
      </c>
      <c r="M239" s="621">
        <v>60000</v>
      </c>
      <c r="N239" s="598"/>
      <c r="O239" s="598"/>
      <c r="P239" s="618"/>
    </row>
    <row r="240" spans="1:16" s="619" customFormat="1" ht="36" x14ac:dyDescent="0.2">
      <c r="A240" s="598" t="s">
        <v>1907</v>
      </c>
      <c r="B240" s="620" t="s">
        <v>1908</v>
      </c>
      <c r="C240" s="598" t="s">
        <v>2015</v>
      </c>
      <c r="D240" s="598" t="s">
        <v>2221</v>
      </c>
      <c r="E240" s="621">
        <v>2000</v>
      </c>
      <c r="F240" s="599">
        <v>73375495</v>
      </c>
      <c r="G240" s="598" t="s">
        <v>2364</v>
      </c>
      <c r="H240" s="598" t="s">
        <v>2182</v>
      </c>
      <c r="I240" s="598" t="s">
        <v>1912</v>
      </c>
      <c r="J240" s="617" t="s">
        <v>1913</v>
      </c>
      <c r="K240" s="598">
        <v>3</v>
      </c>
      <c r="L240" s="598">
        <v>7</v>
      </c>
      <c r="M240" s="621">
        <v>14000</v>
      </c>
      <c r="N240" s="598"/>
      <c r="O240" s="598"/>
      <c r="P240" s="618"/>
    </row>
    <row r="241" spans="1:16" s="619" customFormat="1" ht="24" x14ac:dyDescent="0.2">
      <c r="A241" s="598" t="s">
        <v>1907</v>
      </c>
      <c r="B241" s="620" t="s">
        <v>1908</v>
      </c>
      <c r="C241" s="598" t="s">
        <v>2015</v>
      </c>
      <c r="D241" s="598" t="s">
        <v>2221</v>
      </c>
      <c r="E241" s="621">
        <v>2000</v>
      </c>
      <c r="F241" s="599">
        <v>72160414</v>
      </c>
      <c r="G241" s="598" t="s">
        <v>2365</v>
      </c>
      <c r="H241" s="598" t="s">
        <v>2053</v>
      </c>
      <c r="I241" s="598" t="s">
        <v>1912</v>
      </c>
      <c r="J241" s="617" t="s">
        <v>1913</v>
      </c>
      <c r="K241" s="598">
        <v>2</v>
      </c>
      <c r="L241" s="598">
        <v>5</v>
      </c>
      <c r="M241" s="621">
        <v>10000</v>
      </c>
      <c r="N241" s="598"/>
      <c r="O241" s="598"/>
      <c r="P241" s="618"/>
    </row>
    <row r="242" spans="1:16" s="619" customFormat="1" ht="36" x14ac:dyDescent="0.2">
      <c r="A242" s="598" t="s">
        <v>1907</v>
      </c>
      <c r="B242" s="620" t="s">
        <v>1908</v>
      </c>
      <c r="C242" s="598" t="s">
        <v>2015</v>
      </c>
      <c r="D242" s="598" t="s">
        <v>2221</v>
      </c>
      <c r="E242" s="621">
        <v>2000</v>
      </c>
      <c r="F242" s="599">
        <v>46318514</v>
      </c>
      <c r="G242" s="598" t="s">
        <v>2366</v>
      </c>
      <c r="H242" s="598" t="s">
        <v>2367</v>
      </c>
      <c r="I242" s="598" t="s">
        <v>1912</v>
      </c>
      <c r="J242" s="617" t="s">
        <v>1913</v>
      </c>
      <c r="K242" s="598">
        <v>3</v>
      </c>
      <c r="L242" s="598">
        <v>7</v>
      </c>
      <c r="M242" s="621">
        <v>14000</v>
      </c>
      <c r="N242" s="598"/>
      <c r="O242" s="598"/>
      <c r="P242" s="618"/>
    </row>
    <row r="243" spans="1:16" s="619" customFormat="1" ht="24" x14ac:dyDescent="0.2">
      <c r="A243" s="598" t="s">
        <v>1907</v>
      </c>
      <c r="B243" s="620" t="s">
        <v>1908</v>
      </c>
      <c r="C243" s="598" t="s">
        <v>2015</v>
      </c>
      <c r="D243" s="598" t="s">
        <v>2221</v>
      </c>
      <c r="E243" s="621">
        <v>2000</v>
      </c>
      <c r="F243" s="599">
        <v>70164470</v>
      </c>
      <c r="G243" s="598" t="s">
        <v>2368</v>
      </c>
      <c r="H243" s="598" t="s">
        <v>2182</v>
      </c>
      <c r="I243" s="598" t="s">
        <v>1912</v>
      </c>
      <c r="J243" s="617" t="s">
        <v>1913</v>
      </c>
      <c r="K243" s="598">
        <v>6</v>
      </c>
      <c r="L243" s="598">
        <v>10</v>
      </c>
      <c r="M243" s="621">
        <v>20000</v>
      </c>
      <c r="N243" s="598"/>
      <c r="O243" s="598"/>
      <c r="P243" s="618"/>
    </row>
    <row r="244" spans="1:16" s="619" customFormat="1" ht="24" x14ac:dyDescent="0.2">
      <c r="A244" s="598" t="s">
        <v>1907</v>
      </c>
      <c r="B244" s="620" t="s">
        <v>1908</v>
      </c>
      <c r="C244" s="598" t="s">
        <v>2015</v>
      </c>
      <c r="D244" s="598" t="s">
        <v>2221</v>
      </c>
      <c r="E244" s="621">
        <v>2000</v>
      </c>
      <c r="F244" s="599">
        <v>44408349</v>
      </c>
      <c r="G244" s="598" t="s">
        <v>2369</v>
      </c>
      <c r="H244" s="598" t="s">
        <v>2053</v>
      </c>
      <c r="I244" s="598" t="s">
        <v>1912</v>
      </c>
      <c r="J244" s="617" t="s">
        <v>1913</v>
      </c>
      <c r="K244" s="598">
        <v>3</v>
      </c>
      <c r="L244" s="598">
        <v>9</v>
      </c>
      <c r="M244" s="621">
        <v>18000</v>
      </c>
      <c r="N244" s="598"/>
      <c r="O244" s="598"/>
      <c r="P244" s="618"/>
    </row>
    <row r="245" spans="1:16" s="619" customFormat="1" ht="48" x14ac:dyDescent="0.2">
      <c r="A245" s="598" t="s">
        <v>1907</v>
      </c>
      <c r="B245" s="620" t="s">
        <v>1908</v>
      </c>
      <c r="C245" s="598" t="s">
        <v>2015</v>
      </c>
      <c r="D245" s="598" t="s">
        <v>2334</v>
      </c>
      <c r="E245" s="621">
        <v>2200</v>
      </c>
      <c r="F245" s="599">
        <v>47919509</v>
      </c>
      <c r="G245" s="598" t="s">
        <v>2370</v>
      </c>
      <c r="H245" s="598" t="s">
        <v>2161</v>
      </c>
      <c r="I245" s="598" t="s">
        <v>1912</v>
      </c>
      <c r="J245" s="617" t="s">
        <v>1913</v>
      </c>
      <c r="K245" s="598">
        <v>1</v>
      </c>
      <c r="L245" s="598">
        <v>2</v>
      </c>
      <c r="M245" s="621">
        <v>4400</v>
      </c>
      <c r="N245" s="598"/>
      <c r="O245" s="598"/>
      <c r="P245" s="618"/>
    </row>
    <row r="246" spans="1:16" s="619" customFormat="1" ht="24" x14ac:dyDescent="0.2">
      <c r="A246" s="598" t="s">
        <v>1907</v>
      </c>
      <c r="B246" s="620" t="s">
        <v>1908</v>
      </c>
      <c r="C246" s="598" t="s">
        <v>2015</v>
      </c>
      <c r="D246" s="598" t="s">
        <v>2171</v>
      </c>
      <c r="E246" s="621">
        <v>2800</v>
      </c>
      <c r="F246" s="599">
        <v>71484425</v>
      </c>
      <c r="G246" s="598" t="s">
        <v>2371</v>
      </c>
      <c r="H246" s="598" t="s">
        <v>2232</v>
      </c>
      <c r="I246" s="598" t="s">
        <v>1912</v>
      </c>
      <c r="J246" s="617" t="s">
        <v>1913</v>
      </c>
      <c r="K246" s="598">
        <v>1</v>
      </c>
      <c r="L246" s="598">
        <v>3</v>
      </c>
      <c r="M246" s="621">
        <v>8400</v>
      </c>
      <c r="N246" s="598"/>
      <c r="O246" s="598"/>
      <c r="P246" s="618"/>
    </row>
    <row r="247" spans="1:16" s="619" customFormat="1" ht="36" x14ac:dyDescent="0.2">
      <c r="A247" s="598" t="s">
        <v>1907</v>
      </c>
      <c r="B247" s="620" t="s">
        <v>1908</v>
      </c>
      <c r="C247" s="598" t="s">
        <v>2015</v>
      </c>
      <c r="D247" s="598" t="s">
        <v>2221</v>
      </c>
      <c r="E247" s="621">
        <v>2000</v>
      </c>
      <c r="F247" s="599">
        <v>70937168</v>
      </c>
      <c r="G247" s="598" t="s">
        <v>2372</v>
      </c>
      <c r="H247" s="598" t="s">
        <v>2053</v>
      </c>
      <c r="I247" s="598" t="s">
        <v>1912</v>
      </c>
      <c r="J247" s="617" t="s">
        <v>1913</v>
      </c>
      <c r="K247" s="598">
        <v>2</v>
      </c>
      <c r="L247" s="598">
        <v>5</v>
      </c>
      <c r="M247" s="621">
        <v>10000</v>
      </c>
      <c r="N247" s="598"/>
      <c r="O247" s="598"/>
      <c r="P247" s="618"/>
    </row>
    <row r="248" spans="1:16" s="619" customFormat="1" ht="36" x14ac:dyDescent="0.2">
      <c r="A248" s="598" t="s">
        <v>1907</v>
      </c>
      <c r="B248" s="620" t="s">
        <v>1908</v>
      </c>
      <c r="C248" s="598" t="s">
        <v>2015</v>
      </c>
      <c r="D248" s="598" t="s">
        <v>2341</v>
      </c>
      <c r="E248" s="621">
        <v>3000</v>
      </c>
      <c r="F248" s="599">
        <v>71482859</v>
      </c>
      <c r="G248" s="598" t="s">
        <v>2373</v>
      </c>
      <c r="H248" s="598" t="s">
        <v>2079</v>
      </c>
      <c r="I248" s="598" t="s">
        <v>1912</v>
      </c>
      <c r="J248" s="617" t="s">
        <v>1913</v>
      </c>
      <c r="K248" s="598">
        <v>2</v>
      </c>
      <c r="L248" s="598">
        <v>6</v>
      </c>
      <c r="M248" s="621">
        <v>18000</v>
      </c>
      <c r="N248" s="598"/>
      <c r="O248" s="598"/>
      <c r="P248" s="618"/>
    </row>
    <row r="249" spans="1:16" s="619" customFormat="1" ht="48" x14ac:dyDescent="0.2">
      <c r="A249" s="598" t="s">
        <v>1907</v>
      </c>
      <c r="B249" s="620" t="s">
        <v>2073</v>
      </c>
      <c r="C249" s="598" t="s">
        <v>2015</v>
      </c>
      <c r="D249" s="598" t="s">
        <v>2354</v>
      </c>
      <c r="E249" s="621">
        <v>1500</v>
      </c>
      <c r="F249" s="599">
        <v>33413106</v>
      </c>
      <c r="G249" s="598" t="s">
        <v>2374</v>
      </c>
      <c r="H249" s="598"/>
      <c r="I249" s="598"/>
      <c r="J249" s="617"/>
      <c r="K249" s="598">
        <v>5</v>
      </c>
      <c r="L249" s="598">
        <v>9</v>
      </c>
      <c r="M249" s="621">
        <v>13500</v>
      </c>
      <c r="N249" s="598"/>
      <c r="O249" s="598"/>
      <c r="P249" s="618"/>
    </row>
    <row r="250" spans="1:16" s="619" customFormat="1" ht="36" x14ac:dyDescent="0.2">
      <c r="A250" s="598" t="s">
        <v>1907</v>
      </c>
      <c r="B250" s="620" t="s">
        <v>1908</v>
      </c>
      <c r="C250" s="598" t="s">
        <v>2015</v>
      </c>
      <c r="D250" s="598" t="s">
        <v>2284</v>
      </c>
      <c r="E250" s="621">
        <v>5000</v>
      </c>
      <c r="F250" s="599" t="s">
        <v>2375</v>
      </c>
      <c r="G250" s="598" t="s">
        <v>2376</v>
      </c>
      <c r="H250" s="598" t="s">
        <v>1911</v>
      </c>
      <c r="I250" s="598" t="s">
        <v>1912</v>
      </c>
      <c r="J250" s="617" t="s">
        <v>1913</v>
      </c>
      <c r="K250" s="598">
        <v>2</v>
      </c>
      <c r="L250" s="598">
        <v>4</v>
      </c>
      <c r="M250" s="621">
        <v>20000</v>
      </c>
      <c r="N250" s="598"/>
      <c r="O250" s="598"/>
      <c r="P250" s="618"/>
    </row>
    <row r="251" spans="1:16" s="619" customFormat="1" ht="36" x14ac:dyDescent="0.2">
      <c r="A251" s="598" t="s">
        <v>1907</v>
      </c>
      <c r="B251" s="620" t="s">
        <v>1908</v>
      </c>
      <c r="C251" s="598" t="s">
        <v>2015</v>
      </c>
      <c r="D251" s="598" t="s">
        <v>2284</v>
      </c>
      <c r="E251" s="621">
        <v>1000</v>
      </c>
      <c r="F251" s="599">
        <v>71338156</v>
      </c>
      <c r="G251" s="598" t="s">
        <v>2377</v>
      </c>
      <c r="H251" s="598"/>
      <c r="I251" s="598"/>
      <c r="J251" s="617"/>
      <c r="K251" s="598">
        <v>4</v>
      </c>
      <c r="L251" s="598">
        <v>8</v>
      </c>
      <c r="M251" s="621">
        <v>8000</v>
      </c>
      <c r="N251" s="598"/>
      <c r="O251" s="598"/>
      <c r="P251" s="618"/>
    </row>
    <row r="252" spans="1:16" s="619" customFormat="1" ht="36" x14ac:dyDescent="0.2">
      <c r="A252" s="598" t="s">
        <v>1907</v>
      </c>
      <c r="B252" s="620" t="s">
        <v>1908</v>
      </c>
      <c r="C252" s="598" t="s">
        <v>2015</v>
      </c>
      <c r="D252" s="598" t="s">
        <v>2284</v>
      </c>
      <c r="E252" s="621">
        <v>1000</v>
      </c>
      <c r="F252" s="599">
        <v>73763246</v>
      </c>
      <c r="G252" s="598" t="s">
        <v>2378</v>
      </c>
      <c r="H252" s="598"/>
      <c r="I252" s="598"/>
      <c r="J252" s="617"/>
      <c r="K252" s="598">
        <v>5</v>
      </c>
      <c r="L252" s="598">
        <v>9</v>
      </c>
      <c r="M252" s="621">
        <v>9000</v>
      </c>
      <c r="N252" s="598"/>
      <c r="O252" s="598"/>
      <c r="P252" s="618"/>
    </row>
    <row r="253" spans="1:16" s="619" customFormat="1" ht="48" x14ac:dyDescent="0.2">
      <c r="A253" s="598" t="s">
        <v>1907</v>
      </c>
      <c r="B253" s="620" t="s">
        <v>1908</v>
      </c>
      <c r="C253" s="598" t="s">
        <v>2015</v>
      </c>
      <c r="D253" s="598" t="s">
        <v>2334</v>
      </c>
      <c r="E253" s="621">
        <v>5000</v>
      </c>
      <c r="F253" s="599">
        <v>44935692</v>
      </c>
      <c r="G253" s="598" t="s">
        <v>2379</v>
      </c>
      <c r="H253" s="598" t="s">
        <v>2079</v>
      </c>
      <c r="I253" s="598" t="s">
        <v>1912</v>
      </c>
      <c r="J253" s="617" t="s">
        <v>1913</v>
      </c>
      <c r="K253" s="598">
        <v>7</v>
      </c>
      <c r="L253" s="598">
        <v>12</v>
      </c>
      <c r="M253" s="621">
        <v>60000</v>
      </c>
      <c r="N253" s="598"/>
      <c r="O253" s="598"/>
      <c r="P253" s="618"/>
    </row>
    <row r="254" spans="1:16" s="619" customFormat="1" ht="36" x14ac:dyDescent="0.2">
      <c r="A254" s="598" t="s">
        <v>1907</v>
      </c>
      <c r="B254" s="620" t="s">
        <v>2050</v>
      </c>
      <c r="C254" s="598" t="s">
        <v>2015</v>
      </c>
      <c r="D254" s="598" t="s">
        <v>2341</v>
      </c>
      <c r="E254" s="621">
        <v>5000</v>
      </c>
      <c r="F254" s="599">
        <v>43267432</v>
      </c>
      <c r="G254" s="598" t="s">
        <v>2380</v>
      </c>
      <c r="H254" s="598" t="s">
        <v>2079</v>
      </c>
      <c r="I254" s="598" t="s">
        <v>1912</v>
      </c>
      <c r="J254" s="617" t="s">
        <v>1913</v>
      </c>
      <c r="K254" s="598">
        <v>6</v>
      </c>
      <c r="L254" s="598">
        <v>12</v>
      </c>
      <c r="M254" s="621">
        <v>60000</v>
      </c>
      <c r="N254" s="598"/>
      <c r="O254" s="598"/>
      <c r="P254" s="618"/>
    </row>
    <row r="255" spans="1:16" s="619" customFormat="1" ht="24" x14ac:dyDescent="0.2">
      <c r="A255" s="598" t="s">
        <v>1907</v>
      </c>
      <c r="B255" s="620" t="s">
        <v>1908</v>
      </c>
      <c r="C255" s="598" t="s">
        <v>2015</v>
      </c>
      <c r="D255" s="598" t="s">
        <v>2334</v>
      </c>
      <c r="E255" s="621">
        <v>5000</v>
      </c>
      <c r="F255" s="599">
        <v>45982245</v>
      </c>
      <c r="G255" s="598" t="s">
        <v>2381</v>
      </c>
      <c r="H255" s="598" t="s">
        <v>2079</v>
      </c>
      <c r="I255" s="598" t="s">
        <v>1912</v>
      </c>
      <c r="J255" s="617" t="s">
        <v>1913</v>
      </c>
      <c r="K255" s="598">
        <v>3</v>
      </c>
      <c r="L255" s="598">
        <v>5</v>
      </c>
      <c r="M255" s="621">
        <v>25000</v>
      </c>
      <c r="N255" s="598"/>
      <c r="O255" s="598"/>
      <c r="P255" s="618"/>
    </row>
    <row r="256" spans="1:16" s="619" customFormat="1" ht="24" x14ac:dyDescent="0.2">
      <c r="A256" s="598" t="s">
        <v>1907</v>
      </c>
      <c r="B256" s="620" t="s">
        <v>1908</v>
      </c>
      <c r="C256" s="598" t="s">
        <v>2015</v>
      </c>
      <c r="D256" s="598" t="s">
        <v>2354</v>
      </c>
      <c r="E256" s="621">
        <v>1500</v>
      </c>
      <c r="F256" s="599">
        <v>42361643</v>
      </c>
      <c r="G256" s="598" t="s">
        <v>2382</v>
      </c>
      <c r="H256" s="598"/>
      <c r="I256" s="598"/>
      <c r="J256" s="617"/>
      <c r="K256" s="598">
        <v>1</v>
      </c>
      <c r="L256" s="598">
        <v>2</v>
      </c>
      <c r="M256" s="621">
        <v>3000</v>
      </c>
      <c r="N256" s="598"/>
      <c r="O256" s="598"/>
      <c r="P256" s="618"/>
    </row>
    <row r="257" spans="1:16" s="619" customFormat="1" ht="36" x14ac:dyDescent="0.2">
      <c r="A257" s="598" t="s">
        <v>1907</v>
      </c>
      <c r="B257" s="620" t="s">
        <v>1908</v>
      </c>
      <c r="C257" s="598" t="s">
        <v>2015</v>
      </c>
      <c r="D257" s="598" t="s">
        <v>2284</v>
      </c>
      <c r="E257" s="621">
        <v>1500</v>
      </c>
      <c r="F257" s="599">
        <v>71456642</v>
      </c>
      <c r="G257" s="598" t="s">
        <v>2383</v>
      </c>
      <c r="H257" s="598" t="s">
        <v>2384</v>
      </c>
      <c r="I257" s="598" t="s">
        <v>1912</v>
      </c>
      <c r="J257" s="617" t="s">
        <v>1931</v>
      </c>
      <c r="K257" s="598">
        <v>5</v>
      </c>
      <c r="L257" s="598">
        <v>9</v>
      </c>
      <c r="M257" s="621">
        <v>13500</v>
      </c>
      <c r="N257" s="598"/>
      <c r="O257" s="598"/>
      <c r="P257" s="618"/>
    </row>
    <row r="258" spans="1:16" s="619" customFormat="1" ht="24" x14ac:dyDescent="0.2">
      <c r="A258" s="598" t="s">
        <v>1907</v>
      </c>
      <c r="B258" s="620" t="s">
        <v>2050</v>
      </c>
      <c r="C258" s="598" t="s">
        <v>2015</v>
      </c>
      <c r="D258" s="598" t="s">
        <v>2354</v>
      </c>
      <c r="E258" s="621">
        <v>1500</v>
      </c>
      <c r="F258" s="599">
        <v>40813395</v>
      </c>
      <c r="G258" s="598" t="s">
        <v>2385</v>
      </c>
      <c r="H258" s="598"/>
      <c r="I258" s="598"/>
      <c r="J258" s="617"/>
      <c r="K258" s="598">
        <v>6</v>
      </c>
      <c r="L258" s="598">
        <v>10</v>
      </c>
      <c r="M258" s="621">
        <v>15000</v>
      </c>
      <c r="N258" s="598"/>
      <c r="O258" s="598"/>
      <c r="P258" s="618"/>
    </row>
    <row r="259" spans="1:16" s="619" customFormat="1" ht="36" x14ac:dyDescent="0.2">
      <c r="A259" s="598" t="s">
        <v>1907</v>
      </c>
      <c r="B259" s="620" t="s">
        <v>1908</v>
      </c>
      <c r="C259" s="598" t="s">
        <v>2015</v>
      </c>
      <c r="D259" s="598" t="s">
        <v>2284</v>
      </c>
      <c r="E259" s="621">
        <v>1000</v>
      </c>
      <c r="F259" s="599">
        <v>47063499</v>
      </c>
      <c r="G259" s="598" t="s">
        <v>2386</v>
      </c>
      <c r="H259" s="598"/>
      <c r="I259" s="598"/>
      <c r="J259" s="617"/>
      <c r="K259" s="598">
        <v>5</v>
      </c>
      <c r="L259" s="598">
        <v>9</v>
      </c>
      <c r="M259" s="621">
        <v>9000</v>
      </c>
      <c r="N259" s="598"/>
      <c r="O259" s="598"/>
      <c r="P259" s="618"/>
    </row>
    <row r="260" spans="1:16" s="619" customFormat="1" ht="24" x14ac:dyDescent="0.2">
      <c r="A260" s="598" t="s">
        <v>1907</v>
      </c>
      <c r="B260" s="620" t="s">
        <v>1908</v>
      </c>
      <c r="C260" s="598" t="s">
        <v>2015</v>
      </c>
      <c r="D260" s="598" t="s">
        <v>2276</v>
      </c>
      <c r="E260" s="621">
        <v>1500</v>
      </c>
      <c r="F260" s="599">
        <v>33433144</v>
      </c>
      <c r="G260" s="598" t="s">
        <v>2387</v>
      </c>
      <c r="H260" s="598"/>
      <c r="I260" s="598"/>
      <c r="J260" s="617"/>
      <c r="K260" s="598">
        <v>7</v>
      </c>
      <c r="L260" s="598">
        <v>10</v>
      </c>
      <c r="M260" s="621">
        <v>15000</v>
      </c>
      <c r="N260" s="598"/>
      <c r="O260" s="598"/>
      <c r="P260" s="618"/>
    </row>
    <row r="261" spans="1:16" s="619" customFormat="1" ht="24" x14ac:dyDescent="0.2">
      <c r="A261" s="598" t="s">
        <v>1907</v>
      </c>
      <c r="B261" s="620" t="s">
        <v>1908</v>
      </c>
      <c r="C261" s="598" t="s">
        <v>2015</v>
      </c>
      <c r="D261" s="598" t="s">
        <v>2334</v>
      </c>
      <c r="E261" s="621">
        <v>5000</v>
      </c>
      <c r="F261" s="599">
        <v>45480484</v>
      </c>
      <c r="G261" s="598" t="s">
        <v>2388</v>
      </c>
      <c r="H261" s="598" t="s">
        <v>2079</v>
      </c>
      <c r="I261" s="598" t="s">
        <v>1912</v>
      </c>
      <c r="J261" s="617" t="s">
        <v>1913</v>
      </c>
      <c r="K261" s="598">
        <v>7</v>
      </c>
      <c r="L261" s="598">
        <v>12</v>
      </c>
      <c r="M261" s="621">
        <v>60000</v>
      </c>
      <c r="N261" s="598"/>
      <c r="O261" s="598"/>
      <c r="P261" s="618"/>
    </row>
    <row r="262" spans="1:16" s="619" customFormat="1" ht="24" x14ac:dyDescent="0.2">
      <c r="A262" s="598" t="s">
        <v>1907</v>
      </c>
      <c r="B262" s="620" t="s">
        <v>2050</v>
      </c>
      <c r="C262" s="598" t="s">
        <v>2015</v>
      </c>
      <c r="D262" s="598" t="s">
        <v>2221</v>
      </c>
      <c r="E262" s="621">
        <v>2000</v>
      </c>
      <c r="F262" s="599">
        <v>40813388</v>
      </c>
      <c r="G262" s="598" t="s">
        <v>2389</v>
      </c>
      <c r="H262" s="598"/>
      <c r="I262" s="598"/>
      <c r="J262" s="617"/>
      <c r="K262" s="598">
        <v>3</v>
      </c>
      <c r="L262" s="598">
        <v>8</v>
      </c>
      <c r="M262" s="621">
        <v>16000</v>
      </c>
      <c r="N262" s="598"/>
      <c r="O262" s="598"/>
      <c r="P262" s="618"/>
    </row>
    <row r="263" spans="1:16" s="619" customFormat="1" ht="36" x14ac:dyDescent="0.2">
      <c r="A263" s="598" t="s">
        <v>1907</v>
      </c>
      <c r="B263" s="620" t="s">
        <v>1908</v>
      </c>
      <c r="C263" s="598" t="s">
        <v>2015</v>
      </c>
      <c r="D263" s="598" t="s">
        <v>2354</v>
      </c>
      <c r="E263" s="621">
        <v>1100</v>
      </c>
      <c r="F263" s="599">
        <v>41122074</v>
      </c>
      <c r="G263" s="598" t="s">
        <v>2390</v>
      </c>
      <c r="H263" s="598"/>
      <c r="I263" s="598"/>
      <c r="J263" s="617"/>
      <c r="K263" s="598">
        <v>5</v>
      </c>
      <c r="L263" s="598">
        <v>8</v>
      </c>
      <c r="M263" s="621">
        <v>8800</v>
      </c>
      <c r="N263" s="598"/>
      <c r="O263" s="598"/>
      <c r="P263" s="618"/>
    </row>
    <row r="264" spans="1:16" s="619" customFormat="1" ht="36" x14ac:dyDescent="0.2">
      <c r="A264" s="598" t="s">
        <v>1907</v>
      </c>
      <c r="B264" s="620" t="s">
        <v>1908</v>
      </c>
      <c r="C264" s="598" t="s">
        <v>2015</v>
      </c>
      <c r="D264" s="598" t="s">
        <v>2354</v>
      </c>
      <c r="E264" s="621">
        <v>1800</v>
      </c>
      <c r="F264" s="599">
        <v>46328741</v>
      </c>
      <c r="G264" s="598" t="s">
        <v>2391</v>
      </c>
      <c r="H264" s="598" t="s">
        <v>2036</v>
      </c>
      <c r="I264" s="598" t="s">
        <v>1912</v>
      </c>
      <c r="J264" s="617" t="s">
        <v>1931</v>
      </c>
      <c r="K264" s="598">
        <v>6</v>
      </c>
      <c r="L264" s="598">
        <v>10</v>
      </c>
      <c r="M264" s="621">
        <v>18000</v>
      </c>
      <c r="N264" s="598"/>
      <c r="O264" s="598"/>
      <c r="P264" s="618"/>
    </row>
    <row r="265" spans="1:16" s="619" customFormat="1" ht="48" x14ac:dyDescent="0.2">
      <c r="A265" s="598" t="s">
        <v>1907</v>
      </c>
      <c r="B265" s="620" t="s">
        <v>1908</v>
      </c>
      <c r="C265" s="598" t="s">
        <v>2015</v>
      </c>
      <c r="D265" s="598" t="s">
        <v>2221</v>
      </c>
      <c r="E265" s="621">
        <v>2000</v>
      </c>
      <c r="F265" s="599">
        <v>46534939</v>
      </c>
      <c r="G265" s="598" t="s">
        <v>2392</v>
      </c>
      <c r="H265" s="598" t="s">
        <v>2263</v>
      </c>
      <c r="I265" s="598" t="s">
        <v>1912</v>
      </c>
      <c r="J265" s="617" t="s">
        <v>1931</v>
      </c>
      <c r="K265" s="598">
        <v>2</v>
      </c>
      <c r="L265" s="598">
        <v>5</v>
      </c>
      <c r="M265" s="621">
        <v>10000</v>
      </c>
      <c r="N265" s="598"/>
      <c r="O265" s="598"/>
      <c r="P265" s="618"/>
    </row>
    <row r="266" spans="1:16" s="619" customFormat="1" ht="36" x14ac:dyDescent="0.2">
      <c r="A266" s="598" t="s">
        <v>1907</v>
      </c>
      <c r="B266" s="620" t="s">
        <v>1908</v>
      </c>
      <c r="C266" s="598" t="s">
        <v>2015</v>
      </c>
      <c r="D266" s="598" t="s">
        <v>2334</v>
      </c>
      <c r="E266" s="621">
        <v>1900</v>
      </c>
      <c r="F266" s="599">
        <v>47362772</v>
      </c>
      <c r="G266" s="598" t="s">
        <v>2393</v>
      </c>
      <c r="H266" s="598" t="s">
        <v>2394</v>
      </c>
      <c r="I266" s="598" t="s">
        <v>1912</v>
      </c>
      <c r="J266" s="617" t="s">
        <v>1913</v>
      </c>
      <c r="K266" s="598">
        <v>3</v>
      </c>
      <c r="L266" s="598">
        <v>5</v>
      </c>
      <c r="M266" s="621">
        <v>9500</v>
      </c>
      <c r="N266" s="598"/>
      <c r="O266" s="598"/>
      <c r="P266" s="618"/>
    </row>
    <row r="267" spans="1:16" s="619" customFormat="1" ht="36" x14ac:dyDescent="0.2">
      <c r="A267" s="598" t="s">
        <v>1907</v>
      </c>
      <c r="B267" s="620" t="s">
        <v>1908</v>
      </c>
      <c r="C267" s="598" t="s">
        <v>2015</v>
      </c>
      <c r="D267" s="598" t="s">
        <v>2221</v>
      </c>
      <c r="E267" s="621">
        <v>2000</v>
      </c>
      <c r="F267" s="599">
        <v>42695115</v>
      </c>
      <c r="G267" s="598" t="s">
        <v>2395</v>
      </c>
      <c r="H267" s="598" t="s">
        <v>2263</v>
      </c>
      <c r="I267" s="598" t="s">
        <v>1912</v>
      </c>
      <c r="J267" s="617" t="s">
        <v>1931</v>
      </c>
      <c r="K267" s="598">
        <v>1</v>
      </c>
      <c r="L267" s="598">
        <v>3</v>
      </c>
      <c r="M267" s="621">
        <v>6000</v>
      </c>
      <c r="N267" s="598"/>
      <c r="O267" s="598"/>
      <c r="P267" s="618"/>
    </row>
    <row r="268" spans="1:16" s="619" customFormat="1" ht="36" x14ac:dyDescent="0.2">
      <c r="A268" s="598" t="s">
        <v>1907</v>
      </c>
      <c r="B268" s="620" t="s">
        <v>1908</v>
      </c>
      <c r="C268" s="598" t="s">
        <v>2015</v>
      </c>
      <c r="D268" s="598" t="s">
        <v>2396</v>
      </c>
      <c r="E268" s="621">
        <v>5000</v>
      </c>
      <c r="F268" s="599">
        <v>41433513</v>
      </c>
      <c r="G268" s="598" t="s">
        <v>2397</v>
      </c>
      <c r="H268" s="598" t="s">
        <v>1985</v>
      </c>
      <c r="I268" s="598" t="s">
        <v>1912</v>
      </c>
      <c r="J268" s="617" t="s">
        <v>1913</v>
      </c>
      <c r="K268" s="598">
        <v>6</v>
      </c>
      <c r="L268" s="598">
        <v>9</v>
      </c>
      <c r="M268" s="621">
        <v>45000</v>
      </c>
      <c r="N268" s="598"/>
      <c r="O268" s="598"/>
      <c r="P268" s="618"/>
    </row>
    <row r="269" spans="1:16" s="619" customFormat="1" ht="36" x14ac:dyDescent="0.2">
      <c r="A269" s="598" t="s">
        <v>1907</v>
      </c>
      <c r="B269" s="620" t="s">
        <v>1908</v>
      </c>
      <c r="C269" s="598" t="s">
        <v>2015</v>
      </c>
      <c r="D269" s="598" t="s">
        <v>2221</v>
      </c>
      <c r="E269" s="621">
        <v>2000</v>
      </c>
      <c r="F269" s="599">
        <v>43138665</v>
      </c>
      <c r="G269" s="598" t="s">
        <v>2398</v>
      </c>
      <c r="H269" s="598" t="s">
        <v>2399</v>
      </c>
      <c r="I269" s="598" t="s">
        <v>1912</v>
      </c>
      <c r="J269" s="617" t="s">
        <v>1913</v>
      </c>
      <c r="K269" s="598">
        <v>1</v>
      </c>
      <c r="L269" s="598">
        <v>2</v>
      </c>
      <c r="M269" s="621">
        <v>4000</v>
      </c>
      <c r="N269" s="598"/>
      <c r="O269" s="598"/>
      <c r="P269" s="618"/>
    </row>
    <row r="270" spans="1:16" s="619" customFormat="1" ht="48" x14ac:dyDescent="0.2">
      <c r="A270" s="598" t="s">
        <v>1907</v>
      </c>
      <c r="B270" s="620" t="s">
        <v>1908</v>
      </c>
      <c r="C270" s="598" t="s">
        <v>2015</v>
      </c>
      <c r="D270" s="598" t="s">
        <v>2221</v>
      </c>
      <c r="E270" s="621">
        <v>2000</v>
      </c>
      <c r="F270" s="599">
        <v>16527511</v>
      </c>
      <c r="G270" s="598" t="s">
        <v>2400</v>
      </c>
      <c r="H270" s="598" t="s">
        <v>2401</v>
      </c>
      <c r="I270" s="598" t="s">
        <v>1912</v>
      </c>
      <c r="J270" s="617" t="s">
        <v>1913</v>
      </c>
      <c r="K270" s="598">
        <v>1</v>
      </c>
      <c r="L270" s="598">
        <v>2</v>
      </c>
      <c r="M270" s="621">
        <v>4000</v>
      </c>
      <c r="N270" s="598"/>
      <c r="O270" s="598"/>
      <c r="P270" s="618"/>
    </row>
    <row r="271" spans="1:16" s="619" customFormat="1" ht="36" x14ac:dyDescent="0.2">
      <c r="A271" s="598" t="s">
        <v>1907</v>
      </c>
      <c r="B271" s="620" t="s">
        <v>1908</v>
      </c>
      <c r="C271" s="598" t="s">
        <v>2015</v>
      </c>
      <c r="D271" s="598" t="s">
        <v>2284</v>
      </c>
      <c r="E271" s="621">
        <v>2000</v>
      </c>
      <c r="F271" s="599">
        <v>71950772</v>
      </c>
      <c r="G271" s="598" t="s">
        <v>2402</v>
      </c>
      <c r="H271" s="598" t="s">
        <v>2403</v>
      </c>
      <c r="I271" s="598" t="s">
        <v>1912</v>
      </c>
      <c r="J271" s="617" t="s">
        <v>1913</v>
      </c>
      <c r="K271" s="598">
        <v>6</v>
      </c>
      <c r="L271" s="598">
        <v>9</v>
      </c>
      <c r="M271" s="621">
        <v>18000</v>
      </c>
      <c r="N271" s="598"/>
      <c r="O271" s="598"/>
      <c r="P271" s="618"/>
    </row>
    <row r="272" spans="1:16" s="619" customFormat="1" ht="48" x14ac:dyDescent="0.2">
      <c r="A272" s="598" t="s">
        <v>1907</v>
      </c>
      <c r="B272" s="620" t="s">
        <v>1908</v>
      </c>
      <c r="C272" s="598" t="s">
        <v>2015</v>
      </c>
      <c r="D272" s="598" t="s">
        <v>2404</v>
      </c>
      <c r="E272" s="621">
        <v>1000</v>
      </c>
      <c r="F272" s="599">
        <v>43399936</v>
      </c>
      <c r="G272" s="598" t="s">
        <v>2405</v>
      </c>
      <c r="H272" s="598"/>
      <c r="I272" s="598"/>
      <c r="J272" s="617"/>
      <c r="K272" s="598">
        <v>4</v>
      </c>
      <c r="L272" s="598">
        <v>7</v>
      </c>
      <c r="M272" s="621">
        <v>7000</v>
      </c>
      <c r="N272" s="598"/>
      <c r="O272" s="598"/>
      <c r="P272" s="618"/>
    </row>
    <row r="273" spans="1:16" s="619" customFormat="1" ht="36" x14ac:dyDescent="0.2">
      <c r="A273" s="598" t="s">
        <v>1907</v>
      </c>
      <c r="B273" s="620" t="s">
        <v>1908</v>
      </c>
      <c r="C273" s="598" t="s">
        <v>2015</v>
      </c>
      <c r="D273" s="598" t="s">
        <v>2051</v>
      </c>
      <c r="E273" s="621">
        <v>3000</v>
      </c>
      <c r="F273" s="599">
        <v>73527168</v>
      </c>
      <c r="G273" s="598" t="s">
        <v>2406</v>
      </c>
      <c r="H273" s="598" t="s">
        <v>2357</v>
      </c>
      <c r="I273" s="598" t="s">
        <v>1912</v>
      </c>
      <c r="J273" s="617" t="s">
        <v>1913</v>
      </c>
      <c r="K273" s="598">
        <v>6</v>
      </c>
      <c r="L273" s="598">
        <v>10</v>
      </c>
      <c r="M273" s="621">
        <v>30000</v>
      </c>
      <c r="N273" s="598"/>
      <c r="O273" s="598"/>
      <c r="P273" s="618"/>
    </row>
    <row r="274" spans="1:16" s="619" customFormat="1" ht="36" x14ac:dyDescent="0.2">
      <c r="A274" s="598" t="s">
        <v>1907</v>
      </c>
      <c r="B274" s="620" t="s">
        <v>1908</v>
      </c>
      <c r="C274" s="598" t="s">
        <v>2015</v>
      </c>
      <c r="D274" s="598" t="s">
        <v>2354</v>
      </c>
      <c r="E274" s="621">
        <v>1200</v>
      </c>
      <c r="F274" s="599">
        <v>73750620</v>
      </c>
      <c r="G274" s="598" t="s">
        <v>2407</v>
      </c>
      <c r="H274" s="598"/>
      <c r="I274" s="598"/>
      <c r="J274" s="617"/>
      <c r="K274" s="598">
        <v>1</v>
      </c>
      <c r="L274" s="598">
        <v>3</v>
      </c>
      <c r="M274" s="621">
        <v>3600</v>
      </c>
      <c r="N274" s="598"/>
      <c r="O274" s="598"/>
      <c r="P274" s="618"/>
    </row>
    <row r="275" spans="1:16" s="619" customFormat="1" ht="48" x14ac:dyDescent="0.2">
      <c r="A275" s="598" t="s">
        <v>1907</v>
      </c>
      <c r="B275" s="620" t="s">
        <v>2073</v>
      </c>
      <c r="C275" s="598" t="s">
        <v>2015</v>
      </c>
      <c r="D275" s="598" t="s">
        <v>2202</v>
      </c>
      <c r="E275" s="621">
        <v>6000</v>
      </c>
      <c r="F275" s="599">
        <v>27695801</v>
      </c>
      <c r="G275" s="598" t="s">
        <v>2408</v>
      </c>
      <c r="H275" s="598" t="s">
        <v>2079</v>
      </c>
      <c r="I275" s="598" t="s">
        <v>1912</v>
      </c>
      <c r="J275" s="617" t="s">
        <v>1913</v>
      </c>
      <c r="K275" s="598">
        <v>5</v>
      </c>
      <c r="L275" s="598">
        <v>11</v>
      </c>
      <c r="M275" s="621">
        <v>66000</v>
      </c>
      <c r="N275" s="598"/>
      <c r="O275" s="598"/>
      <c r="P275" s="618"/>
    </row>
    <row r="276" spans="1:16" s="619" customFormat="1" ht="24" x14ac:dyDescent="0.2">
      <c r="A276" s="598" t="s">
        <v>1907</v>
      </c>
      <c r="B276" s="620" t="s">
        <v>2050</v>
      </c>
      <c r="C276" s="598" t="s">
        <v>2015</v>
      </c>
      <c r="D276" s="598" t="s">
        <v>2341</v>
      </c>
      <c r="E276" s="621">
        <v>1600</v>
      </c>
      <c r="F276" s="599">
        <v>41433511</v>
      </c>
      <c r="G276" s="598" t="s">
        <v>2409</v>
      </c>
      <c r="H276" s="598"/>
      <c r="I276" s="598"/>
      <c r="J276" s="617"/>
      <c r="K276" s="598">
        <v>5</v>
      </c>
      <c r="L276" s="598">
        <v>11</v>
      </c>
      <c r="M276" s="621">
        <v>17600</v>
      </c>
      <c r="N276" s="598"/>
      <c r="O276" s="598"/>
      <c r="P276" s="618"/>
    </row>
    <row r="277" spans="1:16" s="619" customFormat="1" ht="36" x14ac:dyDescent="0.2">
      <c r="A277" s="598" t="s">
        <v>1907</v>
      </c>
      <c r="B277" s="620" t="s">
        <v>1908</v>
      </c>
      <c r="C277" s="598" t="s">
        <v>2015</v>
      </c>
      <c r="D277" s="598" t="s">
        <v>2354</v>
      </c>
      <c r="E277" s="621">
        <v>1500</v>
      </c>
      <c r="F277" s="599">
        <v>16733591</v>
      </c>
      <c r="G277" s="598" t="s">
        <v>2410</v>
      </c>
      <c r="H277" s="598" t="s">
        <v>2104</v>
      </c>
      <c r="I277" s="598" t="s">
        <v>1912</v>
      </c>
      <c r="J277" s="617" t="s">
        <v>1931</v>
      </c>
      <c r="K277" s="598">
        <v>1</v>
      </c>
      <c r="L277" s="598">
        <v>1</v>
      </c>
      <c r="M277" s="621">
        <v>1500</v>
      </c>
      <c r="N277" s="598"/>
      <c r="O277" s="598"/>
      <c r="P277" s="618"/>
    </row>
    <row r="278" spans="1:16" s="619" customFormat="1" ht="24" x14ac:dyDescent="0.2">
      <c r="A278" s="598" t="s">
        <v>1907</v>
      </c>
      <c r="B278" s="620" t="s">
        <v>1908</v>
      </c>
      <c r="C278" s="598" t="s">
        <v>2015</v>
      </c>
      <c r="D278" s="598" t="s">
        <v>2051</v>
      </c>
      <c r="E278" s="621">
        <v>3000</v>
      </c>
      <c r="F278" s="599">
        <v>46854857</v>
      </c>
      <c r="G278" s="598" t="s">
        <v>2411</v>
      </c>
      <c r="H278" s="598" t="s">
        <v>2412</v>
      </c>
      <c r="I278" s="598" t="s">
        <v>1912</v>
      </c>
      <c r="J278" s="617" t="s">
        <v>1913</v>
      </c>
      <c r="K278" s="598">
        <v>5</v>
      </c>
      <c r="L278" s="598">
        <v>6</v>
      </c>
      <c r="M278" s="621">
        <v>18000</v>
      </c>
      <c r="N278" s="598"/>
      <c r="O278" s="598"/>
      <c r="P278" s="618"/>
    </row>
    <row r="279" spans="1:16" s="619" customFormat="1" ht="36" x14ac:dyDescent="0.2">
      <c r="A279" s="598" t="s">
        <v>1907</v>
      </c>
      <c r="B279" s="620" t="s">
        <v>1908</v>
      </c>
      <c r="C279" s="598" t="s">
        <v>2015</v>
      </c>
      <c r="D279" s="598" t="s">
        <v>2413</v>
      </c>
      <c r="E279" s="621">
        <v>2000</v>
      </c>
      <c r="F279" s="599">
        <v>45626034</v>
      </c>
      <c r="G279" s="598" t="s">
        <v>2414</v>
      </c>
      <c r="H279" s="598" t="s">
        <v>2415</v>
      </c>
      <c r="I279" s="598" t="s">
        <v>1912</v>
      </c>
      <c r="J279" s="617" t="s">
        <v>1913</v>
      </c>
      <c r="K279" s="598">
        <v>5</v>
      </c>
      <c r="L279" s="598">
        <v>7</v>
      </c>
      <c r="M279" s="621">
        <v>14000</v>
      </c>
      <c r="N279" s="598"/>
      <c r="O279" s="598"/>
      <c r="P279" s="618"/>
    </row>
    <row r="280" spans="1:16" s="619" customFormat="1" ht="24" x14ac:dyDescent="0.2">
      <c r="A280" s="598" t="s">
        <v>1907</v>
      </c>
      <c r="B280" s="620" t="s">
        <v>1908</v>
      </c>
      <c r="C280" s="598" t="s">
        <v>2015</v>
      </c>
      <c r="D280" s="598" t="s">
        <v>2416</v>
      </c>
      <c r="E280" s="621">
        <v>5500</v>
      </c>
      <c r="F280" s="599">
        <v>27734861</v>
      </c>
      <c r="G280" s="598" t="s">
        <v>2417</v>
      </c>
      <c r="H280" s="598" t="s">
        <v>1922</v>
      </c>
      <c r="I280" s="598" t="s">
        <v>1912</v>
      </c>
      <c r="J280" s="617" t="s">
        <v>1913</v>
      </c>
      <c r="K280" s="598">
        <v>1</v>
      </c>
      <c r="L280" s="598">
        <v>2</v>
      </c>
      <c r="M280" s="621">
        <v>11000</v>
      </c>
      <c r="N280" s="598"/>
      <c r="O280" s="598"/>
      <c r="P280" s="618"/>
    </row>
    <row r="281" spans="1:16" s="619" customFormat="1" ht="24" x14ac:dyDescent="0.2">
      <c r="A281" s="598" t="s">
        <v>1907</v>
      </c>
      <c r="B281" s="620" t="s">
        <v>1908</v>
      </c>
      <c r="C281" s="598" t="s">
        <v>2015</v>
      </c>
      <c r="D281" s="598" t="s">
        <v>2418</v>
      </c>
      <c r="E281" s="621">
        <v>1000</v>
      </c>
      <c r="F281" s="599">
        <v>73658418</v>
      </c>
      <c r="G281" s="598" t="s">
        <v>2419</v>
      </c>
      <c r="H281" s="598"/>
      <c r="I281" s="598"/>
      <c r="J281" s="617"/>
      <c r="K281" s="598">
        <v>6</v>
      </c>
      <c r="L281" s="598">
        <v>10</v>
      </c>
      <c r="M281" s="621">
        <v>10000</v>
      </c>
      <c r="N281" s="598"/>
      <c r="O281" s="598"/>
      <c r="P281" s="618"/>
    </row>
    <row r="282" spans="1:16" s="619" customFormat="1" ht="24" x14ac:dyDescent="0.2">
      <c r="A282" s="598" t="s">
        <v>1907</v>
      </c>
      <c r="B282" s="620" t="s">
        <v>1908</v>
      </c>
      <c r="C282" s="598" t="s">
        <v>2015</v>
      </c>
      <c r="D282" s="598" t="s">
        <v>2420</v>
      </c>
      <c r="E282" s="621">
        <v>3500</v>
      </c>
      <c r="F282" s="599">
        <v>43274145</v>
      </c>
      <c r="G282" s="598" t="s">
        <v>2421</v>
      </c>
      <c r="H282" s="598" t="s">
        <v>2182</v>
      </c>
      <c r="I282" s="598" t="s">
        <v>1912</v>
      </c>
      <c r="J282" s="617" t="s">
        <v>1913</v>
      </c>
      <c r="K282" s="598">
        <v>3</v>
      </c>
      <c r="L282" s="598">
        <v>4</v>
      </c>
      <c r="M282" s="621">
        <v>14000</v>
      </c>
      <c r="N282" s="598"/>
      <c r="O282" s="598"/>
      <c r="P282" s="618"/>
    </row>
    <row r="283" spans="1:16" s="619" customFormat="1" ht="36" x14ac:dyDescent="0.2">
      <c r="A283" s="598" t="s">
        <v>1907</v>
      </c>
      <c r="B283" s="620" t="s">
        <v>1908</v>
      </c>
      <c r="C283" s="598" t="s">
        <v>2015</v>
      </c>
      <c r="D283" s="598" t="s">
        <v>2328</v>
      </c>
      <c r="E283" s="621">
        <v>3500</v>
      </c>
      <c r="F283" s="599">
        <v>42533940</v>
      </c>
      <c r="G283" s="598" t="s">
        <v>2422</v>
      </c>
      <c r="H283" s="598" t="s">
        <v>2330</v>
      </c>
      <c r="I283" s="598" t="s">
        <v>1912</v>
      </c>
      <c r="J283" s="617" t="s">
        <v>1913</v>
      </c>
      <c r="K283" s="598">
        <v>3</v>
      </c>
      <c r="L283" s="598">
        <v>7</v>
      </c>
      <c r="M283" s="621">
        <v>24500</v>
      </c>
      <c r="N283" s="598"/>
      <c r="O283" s="598"/>
      <c r="P283" s="618"/>
    </row>
    <row r="284" spans="1:16" s="619" customFormat="1" ht="24" x14ac:dyDescent="0.2">
      <c r="A284" s="598" t="s">
        <v>1907</v>
      </c>
      <c r="B284" s="620" t="s">
        <v>1908</v>
      </c>
      <c r="C284" s="598" t="s">
        <v>2015</v>
      </c>
      <c r="D284" s="598" t="s">
        <v>2423</v>
      </c>
      <c r="E284" s="621">
        <v>1800</v>
      </c>
      <c r="F284" s="599">
        <v>41304241</v>
      </c>
      <c r="G284" s="598" t="s">
        <v>2424</v>
      </c>
      <c r="H284" s="598" t="s">
        <v>1931</v>
      </c>
      <c r="I284" s="598" t="s">
        <v>1912</v>
      </c>
      <c r="J284" s="617" t="s">
        <v>1931</v>
      </c>
      <c r="K284" s="598">
        <v>6</v>
      </c>
      <c r="L284" s="598">
        <v>10</v>
      </c>
      <c r="M284" s="621">
        <v>18000</v>
      </c>
      <c r="N284" s="598"/>
      <c r="O284" s="598"/>
      <c r="P284" s="618"/>
    </row>
    <row r="285" spans="1:16" s="619" customFormat="1" ht="36" x14ac:dyDescent="0.2">
      <c r="A285" s="598" t="s">
        <v>1907</v>
      </c>
      <c r="B285" s="620" t="s">
        <v>1908</v>
      </c>
      <c r="C285" s="598" t="s">
        <v>2015</v>
      </c>
      <c r="D285" s="598" t="s">
        <v>2425</v>
      </c>
      <c r="E285" s="621">
        <v>1800</v>
      </c>
      <c r="F285" s="599">
        <v>41241203</v>
      </c>
      <c r="G285" s="598" t="s">
        <v>2426</v>
      </c>
      <c r="H285" s="598" t="s">
        <v>2087</v>
      </c>
      <c r="I285" s="598" t="s">
        <v>1912</v>
      </c>
      <c r="J285" s="617" t="s">
        <v>1931</v>
      </c>
      <c r="K285" s="598">
        <v>6</v>
      </c>
      <c r="L285" s="598">
        <v>10</v>
      </c>
      <c r="M285" s="621">
        <v>18000</v>
      </c>
      <c r="N285" s="598"/>
      <c r="O285" s="598"/>
      <c r="P285" s="618"/>
    </row>
    <row r="286" spans="1:16" s="619" customFormat="1" ht="24" x14ac:dyDescent="0.2">
      <c r="A286" s="598" t="s">
        <v>1907</v>
      </c>
      <c r="B286" s="620" t="s">
        <v>1908</v>
      </c>
      <c r="C286" s="598" t="s">
        <v>2015</v>
      </c>
      <c r="D286" s="598" t="s">
        <v>2427</v>
      </c>
      <c r="E286" s="621">
        <v>1500</v>
      </c>
      <c r="F286" s="599">
        <v>46683664</v>
      </c>
      <c r="G286" s="598" t="s">
        <v>2428</v>
      </c>
      <c r="H286" s="598"/>
      <c r="I286" s="598"/>
      <c r="J286" s="617"/>
      <c r="K286" s="598">
        <v>5</v>
      </c>
      <c r="L286" s="598">
        <v>9</v>
      </c>
      <c r="M286" s="621">
        <v>13500</v>
      </c>
      <c r="N286" s="598"/>
      <c r="O286" s="598"/>
      <c r="P286" s="618"/>
    </row>
    <row r="287" spans="1:16" s="619" customFormat="1" ht="36" x14ac:dyDescent="0.2">
      <c r="A287" s="598" t="s">
        <v>1907</v>
      </c>
      <c r="B287" s="620" t="s">
        <v>1908</v>
      </c>
      <c r="C287" s="598" t="s">
        <v>2015</v>
      </c>
      <c r="D287" s="598" t="s">
        <v>2016</v>
      </c>
      <c r="E287" s="621">
        <v>1300</v>
      </c>
      <c r="F287" s="599">
        <v>43911204</v>
      </c>
      <c r="G287" s="598" t="s">
        <v>2429</v>
      </c>
      <c r="H287" s="598" t="s">
        <v>2104</v>
      </c>
      <c r="I287" s="598" t="s">
        <v>1912</v>
      </c>
      <c r="J287" s="617" t="s">
        <v>1931</v>
      </c>
      <c r="K287" s="598">
        <v>1</v>
      </c>
      <c r="L287" s="598">
        <v>3</v>
      </c>
      <c r="M287" s="621">
        <v>3900</v>
      </c>
      <c r="N287" s="598"/>
      <c r="O287" s="598"/>
      <c r="P287" s="618"/>
    </row>
    <row r="288" spans="1:16" s="619" customFormat="1" ht="36" x14ac:dyDescent="0.2">
      <c r="A288" s="598" t="s">
        <v>1907</v>
      </c>
      <c r="B288" s="620" t="s">
        <v>1908</v>
      </c>
      <c r="C288" s="598" t="s">
        <v>2015</v>
      </c>
      <c r="D288" s="598" t="s">
        <v>2146</v>
      </c>
      <c r="E288" s="621">
        <v>1200</v>
      </c>
      <c r="F288" s="599">
        <v>45803426</v>
      </c>
      <c r="G288" s="598" t="s">
        <v>2430</v>
      </c>
      <c r="H288" s="598"/>
      <c r="I288" s="598"/>
      <c r="J288" s="617"/>
      <c r="K288" s="598">
        <v>1</v>
      </c>
      <c r="L288" s="598">
        <v>3</v>
      </c>
      <c r="M288" s="621">
        <v>3600</v>
      </c>
      <c r="N288" s="598"/>
      <c r="O288" s="598"/>
      <c r="P288" s="618"/>
    </row>
    <row r="289" spans="1:16" s="619" customFormat="1" ht="36" x14ac:dyDescent="0.2">
      <c r="A289" s="598" t="s">
        <v>1907</v>
      </c>
      <c r="B289" s="620" t="s">
        <v>1908</v>
      </c>
      <c r="C289" s="598" t="s">
        <v>2015</v>
      </c>
      <c r="D289" s="598" t="s">
        <v>2431</v>
      </c>
      <c r="E289" s="621">
        <v>2200</v>
      </c>
      <c r="F289" s="599">
        <v>72843196</v>
      </c>
      <c r="G289" s="598" t="s">
        <v>2432</v>
      </c>
      <c r="H289" s="598" t="s">
        <v>2059</v>
      </c>
      <c r="I289" s="598" t="s">
        <v>1912</v>
      </c>
      <c r="J289" s="617" t="s">
        <v>1913</v>
      </c>
      <c r="K289" s="598">
        <v>2</v>
      </c>
      <c r="L289" s="598">
        <v>5</v>
      </c>
      <c r="M289" s="621">
        <v>11000</v>
      </c>
      <c r="N289" s="598"/>
      <c r="O289" s="598"/>
      <c r="P289" s="618"/>
    </row>
    <row r="290" spans="1:16" s="619" customFormat="1" ht="48" x14ac:dyDescent="0.2">
      <c r="A290" s="598" t="s">
        <v>1907</v>
      </c>
      <c r="B290" s="620" t="s">
        <v>1908</v>
      </c>
      <c r="C290" s="598" t="s">
        <v>2015</v>
      </c>
      <c r="D290" s="598" t="s">
        <v>2433</v>
      </c>
      <c r="E290" s="621">
        <v>6000</v>
      </c>
      <c r="F290" s="599">
        <v>33405562</v>
      </c>
      <c r="G290" s="598" t="s">
        <v>2434</v>
      </c>
      <c r="H290" s="598" t="s">
        <v>1911</v>
      </c>
      <c r="I290" s="598" t="s">
        <v>1912</v>
      </c>
      <c r="J290" s="617" t="s">
        <v>1913</v>
      </c>
      <c r="K290" s="598">
        <v>6</v>
      </c>
      <c r="L290" s="598">
        <v>12</v>
      </c>
      <c r="M290" s="621">
        <v>72000</v>
      </c>
      <c r="N290" s="598"/>
      <c r="O290" s="598"/>
      <c r="P290" s="618"/>
    </row>
    <row r="291" spans="1:16" s="619" customFormat="1" ht="36" x14ac:dyDescent="0.2">
      <c r="A291" s="598" t="s">
        <v>1907</v>
      </c>
      <c r="B291" s="620" t="s">
        <v>1908</v>
      </c>
      <c r="C291" s="598" t="s">
        <v>2015</v>
      </c>
      <c r="D291" s="598" t="s">
        <v>2299</v>
      </c>
      <c r="E291" s="621">
        <v>7000</v>
      </c>
      <c r="F291" s="599">
        <v>16410540</v>
      </c>
      <c r="G291" s="598" t="s">
        <v>2435</v>
      </c>
      <c r="H291" s="598" t="s">
        <v>1954</v>
      </c>
      <c r="I291" s="598" t="s">
        <v>1912</v>
      </c>
      <c r="J291" s="617" t="s">
        <v>1913</v>
      </c>
      <c r="K291" s="598">
        <v>4</v>
      </c>
      <c r="L291" s="598">
        <v>6</v>
      </c>
      <c r="M291" s="621">
        <v>42000</v>
      </c>
      <c r="N291" s="598"/>
      <c r="O291" s="598"/>
      <c r="P291" s="618"/>
    </row>
    <row r="292" spans="1:16" s="619" customFormat="1" ht="36" x14ac:dyDescent="0.2">
      <c r="A292" s="598" t="s">
        <v>1907</v>
      </c>
      <c r="B292" s="620" t="s">
        <v>1908</v>
      </c>
      <c r="C292" s="598" t="s">
        <v>2015</v>
      </c>
      <c r="D292" s="598" t="s">
        <v>2354</v>
      </c>
      <c r="E292" s="621">
        <v>1900</v>
      </c>
      <c r="F292" s="599">
        <v>72680198</v>
      </c>
      <c r="G292" s="598" t="s">
        <v>2436</v>
      </c>
      <c r="H292" s="598" t="s">
        <v>2437</v>
      </c>
      <c r="I292" s="598" t="s">
        <v>1912</v>
      </c>
      <c r="J292" s="617" t="s">
        <v>1913</v>
      </c>
      <c r="K292" s="598">
        <v>2</v>
      </c>
      <c r="L292" s="598">
        <v>4</v>
      </c>
      <c r="M292" s="621">
        <v>7600</v>
      </c>
      <c r="N292" s="598"/>
      <c r="O292" s="598"/>
      <c r="P292" s="618"/>
    </row>
    <row r="293" spans="1:16" s="619" customFormat="1" ht="36" x14ac:dyDescent="0.2">
      <c r="A293" s="598" t="s">
        <v>1907</v>
      </c>
      <c r="B293" s="620" t="s">
        <v>1908</v>
      </c>
      <c r="C293" s="598" t="s">
        <v>2015</v>
      </c>
      <c r="D293" s="598" t="s">
        <v>2299</v>
      </c>
      <c r="E293" s="621">
        <v>7000</v>
      </c>
      <c r="F293" s="599">
        <v>6893400</v>
      </c>
      <c r="G293" s="598" t="s">
        <v>2438</v>
      </c>
      <c r="H293" s="598" t="s">
        <v>2069</v>
      </c>
      <c r="I293" s="598" t="s">
        <v>1912</v>
      </c>
      <c r="J293" s="617" t="s">
        <v>1913</v>
      </c>
      <c r="K293" s="598">
        <v>1</v>
      </c>
      <c r="L293" s="598">
        <v>3</v>
      </c>
      <c r="M293" s="621">
        <v>21000</v>
      </c>
      <c r="N293" s="598"/>
      <c r="O293" s="598"/>
      <c r="P293" s="618"/>
    </row>
    <row r="294" spans="1:16" s="619" customFormat="1" ht="36" x14ac:dyDescent="0.2">
      <c r="A294" s="598" t="s">
        <v>1907</v>
      </c>
      <c r="B294" s="620" t="s">
        <v>1908</v>
      </c>
      <c r="C294" s="598" t="s">
        <v>2015</v>
      </c>
      <c r="D294" s="598" t="s">
        <v>2354</v>
      </c>
      <c r="E294" s="621">
        <v>3500</v>
      </c>
      <c r="F294" s="599">
        <v>73610868</v>
      </c>
      <c r="G294" s="598" t="s">
        <v>2439</v>
      </c>
      <c r="H294" s="598" t="s">
        <v>2079</v>
      </c>
      <c r="I294" s="598" t="s">
        <v>1912</v>
      </c>
      <c r="J294" s="617" t="s">
        <v>1913</v>
      </c>
      <c r="K294" s="598">
        <v>1</v>
      </c>
      <c r="L294" s="598">
        <v>3</v>
      </c>
      <c r="M294" s="621">
        <v>10500</v>
      </c>
      <c r="N294" s="598"/>
      <c r="O294" s="598"/>
      <c r="P294" s="618"/>
    </row>
    <row r="295" spans="1:16" s="619" customFormat="1" ht="48" x14ac:dyDescent="0.2">
      <c r="A295" s="598" t="s">
        <v>1907</v>
      </c>
      <c r="B295" s="620" t="s">
        <v>2073</v>
      </c>
      <c r="C295" s="598" t="s">
        <v>2015</v>
      </c>
      <c r="D295" s="598" t="s">
        <v>2341</v>
      </c>
      <c r="E295" s="621">
        <v>4000</v>
      </c>
      <c r="F295" s="599">
        <v>72024241</v>
      </c>
      <c r="G295" s="598" t="s">
        <v>2440</v>
      </c>
      <c r="H295" s="598" t="s">
        <v>2079</v>
      </c>
      <c r="I295" s="598" t="s">
        <v>1912</v>
      </c>
      <c r="J295" s="617" t="s">
        <v>1913</v>
      </c>
      <c r="K295" s="598">
        <v>4</v>
      </c>
      <c r="L295" s="598">
        <v>11</v>
      </c>
      <c r="M295" s="621">
        <v>44000</v>
      </c>
      <c r="N295" s="598"/>
      <c r="O295" s="598"/>
      <c r="P295" s="618"/>
    </row>
    <row r="296" spans="1:16" s="619" customFormat="1" ht="36" x14ac:dyDescent="0.2">
      <c r="A296" s="598" t="s">
        <v>1907</v>
      </c>
      <c r="B296" s="620" t="s">
        <v>1908</v>
      </c>
      <c r="C296" s="598" t="s">
        <v>2015</v>
      </c>
      <c r="D296" s="598" t="s">
        <v>2354</v>
      </c>
      <c r="E296" s="621">
        <v>2200</v>
      </c>
      <c r="F296" s="599">
        <v>33409004</v>
      </c>
      <c r="G296" s="598" t="s">
        <v>2441</v>
      </c>
      <c r="H296" s="598"/>
      <c r="I296" s="598"/>
      <c r="J296" s="617"/>
      <c r="K296" s="598">
        <v>3</v>
      </c>
      <c r="L296" s="598">
        <v>7</v>
      </c>
      <c r="M296" s="621">
        <v>15400</v>
      </c>
      <c r="N296" s="598"/>
      <c r="O296" s="598"/>
      <c r="P296" s="618"/>
    </row>
    <row r="297" spans="1:16" s="619" customFormat="1" ht="24" x14ac:dyDescent="0.2">
      <c r="A297" s="598" t="s">
        <v>1907</v>
      </c>
      <c r="B297" s="620" t="s">
        <v>1908</v>
      </c>
      <c r="C297" s="598" t="s">
        <v>2015</v>
      </c>
      <c r="D297" s="598" t="s">
        <v>2354</v>
      </c>
      <c r="E297" s="621">
        <v>2200</v>
      </c>
      <c r="F297" s="599">
        <v>33431483</v>
      </c>
      <c r="G297" s="598" t="s">
        <v>2442</v>
      </c>
      <c r="H297" s="598"/>
      <c r="I297" s="598"/>
      <c r="J297" s="617"/>
      <c r="K297" s="598">
        <v>5</v>
      </c>
      <c r="L297" s="598">
        <v>9</v>
      </c>
      <c r="M297" s="621">
        <v>19800</v>
      </c>
      <c r="N297" s="598"/>
      <c r="O297" s="598"/>
      <c r="P297" s="618"/>
    </row>
    <row r="298" spans="1:16" s="619" customFormat="1" ht="36" x14ac:dyDescent="0.2">
      <c r="A298" s="598" t="s">
        <v>1907</v>
      </c>
      <c r="B298" s="620" t="s">
        <v>1908</v>
      </c>
      <c r="C298" s="598" t="s">
        <v>2015</v>
      </c>
      <c r="D298" s="598" t="s">
        <v>2443</v>
      </c>
      <c r="E298" s="621">
        <v>5000</v>
      </c>
      <c r="F298" s="599">
        <v>27752422</v>
      </c>
      <c r="G298" s="598" t="s">
        <v>2444</v>
      </c>
      <c r="H298" s="598" t="s">
        <v>2445</v>
      </c>
      <c r="I298" s="598" t="s">
        <v>1912</v>
      </c>
      <c r="J298" s="617" t="s">
        <v>1913</v>
      </c>
      <c r="K298" s="598">
        <v>2</v>
      </c>
      <c r="L298" s="598">
        <v>5</v>
      </c>
      <c r="M298" s="621">
        <v>25000</v>
      </c>
      <c r="N298" s="598"/>
      <c r="O298" s="598"/>
      <c r="P298" s="618"/>
    </row>
    <row r="299" spans="1:16" s="619" customFormat="1" ht="48" x14ac:dyDescent="0.2">
      <c r="A299" s="598" t="s">
        <v>1907</v>
      </c>
      <c r="B299" s="620" t="s">
        <v>2073</v>
      </c>
      <c r="C299" s="598" t="s">
        <v>2015</v>
      </c>
      <c r="D299" s="598" t="s">
        <v>2354</v>
      </c>
      <c r="E299" s="621">
        <v>3500</v>
      </c>
      <c r="F299" s="599">
        <v>33401614</v>
      </c>
      <c r="G299" s="598" t="s">
        <v>2446</v>
      </c>
      <c r="H299" s="598"/>
      <c r="I299" s="598"/>
      <c r="J299" s="617"/>
      <c r="K299" s="598">
        <v>2</v>
      </c>
      <c r="L299" s="598">
        <v>5</v>
      </c>
      <c r="M299" s="621">
        <v>17500</v>
      </c>
      <c r="N299" s="598"/>
      <c r="O299" s="598"/>
      <c r="P299" s="618"/>
    </row>
    <row r="300" spans="1:16" s="619" customFormat="1" ht="36" x14ac:dyDescent="0.2">
      <c r="A300" s="598" t="s">
        <v>1907</v>
      </c>
      <c r="B300" s="620" t="s">
        <v>1908</v>
      </c>
      <c r="C300" s="598" t="s">
        <v>2015</v>
      </c>
      <c r="D300" s="598" t="s">
        <v>2341</v>
      </c>
      <c r="E300" s="621">
        <v>4000</v>
      </c>
      <c r="F300" s="599">
        <v>47075792</v>
      </c>
      <c r="G300" s="598" t="s">
        <v>2447</v>
      </c>
      <c r="H300" s="598" t="s">
        <v>2448</v>
      </c>
      <c r="I300" s="598" t="s">
        <v>1912</v>
      </c>
      <c r="J300" s="617" t="s">
        <v>1913</v>
      </c>
      <c r="K300" s="598">
        <v>5</v>
      </c>
      <c r="L300" s="598">
        <v>11</v>
      </c>
      <c r="M300" s="621">
        <v>44000</v>
      </c>
      <c r="N300" s="598"/>
      <c r="O300" s="598"/>
      <c r="P300" s="618"/>
    </row>
    <row r="301" spans="1:16" s="619" customFormat="1" ht="24" x14ac:dyDescent="0.2">
      <c r="A301" s="598" t="s">
        <v>1907</v>
      </c>
      <c r="B301" s="620" t="s">
        <v>1908</v>
      </c>
      <c r="C301" s="598" t="s">
        <v>2015</v>
      </c>
      <c r="D301" s="598" t="s">
        <v>2354</v>
      </c>
      <c r="E301" s="621">
        <v>2200</v>
      </c>
      <c r="F301" s="599">
        <v>44904491</v>
      </c>
      <c r="G301" s="598" t="s">
        <v>2449</v>
      </c>
      <c r="H301" s="598"/>
      <c r="I301" s="598"/>
      <c r="J301" s="617"/>
      <c r="K301" s="598">
        <v>2</v>
      </c>
      <c r="L301" s="598">
        <v>5</v>
      </c>
      <c r="M301" s="621">
        <v>11000</v>
      </c>
      <c r="N301" s="598"/>
      <c r="O301" s="598"/>
      <c r="P301" s="618"/>
    </row>
    <row r="302" spans="1:16" s="619" customFormat="1" ht="48" x14ac:dyDescent="0.2">
      <c r="A302" s="598" t="s">
        <v>1907</v>
      </c>
      <c r="B302" s="620" t="s">
        <v>1908</v>
      </c>
      <c r="C302" s="598" t="s">
        <v>2015</v>
      </c>
      <c r="D302" s="598" t="s">
        <v>2242</v>
      </c>
      <c r="E302" s="621">
        <v>2900</v>
      </c>
      <c r="F302" s="599">
        <v>41160626</v>
      </c>
      <c r="G302" s="598" t="s">
        <v>2450</v>
      </c>
      <c r="H302" s="598" t="s">
        <v>2038</v>
      </c>
      <c r="I302" s="598" t="s">
        <v>1912</v>
      </c>
      <c r="J302" s="617" t="s">
        <v>1913</v>
      </c>
      <c r="K302" s="598">
        <v>4</v>
      </c>
      <c r="L302" s="598">
        <v>6</v>
      </c>
      <c r="M302" s="621">
        <v>17400</v>
      </c>
      <c r="N302" s="598"/>
      <c r="O302" s="598"/>
      <c r="P302" s="618"/>
    </row>
    <row r="303" spans="1:16" s="619" customFormat="1" ht="24" x14ac:dyDescent="0.2">
      <c r="A303" s="598" t="s">
        <v>1907</v>
      </c>
      <c r="B303" s="620" t="s">
        <v>1908</v>
      </c>
      <c r="C303" s="598" t="s">
        <v>2015</v>
      </c>
      <c r="D303" s="598" t="s">
        <v>2242</v>
      </c>
      <c r="E303" s="621">
        <v>2000</v>
      </c>
      <c r="F303" s="599">
        <v>33816999</v>
      </c>
      <c r="G303" s="598" t="s">
        <v>2451</v>
      </c>
      <c r="H303" s="598"/>
      <c r="I303" s="598"/>
      <c r="J303" s="617"/>
      <c r="K303" s="598">
        <v>5</v>
      </c>
      <c r="L303" s="598">
        <v>8</v>
      </c>
      <c r="M303" s="621">
        <v>16000</v>
      </c>
      <c r="N303" s="598"/>
      <c r="O303" s="598"/>
      <c r="P303" s="618"/>
    </row>
    <row r="304" spans="1:16" s="619" customFormat="1" ht="36" x14ac:dyDescent="0.2">
      <c r="A304" s="598" t="s">
        <v>1907</v>
      </c>
      <c r="B304" s="620" t="s">
        <v>1908</v>
      </c>
      <c r="C304" s="598" t="s">
        <v>2015</v>
      </c>
      <c r="D304" s="598" t="s">
        <v>2310</v>
      </c>
      <c r="E304" s="621">
        <v>6000</v>
      </c>
      <c r="F304" s="599">
        <v>10338113</v>
      </c>
      <c r="G304" s="598" t="s">
        <v>2452</v>
      </c>
      <c r="H304" s="598" t="s">
        <v>2453</v>
      </c>
      <c r="I304" s="598" t="s">
        <v>1912</v>
      </c>
      <c r="J304" s="617" t="s">
        <v>1913</v>
      </c>
      <c r="K304" s="598">
        <v>1</v>
      </c>
      <c r="L304" s="598">
        <v>1</v>
      </c>
      <c r="M304" s="621">
        <v>6000</v>
      </c>
      <c r="N304" s="598"/>
      <c r="O304" s="598"/>
      <c r="P304" s="618"/>
    </row>
    <row r="305" spans="1:16" s="619" customFormat="1" ht="24" x14ac:dyDescent="0.2">
      <c r="A305" s="598" t="s">
        <v>1907</v>
      </c>
      <c r="B305" s="620" t="s">
        <v>1908</v>
      </c>
      <c r="C305" s="598" t="s">
        <v>2015</v>
      </c>
      <c r="D305" s="598" t="s">
        <v>2284</v>
      </c>
      <c r="E305" s="621">
        <v>1400</v>
      </c>
      <c r="F305" s="599">
        <v>33408045</v>
      </c>
      <c r="G305" s="598" t="s">
        <v>2454</v>
      </c>
      <c r="H305" s="598"/>
      <c r="I305" s="598"/>
      <c r="J305" s="617"/>
      <c r="K305" s="598">
        <v>2</v>
      </c>
      <c r="L305" s="598">
        <v>5</v>
      </c>
      <c r="M305" s="621">
        <v>7000</v>
      </c>
      <c r="N305" s="598"/>
      <c r="O305" s="598"/>
      <c r="P305" s="618"/>
    </row>
    <row r="306" spans="1:16" s="619" customFormat="1" ht="24" x14ac:dyDescent="0.2">
      <c r="A306" s="598" t="s">
        <v>1907</v>
      </c>
      <c r="B306" s="620" t="s">
        <v>1908</v>
      </c>
      <c r="C306" s="598" t="s">
        <v>2015</v>
      </c>
      <c r="D306" s="598" t="s">
        <v>2091</v>
      </c>
      <c r="E306" s="621">
        <v>4000</v>
      </c>
      <c r="F306" s="599">
        <v>74205925</v>
      </c>
      <c r="G306" s="598" t="s">
        <v>2455</v>
      </c>
      <c r="H306" s="598" t="s">
        <v>2193</v>
      </c>
      <c r="I306" s="598" t="s">
        <v>1912</v>
      </c>
      <c r="J306" s="617" t="s">
        <v>1913</v>
      </c>
      <c r="K306" s="598">
        <v>4</v>
      </c>
      <c r="L306" s="598">
        <v>6</v>
      </c>
      <c r="M306" s="621">
        <v>24000</v>
      </c>
      <c r="N306" s="598"/>
      <c r="O306" s="598"/>
      <c r="P306" s="618"/>
    </row>
    <row r="307" spans="1:16" s="619" customFormat="1" ht="36" x14ac:dyDescent="0.2">
      <c r="A307" s="598" t="s">
        <v>1907</v>
      </c>
      <c r="B307" s="620" t="s">
        <v>1908</v>
      </c>
      <c r="C307" s="598" t="s">
        <v>2015</v>
      </c>
      <c r="D307" s="598" t="s">
        <v>2456</v>
      </c>
      <c r="E307" s="621">
        <v>1200</v>
      </c>
      <c r="F307" s="599">
        <v>70833710</v>
      </c>
      <c r="G307" s="598" t="s">
        <v>2457</v>
      </c>
      <c r="H307" s="598" t="s">
        <v>1999</v>
      </c>
      <c r="I307" s="598" t="s">
        <v>1912</v>
      </c>
      <c r="J307" s="617" t="s">
        <v>1931</v>
      </c>
      <c r="K307" s="598">
        <v>1</v>
      </c>
      <c r="L307" s="598">
        <v>3</v>
      </c>
      <c r="M307" s="621">
        <v>3600</v>
      </c>
      <c r="N307" s="598"/>
      <c r="O307" s="598"/>
      <c r="P307" s="618"/>
    </row>
    <row r="308" spans="1:16" s="619" customFormat="1" ht="48" x14ac:dyDescent="0.2">
      <c r="A308" s="598" t="s">
        <v>1907</v>
      </c>
      <c r="B308" s="620" t="s">
        <v>2073</v>
      </c>
      <c r="C308" s="598" t="s">
        <v>2015</v>
      </c>
      <c r="D308" s="598" t="s">
        <v>2458</v>
      </c>
      <c r="E308" s="621">
        <v>2200</v>
      </c>
      <c r="F308" s="599">
        <v>44087190</v>
      </c>
      <c r="G308" s="598" t="s">
        <v>2459</v>
      </c>
      <c r="H308" s="598"/>
      <c r="I308" s="598"/>
      <c r="J308" s="617"/>
      <c r="K308" s="598">
        <v>3</v>
      </c>
      <c r="L308" s="598">
        <v>7</v>
      </c>
      <c r="M308" s="621">
        <v>15400</v>
      </c>
      <c r="N308" s="598"/>
      <c r="O308" s="598"/>
      <c r="P308" s="618"/>
    </row>
    <row r="309" spans="1:16" s="619" customFormat="1" ht="24" x14ac:dyDescent="0.2">
      <c r="A309" s="598" t="s">
        <v>1907</v>
      </c>
      <c r="B309" s="620" t="s">
        <v>1908</v>
      </c>
      <c r="C309" s="598" t="s">
        <v>2015</v>
      </c>
      <c r="D309" s="598" t="s">
        <v>2341</v>
      </c>
      <c r="E309" s="621">
        <v>3000</v>
      </c>
      <c r="F309" s="599">
        <v>72295490</v>
      </c>
      <c r="G309" s="598" t="s">
        <v>2460</v>
      </c>
      <c r="H309" s="598" t="s">
        <v>2079</v>
      </c>
      <c r="I309" s="598" t="s">
        <v>1912</v>
      </c>
      <c r="J309" s="617" t="s">
        <v>1913</v>
      </c>
      <c r="K309" s="598">
        <v>3</v>
      </c>
      <c r="L309" s="598">
        <v>5</v>
      </c>
      <c r="M309" s="621">
        <v>18000</v>
      </c>
      <c r="N309" s="598"/>
      <c r="O309" s="598"/>
      <c r="P309" s="618"/>
    </row>
    <row r="310" spans="1:16" s="619" customFormat="1" ht="24" x14ac:dyDescent="0.2">
      <c r="A310" s="598" t="s">
        <v>1907</v>
      </c>
      <c r="B310" s="620" t="s">
        <v>1908</v>
      </c>
      <c r="C310" s="598" t="s">
        <v>2015</v>
      </c>
      <c r="D310" s="598" t="s">
        <v>2334</v>
      </c>
      <c r="E310" s="621">
        <v>5000</v>
      </c>
      <c r="F310" s="599">
        <v>41514947</v>
      </c>
      <c r="G310" s="598" t="s">
        <v>2461</v>
      </c>
      <c r="H310" s="598" t="s">
        <v>2079</v>
      </c>
      <c r="I310" s="598" t="s">
        <v>1912</v>
      </c>
      <c r="J310" s="617" t="s">
        <v>1913</v>
      </c>
      <c r="K310" s="598">
        <v>2</v>
      </c>
      <c r="L310" s="598">
        <v>3</v>
      </c>
      <c r="M310" s="621">
        <v>15000</v>
      </c>
      <c r="N310" s="598"/>
      <c r="O310" s="598"/>
      <c r="P310" s="618"/>
    </row>
    <row r="311" spans="1:16" s="619" customFormat="1" ht="36" x14ac:dyDescent="0.2">
      <c r="A311" s="598" t="s">
        <v>1907</v>
      </c>
      <c r="B311" s="620" t="s">
        <v>1908</v>
      </c>
      <c r="C311" s="598" t="s">
        <v>2015</v>
      </c>
      <c r="D311" s="598" t="s">
        <v>2354</v>
      </c>
      <c r="E311" s="621">
        <v>2200</v>
      </c>
      <c r="F311" s="599">
        <v>40059560</v>
      </c>
      <c r="G311" s="598" t="s">
        <v>2462</v>
      </c>
      <c r="H311" s="598"/>
      <c r="I311" s="598"/>
      <c r="J311" s="617"/>
      <c r="K311" s="598">
        <v>6</v>
      </c>
      <c r="L311" s="598">
        <v>10</v>
      </c>
      <c r="M311" s="621">
        <v>22000</v>
      </c>
      <c r="N311" s="598"/>
      <c r="O311" s="598"/>
      <c r="P311" s="618"/>
    </row>
    <row r="312" spans="1:16" s="619" customFormat="1" ht="36" x14ac:dyDescent="0.2">
      <c r="A312" s="598" t="s">
        <v>1907</v>
      </c>
      <c r="B312" s="620" t="s">
        <v>1908</v>
      </c>
      <c r="C312" s="598" t="s">
        <v>2015</v>
      </c>
      <c r="D312" s="598" t="s">
        <v>2354</v>
      </c>
      <c r="E312" s="621">
        <v>2000</v>
      </c>
      <c r="F312" s="599">
        <v>47801224</v>
      </c>
      <c r="G312" s="598" t="s">
        <v>2463</v>
      </c>
      <c r="H312" s="598" t="s">
        <v>2464</v>
      </c>
      <c r="I312" s="598" t="s">
        <v>1912</v>
      </c>
      <c r="J312" s="617" t="s">
        <v>1913</v>
      </c>
      <c r="K312" s="598">
        <v>1</v>
      </c>
      <c r="L312" s="598">
        <v>3</v>
      </c>
      <c r="M312" s="621">
        <v>6000</v>
      </c>
      <c r="N312" s="598"/>
      <c r="O312" s="598"/>
      <c r="P312" s="618"/>
    </row>
    <row r="313" spans="1:16" s="619" customFormat="1" ht="24" x14ac:dyDescent="0.2">
      <c r="A313" s="598" t="s">
        <v>1907</v>
      </c>
      <c r="B313" s="620" t="s">
        <v>1908</v>
      </c>
      <c r="C313" s="598" t="s">
        <v>2015</v>
      </c>
      <c r="D313" s="598" t="s">
        <v>2354</v>
      </c>
      <c r="E313" s="621">
        <v>3500</v>
      </c>
      <c r="F313" s="599">
        <v>33418486</v>
      </c>
      <c r="G313" s="598" t="s">
        <v>2465</v>
      </c>
      <c r="H313" s="598"/>
      <c r="I313" s="598"/>
      <c r="J313" s="617"/>
      <c r="K313" s="598">
        <v>1</v>
      </c>
      <c r="L313" s="598">
        <v>3</v>
      </c>
      <c r="M313" s="621">
        <v>10500</v>
      </c>
      <c r="N313" s="598"/>
      <c r="O313" s="598"/>
      <c r="P313" s="618"/>
    </row>
    <row r="314" spans="1:16" s="619" customFormat="1" ht="24" x14ac:dyDescent="0.2">
      <c r="A314" s="598" t="s">
        <v>1907</v>
      </c>
      <c r="B314" s="620" t="s">
        <v>1908</v>
      </c>
      <c r="C314" s="598" t="s">
        <v>2015</v>
      </c>
      <c r="D314" s="598" t="s">
        <v>2354</v>
      </c>
      <c r="E314" s="621">
        <v>2200</v>
      </c>
      <c r="F314" s="599">
        <v>41444022</v>
      </c>
      <c r="G314" s="598" t="s">
        <v>2466</v>
      </c>
      <c r="H314" s="598"/>
      <c r="I314" s="598"/>
      <c r="J314" s="617"/>
      <c r="K314" s="598">
        <v>1</v>
      </c>
      <c r="L314" s="598">
        <v>3</v>
      </c>
      <c r="M314" s="621">
        <v>6600</v>
      </c>
      <c r="N314" s="598"/>
      <c r="O314" s="598"/>
      <c r="P314" s="618"/>
    </row>
    <row r="315" spans="1:16" s="619" customFormat="1" ht="24" x14ac:dyDescent="0.2">
      <c r="A315" s="598" t="s">
        <v>1907</v>
      </c>
      <c r="B315" s="620" t="s">
        <v>1908</v>
      </c>
      <c r="C315" s="598" t="s">
        <v>2015</v>
      </c>
      <c r="D315" s="598" t="s">
        <v>2467</v>
      </c>
      <c r="E315" s="621">
        <v>1000</v>
      </c>
      <c r="F315" s="599">
        <v>40808175</v>
      </c>
      <c r="G315" s="598" t="s">
        <v>2468</v>
      </c>
      <c r="H315" s="598"/>
      <c r="I315" s="598"/>
      <c r="J315" s="617"/>
      <c r="K315" s="598">
        <v>5</v>
      </c>
      <c r="L315" s="598">
        <v>10</v>
      </c>
      <c r="M315" s="621">
        <v>10000</v>
      </c>
      <c r="N315" s="598"/>
      <c r="O315" s="598"/>
      <c r="P315" s="618"/>
    </row>
    <row r="316" spans="1:16" s="619" customFormat="1" ht="36" x14ac:dyDescent="0.2">
      <c r="A316" s="598" t="s">
        <v>1907</v>
      </c>
      <c r="B316" s="620" t="s">
        <v>2275</v>
      </c>
      <c r="C316" s="598" t="s">
        <v>2015</v>
      </c>
      <c r="D316" s="598" t="s">
        <v>2276</v>
      </c>
      <c r="E316" s="621">
        <v>2000</v>
      </c>
      <c r="F316" s="599">
        <v>42483775</v>
      </c>
      <c r="G316" s="598" t="s">
        <v>2469</v>
      </c>
      <c r="H316" s="598" t="s">
        <v>1922</v>
      </c>
      <c r="I316" s="598" t="s">
        <v>1912</v>
      </c>
      <c r="J316" s="617" t="s">
        <v>1913</v>
      </c>
      <c r="K316" s="598">
        <v>8</v>
      </c>
      <c r="L316" s="598">
        <v>12</v>
      </c>
      <c r="M316" s="621">
        <v>24000</v>
      </c>
      <c r="N316" s="598"/>
      <c r="O316" s="598"/>
      <c r="P316" s="618"/>
    </row>
    <row r="317" spans="1:16" s="619" customFormat="1" ht="36" x14ac:dyDescent="0.2">
      <c r="A317" s="598" t="s">
        <v>1907</v>
      </c>
      <c r="B317" s="620" t="s">
        <v>1908</v>
      </c>
      <c r="C317" s="598" t="s">
        <v>2015</v>
      </c>
      <c r="D317" s="598" t="s">
        <v>2470</v>
      </c>
      <c r="E317" s="621">
        <v>3500</v>
      </c>
      <c r="F317" s="599">
        <v>40567975</v>
      </c>
      <c r="G317" s="598" t="s">
        <v>2471</v>
      </c>
      <c r="H317" s="598" t="s">
        <v>2472</v>
      </c>
      <c r="I317" s="598" t="s">
        <v>1912</v>
      </c>
      <c r="J317" s="617" t="s">
        <v>1913</v>
      </c>
      <c r="K317" s="598">
        <v>4</v>
      </c>
      <c r="L317" s="598">
        <v>8</v>
      </c>
      <c r="M317" s="621">
        <v>28000</v>
      </c>
      <c r="N317" s="598"/>
      <c r="O317" s="598"/>
      <c r="P317" s="618"/>
    </row>
    <row r="318" spans="1:16" s="619" customFormat="1" ht="24" x14ac:dyDescent="0.2">
      <c r="A318" s="598" t="s">
        <v>1907</v>
      </c>
      <c r="B318" s="620" t="s">
        <v>1908</v>
      </c>
      <c r="C318" s="598" t="s">
        <v>2015</v>
      </c>
      <c r="D318" s="598" t="s">
        <v>2271</v>
      </c>
      <c r="E318" s="621">
        <v>2300</v>
      </c>
      <c r="F318" s="599">
        <v>46653751</v>
      </c>
      <c r="G318" s="598" t="s">
        <v>2473</v>
      </c>
      <c r="H318" s="598" t="s">
        <v>2079</v>
      </c>
      <c r="I318" s="598" t="s">
        <v>1912</v>
      </c>
      <c r="J318" s="617" t="s">
        <v>1913</v>
      </c>
      <c r="K318" s="598">
        <v>1</v>
      </c>
      <c r="L318" s="598">
        <v>3</v>
      </c>
      <c r="M318" s="621">
        <v>6900</v>
      </c>
      <c r="N318" s="598"/>
      <c r="O318" s="598"/>
      <c r="P318" s="618"/>
    </row>
    <row r="319" spans="1:16" s="619" customFormat="1" ht="36" x14ac:dyDescent="0.2">
      <c r="A319" s="598" t="s">
        <v>1907</v>
      </c>
      <c r="B319" s="620" t="s">
        <v>1908</v>
      </c>
      <c r="C319" s="598" t="s">
        <v>2015</v>
      </c>
      <c r="D319" s="598" t="s">
        <v>2271</v>
      </c>
      <c r="E319" s="621">
        <v>1200</v>
      </c>
      <c r="F319" s="599">
        <v>43794243</v>
      </c>
      <c r="G319" s="598" t="s">
        <v>2474</v>
      </c>
      <c r="H319" s="598" t="s">
        <v>2475</v>
      </c>
      <c r="I319" s="598" t="s">
        <v>1912</v>
      </c>
      <c r="J319" s="617" t="s">
        <v>1913</v>
      </c>
      <c r="K319" s="598">
        <v>1</v>
      </c>
      <c r="L319" s="598">
        <v>3</v>
      </c>
      <c r="M319" s="621">
        <v>3600</v>
      </c>
      <c r="N319" s="598"/>
      <c r="O319" s="598"/>
      <c r="P319" s="618"/>
    </row>
    <row r="320" spans="1:16" s="619" customFormat="1" ht="36" x14ac:dyDescent="0.2">
      <c r="A320" s="598" t="s">
        <v>1907</v>
      </c>
      <c r="B320" s="620" t="s">
        <v>2050</v>
      </c>
      <c r="C320" s="598" t="s">
        <v>2015</v>
      </c>
      <c r="D320" s="598" t="s">
        <v>2242</v>
      </c>
      <c r="E320" s="621">
        <v>2500</v>
      </c>
      <c r="F320" s="599">
        <v>72842163</v>
      </c>
      <c r="G320" s="598" t="s">
        <v>2476</v>
      </c>
      <c r="H320" s="598" t="s">
        <v>2477</v>
      </c>
      <c r="I320" s="598" t="s">
        <v>1912</v>
      </c>
      <c r="J320" s="617" t="s">
        <v>1931</v>
      </c>
      <c r="K320" s="598">
        <v>4</v>
      </c>
      <c r="L320" s="598">
        <v>6</v>
      </c>
      <c r="M320" s="621">
        <v>15000</v>
      </c>
      <c r="N320" s="598"/>
      <c r="O320" s="598"/>
      <c r="P320" s="618"/>
    </row>
    <row r="321" spans="1:16" s="619" customFormat="1" ht="24" x14ac:dyDescent="0.2">
      <c r="A321" s="598" t="s">
        <v>1907</v>
      </c>
      <c r="B321" s="620" t="s">
        <v>2050</v>
      </c>
      <c r="C321" s="598" t="s">
        <v>2015</v>
      </c>
      <c r="D321" s="598" t="s">
        <v>2242</v>
      </c>
      <c r="E321" s="621">
        <v>3500</v>
      </c>
      <c r="F321" s="599">
        <v>44113931</v>
      </c>
      <c r="G321" s="598" t="s">
        <v>2478</v>
      </c>
      <c r="H321" s="598" t="s">
        <v>1922</v>
      </c>
      <c r="I321" s="598" t="s">
        <v>1912</v>
      </c>
      <c r="J321" s="617" t="s">
        <v>1913</v>
      </c>
      <c r="K321" s="598">
        <v>4</v>
      </c>
      <c r="L321" s="598">
        <v>5</v>
      </c>
      <c r="M321" s="621">
        <v>17500</v>
      </c>
      <c r="N321" s="598"/>
      <c r="O321" s="598"/>
      <c r="P321" s="618"/>
    </row>
    <row r="322" spans="1:16" s="619" customFormat="1" ht="36" x14ac:dyDescent="0.2">
      <c r="A322" s="598" t="s">
        <v>1907</v>
      </c>
      <c r="B322" s="620" t="s">
        <v>1908</v>
      </c>
      <c r="C322" s="598" t="s">
        <v>2015</v>
      </c>
      <c r="D322" s="598" t="s">
        <v>2242</v>
      </c>
      <c r="E322" s="621">
        <v>3500</v>
      </c>
      <c r="F322" s="599">
        <v>47211054</v>
      </c>
      <c r="G322" s="598" t="s">
        <v>2479</v>
      </c>
      <c r="H322" s="598" t="s">
        <v>2182</v>
      </c>
      <c r="I322" s="598" t="s">
        <v>1912</v>
      </c>
      <c r="J322" s="617" t="s">
        <v>1913</v>
      </c>
      <c r="K322" s="598">
        <v>2</v>
      </c>
      <c r="L322" s="598">
        <v>3</v>
      </c>
      <c r="M322" s="621">
        <v>10500</v>
      </c>
      <c r="N322" s="598"/>
      <c r="O322" s="598"/>
      <c r="P322" s="618"/>
    </row>
    <row r="323" spans="1:16" s="619" customFormat="1" ht="24" x14ac:dyDescent="0.2">
      <c r="A323" s="598" t="s">
        <v>1907</v>
      </c>
      <c r="B323" s="620" t="s">
        <v>2032</v>
      </c>
      <c r="C323" s="598" t="s">
        <v>2015</v>
      </c>
      <c r="D323" s="598" t="s">
        <v>2480</v>
      </c>
      <c r="E323" s="621">
        <v>1500</v>
      </c>
      <c r="F323" s="599">
        <v>10122772</v>
      </c>
      <c r="G323" s="598" t="s">
        <v>2481</v>
      </c>
      <c r="H323" s="598"/>
      <c r="I323" s="598"/>
      <c r="J323" s="617"/>
      <c r="K323" s="598">
        <v>3</v>
      </c>
      <c r="L323" s="598">
        <v>8</v>
      </c>
      <c r="M323" s="621">
        <v>12000</v>
      </c>
      <c r="N323" s="598"/>
      <c r="O323" s="598"/>
      <c r="P323" s="618"/>
    </row>
    <row r="324" spans="1:16" s="619" customFormat="1" ht="24" x14ac:dyDescent="0.2">
      <c r="A324" s="598" t="s">
        <v>1907</v>
      </c>
      <c r="B324" s="620" t="s">
        <v>1908</v>
      </c>
      <c r="C324" s="598" t="s">
        <v>2015</v>
      </c>
      <c r="D324" s="598" t="s">
        <v>2354</v>
      </c>
      <c r="E324" s="621">
        <v>1100</v>
      </c>
      <c r="F324" s="599">
        <v>60031745</v>
      </c>
      <c r="G324" s="598" t="s">
        <v>2482</v>
      </c>
      <c r="H324" s="598"/>
      <c r="I324" s="598"/>
      <c r="J324" s="617"/>
      <c r="K324" s="598">
        <v>4</v>
      </c>
      <c r="L324" s="598">
        <v>8</v>
      </c>
      <c r="M324" s="621">
        <v>8800</v>
      </c>
      <c r="N324" s="598"/>
      <c r="O324" s="598"/>
      <c r="P324" s="618"/>
    </row>
    <row r="325" spans="1:16" s="619" customFormat="1" ht="36" x14ac:dyDescent="0.2">
      <c r="A325" s="598" t="s">
        <v>1907</v>
      </c>
      <c r="B325" s="620" t="s">
        <v>1908</v>
      </c>
      <c r="C325" s="598" t="s">
        <v>2015</v>
      </c>
      <c r="D325" s="598" t="s">
        <v>2271</v>
      </c>
      <c r="E325" s="621">
        <v>2000</v>
      </c>
      <c r="F325" s="599">
        <v>72032774</v>
      </c>
      <c r="G325" s="598" t="s">
        <v>2483</v>
      </c>
      <c r="H325" s="598" t="s">
        <v>2357</v>
      </c>
      <c r="I325" s="598" t="s">
        <v>1912</v>
      </c>
      <c r="J325" s="617" t="s">
        <v>1913</v>
      </c>
      <c r="K325" s="598">
        <v>3</v>
      </c>
      <c r="L325" s="598">
        <v>6</v>
      </c>
      <c r="M325" s="621">
        <v>12000</v>
      </c>
      <c r="N325" s="598"/>
      <c r="O325" s="598"/>
      <c r="P325" s="618"/>
    </row>
    <row r="326" spans="1:16" s="619" customFormat="1" ht="36" x14ac:dyDescent="0.2">
      <c r="A326" s="598" t="s">
        <v>1907</v>
      </c>
      <c r="B326" s="620" t="s">
        <v>1908</v>
      </c>
      <c r="C326" s="598" t="s">
        <v>2015</v>
      </c>
      <c r="D326" s="598" t="s">
        <v>2276</v>
      </c>
      <c r="E326" s="621">
        <v>1000</v>
      </c>
      <c r="F326" s="599">
        <v>74771225</v>
      </c>
      <c r="G326" s="598" t="s">
        <v>2484</v>
      </c>
      <c r="H326" s="598"/>
      <c r="I326" s="598"/>
      <c r="J326" s="617"/>
      <c r="K326" s="598">
        <v>8</v>
      </c>
      <c r="L326" s="598">
        <v>10</v>
      </c>
      <c r="M326" s="621">
        <v>10000</v>
      </c>
      <c r="N326" s="598"/>
      <c r="O326" s="598"/>
      <c r="P326" s="618"/>
    </row>
    <row r="327" spans="1:16" s="619" customFormat="1" ht="36" x14ac:dyDescent="0.2">
      <c r="A327" s="598" t="s">
        <v>1907</v>
      </c>
      <c r="B327" s="620" t="s">
        <v>1908</v>
      </c>
      <c r="C327" s="598" t="s">
        <v>2015</v>
      </c>
      <c r="D327" s="598" t="s">
        <v>2318</v>
      </c>
      <c r="E327" s="621">
        <v>2200</v>
      </c>
      <c r="F327" s="599">
        <v>47766469</v>
      </c>
      <c r="G327" s="598" t="s">
        <v>2485</v>
      </c>
      <c r="H327" s="598" t="s">
        <v>2486</v>
      </c>
      <c r="I327" s="598" t="s">
        <v>1912</v>
      </c>
      <c r="J327" s="617" t="s">
        <v>1913</v>
      </c>
      <c r="K327" s="598">
        <v>1</v>
      </c>
      <c r="L327" s="598">
        <v>3</v>
      </c>
      <c r="M327" s="621">
        <v>6600</v>
      </c>
      <c r="N327" s="598"/>
      <c r="O327" s="598"/>
      <c r="P327" s="618"/>
    </row>
    <row r="328" spans="1:16" s="619" customFormat="1" ht="24" x14ac:dyDescent="0.2">
      <c r="A328" s="598" t="s">
        <v>1907</v>
      </c>
      <c r="B328" s="620" t="s">
        <v>1908</v>
      </c>
      <c r="C328" s="598" t="s">
        <v>2015</v>
      </c>
      <c r="D328" s="598" t="s">
        <v>2284</v>
      </c>
      <c r="E328" s="621">
        <v>2200</v>
      </c>
      <c r="F328" s="599">
        <v>45755197</v>
      </c>
      <c r="G328" s="598" t="s">
        <v>2487</v>
      </c>
      <c r="H328" s="598" t="s">
        <v>2475</v>
      </c>
      <c r="I328" s="598" t="s">
        <v>1912</v>
      </c>
      <c r="J328" s="617" t="s">
        <v>1913</v>
      </c>
      <c r="K328" s="598">
        <v>4</v>
      </c>
      <c r="L328" s="598">
        <v>8</v>
      </c>
      <c r="M328" s="621">
        <v>17600</v>
      </c>
      <c r="N328" s="598"/>
      <c r="O328" s="598"/>
      <c r="P328" s="618"/>
    </row>
    <row r="329" spans="1:16" s="619" customFormat="1" ht="36" x14ac:dyDescent="0.2">
      <c r="A329" s="598" t="s">
        <v>1907</v>
      </c>
      <c r="B329" s="620" t="s">
        <v>1908</v>
      </c>
      <c r="C329" s="598" t="s">
        <v>2015</v>
      </c>
      <c r="D329" s="598" t="s">
        <v>2284</v>
      </c>
      <c r="E329" s="621">
        <v>5000</v>
      </c>
      <c r="F329" s="599">
        <v>43264958</v>
      </c>
      <c r="G329" s="598" t="s">
        <v>2488</v>
      </c>
      <c r="H329" s="598" t="s">
        <v>2475</v>
      </c>
      <c r="I329" s="598" t="s">
        <v>1912</v>
      </c>
      <c r="J329" s="617" t="s">
        <v>1913</v>
      </c>
      <c r="K329" s="598">
        <v>3</v>
      </c>
      <c r="L329" s="598">
        <v>5</v>
      </c>
      <c r="M329" s="621">
        <v>25000</v>
      </c>
      <c r="N329" s="598"/>
      <c r="O329" s="598"/>
      <c r="P329" s="618"/>
    </row>
    <row r="330" spans="1:16" s="619" customFormat="1" ht="36" x14ac:dyDescent="0.2">
      <c r="A330" s="598" t="s">
        <v>1907</v>
      </c>
      <c r="B330" s="620" t="s">
        <v>1908</v>
      </c>
      <c r="C330" s="598" t="s">
        <v>2015</v>
      </c>
      <c r="D330" s="598" t="s">
        <v>2489</v>
      </c>
      <c r="E330" s="621">
        <v>1900</v>
      </c>
      <c r="F330" s="599">
        <v>46907191</v>
      </c>
      <c r="G330" s="598" t="s">
        <v>2490</v>
      </c>
      <c r="H330" s="598" t="s">
        <v>2491</v>
      </c>
      <c r="I330" s="598" t="s">
        <v>1912</v>
      </c>
      <c r="J330" s="617" t="s">
        <v>1913</v>
      </c>
      <c r="K330" s="598">
        <v>2</v>
      </c>
      <c r="L330" s="598">
        <v>5</v>
      </c>
      <c r="M330" s="621">
        <v>9500</v>
      </c>
      <c r="N330" s="598"/>
      <c r="O330" s="598"/>
      <c r="P330" s="618"/>
    </row>
    <row r="331" spans="1:16" s="619" customFormat="1" ht="36" x14ac:dyDescent="0.2">
      <c r="A331" s="598" t="s">
        <v>1907</v>
      </c>
      <c r="B331" s="620" t="s">
        <v>1908</v>
      </c>
      <c r="C331" s="598" t="s">
        <v>2015</v>
      </c>
      <c r="D331" s="598" t="s">
        <v>2492</v>
      </c>
      <c r="E331" s="621">
        <v>2200</v>
      </c>
      <c r="F331" s="599">
        <v>4708033</v>
      </c>
      <c r="G331" s="598" t="s">
        <v>2493</v>
      </c>
      <c r="H331" s="598" t="s">
        <v>2494</v>
      </c>
      <c r="I331" s="598" t="s">
        <v>1912</v>
      </c>
      <c r="J331" s="617" t="s">
        <v>1913</v>
      </c>
      <c r="K331" s="598">
        <v>1</v>
      </c>
      <c r="L331" s="598">
        <v>4</v>
      </c>
      <c r="M331" s="621">
        <v>8800</v>
      </c>
      <c r="N331" s="598"/>
      <c r="O331" s="598"/>
      <c r="P331" s="618"/>
    </row>
    <row r="332" spans="1:16" s="619" customFormat="1" ht="36" x14ac:dyDescent="0.2">
      <c r="A332" s="598" t="s">
        <v>1907</v>
      </c>
      <c r="B332" s="620" t="s">
        <v>1908</v>
      </c>
      <c r="C332" s="598" t="s">
        <v>2015</v>
      </c>
      <c r="D332" s="598" t="s">
        <v>2354</v>
      </c>
      <c r="E332" s="621">
        <v>1100</v>
      </c>
      <c r="F332" s="599">
        <v>76141262</v>
      </c>
      <c r="G332" s="598" t="s">
        <v>2495</v>
      </c>
      <c r="H332" s="598"/>
      <c r="I332" s="598"/>
      <c r="J332" s="617"/>
      <c r="K332" s="598">
        <v>1</v>
      </c>
      <c r="L332" s="598">
        <v>2</v>
      </c>
      <c r="M332" s="621">
        <v>2200</v>
      </c>
      <c r="N332" s="598"/>
      <c r="O332" s="598"/>
      <c r="P332" s="618"/>
    </row>
    <row r="333" spans="1:16" s="619" customFormat="1" ht="24" x14ac:dyDescent="0.2">
      <c r="A333" s="598" t="s">
        <v>1907</v>
      </c>
      <c r="B333" s="620" t="s">
        <v>1908</v>
      </c>
      <c r="C333" s="598" t="s">
        <v>2015</v>
      </c>
      <c r="D333" s="598" t="s">
        <v>2354</v>
      </c>
      <c r="E333" s="621">
        <v>1100</v>
      </c>
      <c r="F333" s="599">
        <v>72751124</v>
      </c>
      <c r="G333" s="598" t="s">
        <v>2496</v>
      </c>
      <c r="H333" s="598"/>
      <c r="I333" s="598"/>
      <c r="J333" s="617"/>
      <c r="K333" s="598">
        <v>3</v>
      </c>
      <c r="L333" s="598">
        <v>6</v>
      </c>
      <c r="M333" s="621">
        <v>6600</v>
      </c>
      <c r="N333" s="598"/>
      <c r="O333" s="598"/>
      <c r="P333" s="618"/>
    </row>
    <row r="334" spans="1:16" s="619" customFormat="1" ht="24" x14ac:dyDescent="0.2">
      <c r="A334" s="598" t="s">
        <v>1907</v>
      </c>
      <c r="B334" s="620" t="s">
        <v>1908</v>
      </c>
      <c r="C334" s="598" t="s">
        <v>2015</v>
      </c>
      <c r="D334" s="598" t="s">
        <v>2139</v>
      </c>
      <c r="E334" s="621">
        <v>1000</v>
      </c>
      <c r="F334" s="599">
        <v>74616657</v>
      </c>
      <c r="G334" s="598" t="s">
        <v>2497</v>
      </c>
      <c r="H334" s="598" t="s">
        <v>2034</v>
      </c>
      <c r="I334" s="598" t="s">
        <v>1912</v>
      </c>
      <c r="J334" s="617" t="s">
        <v>1913</v>
      </c>
      <c r="K334" s="598">
        <v>1</v>
      </c>
      <c r="L334" s="598">
        <v>3</v>
      </c>
      <c r="M334" s="621">
        <v>3000</v>
      </c>
      <c r="N334" s="598"/>
      <c r="O334" s="598"/>
      <c r="P334" s="618"/>
    </row>
    <row r="335" spans="1:16" s="619" customFormat="1" ht="36" x14ac:dyDescent="0.2">
      <c r="A335" s="598" t="s">
        <v>1907</v>
      </c>
      <c r="B335" s="620" t="s">
        <v>1908</v>
      </c>
      <c r="C335" s="598" t="s">
        <v>2015</v>
      </c>
      <c r="D335" s="598" t="s">
        <v>2016</v>
      </c>
      <c r="E335" s="621">
        <v>1900</v>
      </c>
      <c r="F335" s="599" t="s">
        <v>2498</v>
      </c>
      <c r="G335" s="598" t="s">
        <v>2499</v>
      </c>
      <c r="H335" s="598" t="s">
        <v>2038</v>
      </c>
      <c r="I335" s="598" t="s">
        <v>1912</v>
      </c>
      <c r="J335" s="617" t="s">
        <v>1913</v>
      </c>
      <c r="K335" s="598">
        <v>3</v>
      </c>
      <c r="L335" s="598">
        <v>6</v>
      </c>
      <c r="M335" s="621">
        <v>11400</v>
      </c>
      <c r="N335" s="598"/>
      <c r="O335" s="598"/>
      <c r="P335" s="618"/>
    </row>
    <row r="336" spans="1:16" s="619" customFormat="1" ht="48" x14ac:dyDescent="0.2">
      <c r="A336" s="598" t="s">
        <v>1907</v>
      </c>
      <c r="B336" s="620" t="s">
        <v>1908</v>
      </c>
      <c r="C336" s="598" t="s">
        <v>2015</v>
      </c>
      <c r="D336" s="598" t="s">
        <v>2139</v>
      </c>
      <c r="E336" s="621">
        <v>1000</v>
      </c>
      <c r="F336" s="599">
        <v>72360257</v>
      </c>
      <c r="G336" s="598" t="s">
        <v>2500</v>
      </c>
      <c r="H336" s="598" t="s">
        <v>2143</v>
      </c>
      <c r="I336" s="598" t="s">
        <v>1912</v>
      </c>
      <c r="J336" s="617" t="s">
        <v>1913</v>
      </c>
      <c r="K336" s="598">
        <v>1</v>
      </c>
      <c r="L336" s="598">
        <v>3</v>
      </c>
      <c r="M336" s="621">
        <v>3000</v>
      </c>
      <c r="N336" s="598"/>
      <c r="O336" s="598"/>
      <c r="P336" s="618"/>
    </row>
    <row r="337" spans="1:16" s="619" customFormat="1" ht="36" x14ac:dyDescent="0.2">
      <c r="A337" s="598" t="s">
        <v>1907</v>
      </c>
      <c r="B337" s="620" t="s">
        <v>1908</v>
      </c>
      <c r="C337" s="598" t="s">
        <v>2015</v>
      </c>
      <c r="D337" s="598" t="s">
        <v>2318</v>
      </c>
      <c r="E337" s="621">
        <v>1200</v>
      </c>
      <c r="F337" s="599">
        <v>74632113</v>
      </c>
      <c r="G337" s="598" t="s">
        <v>2501</v>
      </c>
      <c r="H337" s="598"/>
      <c r="I337" s="598"/>
      <c r="J337" s="617"/>
      <c r="K337" s="598">
        <v>1</v>
      </c>
      <c r="L337" s="598">
        <v>1</v>
      </c>
      <c r="M337" s="621">
        <v>1200</v>
      </c>
      <c r="N337" s="598"/>
      <c r="O337" s="598"/>
      <c r="P337" s="618"/>
    </row>
    <row r="338" spans="1:16" s="619" customFormat="1" ht="24" x14ac:dyDescent="0.2">
      <c r="A338" s="598" t="s">
        <v>1907</v>
      </c>
      <c r="B338" s="620" t="s">
        <v>1908</v>
      </c>
      <c r="C338" s="598" t="s">
        <v>2015</v>
      </c>
      <c r="D338" s="598" t="s">
        <v>2051</v>
      </c>
      <c r="E338" s="621">
        <v>3500</v>
      </c>
      <c r="F338" s="599">
        <v>26707048</v>
      </c>
      <c r="G338" s="598" t="s">
        <v>2502</v>
      </c>
      <c r="H338" s="598" t="s">
        <v>2038</v>
      </c>
      <c r="I338" s="598" t="s">
        <v>1912</v>
      </c>
      <c r="J338" s="617" t="s">
        <v>1913</v>
      </c>
      <c r="K338" s="598">
        <v>5</v>
      </c>
      <c r="L338" s="598">
        <v>9</v>
      </c>
      <c r="M338" s="621">
        <v>31500</v>
      </c>
      <c r="N338" s="598"/>
      <c r="O338" s="598"/>
      <c r="P338" s="618"/>
    </row>
    <row r="339" spans="1:16" s="619" customFormat="1" ht="48" x14ac:dyDescent="0.2">
      <c r="A339" s="598" t="s">
        <v>1907</v>
      </c>
      <c r="B339" s="620" t="s">
        <v>1908</v>
      </c>
      <c r="C339" s="598" t="s">
        <v>2015</v>
      </c>
      <c r="D339" s="598" t="s">
        <v>2318</v>
      </c>
      <c r="E339" s="621">
        <v>3000</v>
      </c>
      <c r="F339" s="599">
        <v>9161173</v>
      </c>
      <c r="G339" s="598" t="s">
        <v>2503</v>
      </c>
      <c r="H339" s="598" t="s">
        <v>2504</v>
      </c>
      <c r="I339" s="598" t="s">
        <v>1912</v>
      </c>
      <c r="J339" s="617" t="s">
        <v>1913</v>
      </c>
      <c r="K339" s="598">
        <v>1</v>
      </c>
      <c r="L339" s="598">
        <v>3</v>
      </c>
      <c r="M339" s="621">
        <v>9000</v>
      </c>
      <c r="N339" s="598"/>
      <c r="O339" s="598"/>
      <c r="P339" s="618"/>
    </row>
    <row r="340" spans="1:16" s="619" customFormat="1" ht="36" x14ac:dyDescent="0.2">
      <c r="A340" s="598" t="s">
        <v>1907</v>
      </c>
      <c r="B340" s="620" t="s">
        <v>1908</v>
      </c>
      <c r="C340" s="598" t="s">
        <v>2015</v>
      </c>
      <c r="D340" s="598" t="s">
        <v>2257</v>
      </c>
      <c r="E340" s="621">
        <v>1500</v>
      </c>
      <c r="F340" s="599">
        <v>70129583</v>
      </c>
      <c r="G340" s="598" t="s">
        <v>2505</v>
      </c>
      <c r="H340" s="598" t="s">
        <v>2036</v>
      </c>
      <c r="I340" s="598" t="s">
        <v>1912</v>
      </c>
      <c r="J340" s="617" t="s">
        <v>1931</v>
      </c>
      <c r="K340" s="598">
        <v>4</v>
      </c>
      <c r="L340" s="598">
        <v>10</v>
      </c>
      <c r="M340" s="621">
        <v>15000</v>
      </c>
      <c r="N340" s="598"/>
      <c r="O340" s="598"/>
      <c r="P340" s="618"/>
    </row>
    <row r="341" spans="1:16" s="619" customFormat="1" ht="48" x14ac:dyDescent="0.2">
      <c r="A341" s="598" t="s">
        <v>1907</v>
      </c>
      <c r="B341" s="620" t="s">
        <v>2073</v>
      </c>
      <c r="C341" s="598" t="s">
        <v>2015</v>
      </c>
      <c r="D341" s="598" t="s">
        <v>2506</v>
      </c>
      <c r="E341" s="621">
        <v>1100</v>
      </c>
      <c r="F341" s="599">
        <v>45967365</v>
      </c>
      <c r="G341" s="598" t="s">
        <v>2507</v>
      </c>
      <c r="H341" s="598"/>
      <c r="I341" s="598"/>
      <c r="J341" s="617"/>
      <c r="K341" s="598">
        <v>6</v>
      </c>
      <c r="L341" s="598">
        <v>10</v>
      </c>
      <c r="M341" s="621">
        <v>11000</v>
      </c>
      <c r="N341" s="598"/>
      <c r="O341" s="598"/>
      <c r="P341" s="618"/>
    </row>
    <row r="342" spans="1:16" s="619" customFormat="1" ht="36" x14ac:dyDescent="0.2">
      <c r="A342" s="598" t="s">
        <v>1907</v>
      </c>
      <c r="B342" s="620" t="s">
        <v>2050</v>
      </c>
      <c r="C342" s="598" t="s">
        <v>2015</v>
      </c>
      <c r="D342" s="598" t="s">
        <v>2242</v>
      </c>
      <c r="E342" s="621">
        <v>5000</v>
      </c>
      <c r="F342" s="599">
        <v>33423350</v>
      </c>
      <c r="G342" s="598" t="s">
        <v>2508</v>
      </c>
      <c r="H342" s="598" t="s">
        <v>2182</v>
      </c>
      <c r="I342" s="598" t="s">
        <v>1912</v>
      </c>
      <c r="J342" s="617" t="s">
        <v>1913</v>
      </c>
      <c r="K342" s="598">
        <v>4</v>
      </c>
      <c r="L342" s="598">
        <v>5</v>
      </c>
      <c r="M342" s="621">
        <v>25000</v>
      </c>
      <c r="N342" s="598"/>
      <c r="O342" s="598"/>
      <c r="P342" s="618"/>
    </row>
    <row r="343" spans="1:16" s="619" customFormat="1" ht="48" x14ac:dyDescent="0.2">
      <c r="A343" s="598" t="s">
        <v>1907</v>
      </c>
      <c r="B343" s="620" t="s">
        <v>2073</v>
      </c>
      <c r="C343" s="598" t="s">
        <v>2015</v>
      </c>
      <c r="D343" s="598" t="s">
        <v>2354</v>
      </c>
      <c r="E343" s="621">
        <v>6000</v>
      </c>
      <c r="F343" s="599">
        <v>33407177</v>
      </c>
      <c r="G343" s="598" t="s">
        <v>2509</v>
      </c>
      <c r="H343" s="598" t="s">
        <v>1954</v>
      </c>
      <c r="I343" s="598" t="s">
        <v>1912</v>
      </c>
      <c r="J343" s="617" t="s">
        <v>1913</v>
      </c>
      <c r="K343" s="598">
        <v>4</v>
      </c>
      <c r="L343" s="598">
        <v>8</v>
      </c>
      <c r="M343" s="621">
        <v>48000</v>
      </c>
      <c r="N343" s="598"/>
      <c r="O343" s="598"/>
      <c r="P343" s="618"/>
    </row>
    <row r="344" spans="1:16" s="619" customFormat="1" ht="36" x14ac:dyDescent="0.2">
      <c r="A344" s="598" t="s">
        <v>1907</v>
      </c>
      <c r="B344" s="620" t="s">
        <v>1908</v>
      </c>
      <c r="C344" s="598" t="s">
        <v>2015</v>
      </c>
      <c r="D344" s="598" t="s">
        <v>2271</v>
      </c>
      <c r="E344" s="621">
        <v>1700</v>
      </c>
      <c r="F344" s="599">
        <v>48437083</v>
      </c>
      <c r="G344" s="598" t="s">
        <v>2510</v>
      </c>
      <c r="H344" s="598" t="s">
        <v>2511</v>
      </c>
      <c r="I344" s="598" t="s">
        <v>1912</v>
      </c>
      <c r="J344" s="617" t="s">
        <v>1913</v>
      </c>
      <c r="K344" s="598">
        <v>6</v>
      </c>
      <c r="L344" s="598">
        <v>10</v>
      </c>
      <c r="M344" s="621">
        <v>17000</v>
      </c>
      <c r="N344" s="598"/>
      <c r="O344" s="598"/>
      <c r="P344" s="618"/>
    </row>
    <row r="345" spans="1:16" s="619" customFormat="1" ht="36" x14ac:dyDescent="0.2">
      <c r="A345" s="598" t="s">
        <v>1907</v>
      </c>
      <c r="B345" s="620" t="s">
        <v>1908</v>
      </c>
      <c r="C345" s="598" t="s">
        <v>2015</v>
      </c>
      <c r="D345" s="598" t="s">
        <v>2318</v>
      </c>
      <c r="E345" s="621">
        <v>1600</v>
      </c>
      <c r="F345" s="599">
        <v>41615476</v>
      </c>
      <c r="G345" s="598" t="s">
        <v>2512</v>
      </c>
      <c r="H345" s="598" t="s">
        <v>2036</v>
      </c>
      <c r="I345" s="598" t="s">
        <v>1912</v>
      </c>
      <c r="J345" s="617" t="s">
        <v>1931</v>
      </c>
      <c r="K345" s="598">
        <v>6</v>
      </c>
      <c r="L345" s="598">
        <v>9</v>
      </c>
      <c r="M345" s="621">
        <v>14400</v>
      </c>
      <c r="N345" s="598"/>
      <c r="O345" s="598"/>
      <c r="P345" s="618"/>
    </row>
    <row r="346" spans="1:16" s="619" customFormat="1" ht="48" x14ac:dyDescent="0.2">
      <c r="A346" s="598" t="s">
        <v>1907</v>
      </c>
      <c r="B346" s="620" t="s">
        <v>2073</v>
      </c>
      <c r="C346" s="598" t="s">
        <v>2015</v>
      </c>
      <c r="D346" s="598" t="s">
        <v>2341</v>
      </c>
      <c r="E346" s="621">
        <v>2000</v>
      </c>
      <c r="F346" s="599">
        <v>44558080</v>
      </c>
      <c r="G346" s="598" t="s">
        <v>2513</v>
      </c>
      <c r="H346" s="598" t="s">
        <v>2084</v>
      </c>
      <c r="I346" s="598" t="s">
        <v>1912</v>
      </c>
      <c r="J346" s="617" t="s">
        <v>1913</v>
      </c>
      <c r="K346" s="598">
        <v>3</v>
      </c>
      <c r="L346" s="598">
        <v>7</v>
      </c>
      <c r="M346" s="621">
        <v>14000</v>
      </c>
      <c r="N346" s="598"/>
      <c r="O346" s="598"/>
      <c r="P346" s="618"/>
    </row>
    <row r="347" spans="1:16" s="619" customFormat="1" ht="36" x14ac:dyDescent="0.2">
      <c r="A347" s="598" t="s">
        <v>1907</v>
      </c>
      <c r="B347" s="620" t="s">
        <v>1908</v>
      </c>
      <c r="C347" s="598" t="s">
        <v>2015</v>
      </c>
      <c r="D347" s="598" t="s">
        <v>2221</v>
      </c>
      <c r="E347" s="621">
        <v>2000</v>
      </c>
      <c r="F347" s="599">
        <v>46554183</v>
      </c>
      <c r="G347" s="598" t="s">
        <v>2514</v>
      </c>
      <c r="H347" s="598" t="s">
        <v>2263</v>
      </c>
      <c r="I347" s="598" t="s">
        <v>1912</v>
      </c>
      <c r="J347" s="617" t="s">
        <v>1931</v>
      </c>
      <c r="K347" s="598">
        <v>1</v>
      </c>
      <c r="L347" s="598">
        <v>2</v>
      </c>
      <c r="M347" s="621">
        <v>4000</v>
      </c>
      <c r="N347" s="598"/>
      <c r="O347" s="598"/>
      <c r="P347" s="618"/>
    </row>
    <row r="348" spans="1:16" s="619" customFormat="1" ht="36" x14ac:dyDescent="0.2">
      <c r="A348" s="598" t="s">
        <v>1907</v>
      </c>
      <c r="B348" s="620" t="s">
        <v>1908</v>
      </c>
      <c r="C348" s="598" t="s">
        <v>2015</v>
      </c>
      <c r="D348" s="598" t="s">
        <v>2467</v>
      </c>
      <c r="E348" s="621">
        <v>1300</v>
      </c>
      <c r="F348" s="599">
        <v>73545967</v>
      </c>
      <c r="G348" s="598" t="s">
        <v>2515</v>
      </c>
      <c r="H348" s="598"/>
      <c r="I348" s="598"/>
      <c r="J348" s="617"/>
      <c r="K348" s="598">
        <v>1</v>
      </c>
      <c r="L348" s="598">
        <v>2</v>
      </c>
      <c r="M348" s="621">
        <v>2600</v>
      </c>
      <c r="N348" s="598"/>
      <c r="O348" s="598"/>
      <c r="P348" s="618"/>
    </row>
    <row r="349" spans="1:16" s="619" customFormat="1" ht="36" x14ac:dyDescent="0.2">
      <c r="A349" s="598" t="s">
        <v>1907</v>
      </c>
      <c r="B349" s="620" t="s">
        <v>1908</v>
      </c>
      <c r="C349" s="598" t="s">
        <v>2015</v>
      </c>
      <c r="D349" s="598" t="s">
        <v>2423</v>
      </c>
      <c r="E349" s="621">
        <v>3000</v>
      </c>
      <c r="F349" s="599">
        <v>17555760</v>
      </c>
      <c r="G349" s="598" t="s">
        <v>2516</v>
      </c>
      <c r="H349" s="598" t="s">
        <v>2177</v>
      </c>
      <c r="I349" s="598" t="s">
        <v>1912</v>
      </c>
      <c r="J349" s="617" t="s">
        <v>1931</v>
      </c>
      <c r="K349" s="598">
        <v>6</v>
      </c>
      <c r="L349" s="598">
        <v>9</v>
      </c>
      <c r="M349" s="621">
        <v>27000</v>
      </c>
      <c r="N349" s="598"/>
      <c r="O349" s="598"/>
      <c r="P349" s="618"/>
    </row>
    <row r="350" spans="1:16" s="619" customFormat="1" ht="36" x14ac:dyDescent="0.2">
      <c r="A350" s="598" t="s">
        <v>1907</v>
      </c>
      <c r="B350" s="620" t="s">
        <v>1908</v>
      </c>
      <c r="C350" s="598" t="s">
        <v>2015</v>
      </c>
      <c r="D350" s="598" t="s">
        <v>2318</v>
      </c>
      <c r="E350" s="621">
        <v>1710</v>
      </c>
      <c r="F350" s="599">
        <v>46744863</v>
      </c>
      <c r="G350" s="598" t="s">
        <v>2517</v>
      </c>
      <c r="H350" s="598" t="s">
        <v>2518</v>
      </c>
      <c r="I350" s="598" t="s">
        <v>1912</v>
      </c>
      <c r="J350" s="617" t="s">
        <v>1913</v>
      </c>
      <c r="K350" s="598">
        <v>1</v>
      </c>
      <c r="L350" s="598">
        <v>1</v>
      </c>
      <c r="M350" s="621">
        <v>1710</v>
      </c>
      <c r="N350" s="598"/>
      <c r="O350" s="598"/>
      <c r="P350" s="618"/>
    </row>
    <row r="351" spans="1:16" s="619" customFormat="1" ht="24" x14ac:dyDescent="0.2">
      <c r="A351" s="598" t="s">
        <v>1907</v>
      </c>
      <c r="B351" s="620" t="s">
        <v>1908</v>
      </c>
      <c r="C351" s="598" t="s">
        <v>2015</v>
      </c>
      <c r="D351" s="598" t="s">
        <v>2242</v>
      </c>
      <c r="E351" s="621">
        <v>1500</v>
      </c>
      <c r="F351" s="599">
        <v>43329268</v>
      </c>
      <c r="G351" s="598" t="s">
        <v>2519</v>
      </c>
      <c r="H351" s="598"/>
      <c r="I351" s="598"/>
      <c r="J351" s="617"/>
      <c r="K351" s="598">
        <v>1</v>
      </c>
      <c r="L351" s="598">
        <v>2</v>
      </c>
      <c r="M351" s="621">
        <v>3000</v>
      </c>
      <c r="N351" s="598"/>
      <c r="O351" s="598"/>
      <c r="P351" s="618"/>
    </row>
    <row r="352" spans="1:16" s="619" customFormat="1" ht="24" x14ac:dyDescent="0.2">
      <c r="A352" s="598" t="s">
        <v>1907</v>
      </c>
      <c r="B352" s="620" t="s">
        <v>2050</v>
      </c>
      <c r="C352" s="598" t="s">
        <v>2015</v>
      </c>
      <c r="D352" s="598" t="s">
        <v>2520</v>
      </c>
      <c r="E352" s="621">
        <v>4000</v>
      </c>
      <c r="F352" s="599">
        <v>70860843</v>
      </c>
      <c r="G352" s="598" t="s">
        <v>2521</v>
      </c>
      <c r="H352" s="598" t="s">
        <v>2357</v>
      </c>
      <c r="I352" s="598" t="s">
        <v>1912</v>
      </c>
      <c r="J352" s="617" t="s">
        <v>1913</v>
      </c>
      <c r="K352" s="598">
        <v>6</v>
      </c>
      <c r="L352" s="598">
        <v>12</v>
      </c>
      <c r="M352" s="621">
        <v>48000</v>
      </c>
      <c r="N352" s="598"/>
      <c r="O352" s="598"/>
      <c r="P352" s="618"/>
    </row>
    <row r="353" spans="1:16" s="619" customFormat="1" ht="36" x14ac:dyDescent="0.2">
      <c r="A353" s="598" t="s">
        <v>1907</v>
      </c>
      <c r="B353" s="620" t="s">
        <v>1908</v>
      </c>
      <c r="C353" s="598" t="s">
        <v>2015</v>
      </c>
      <c r="D353" s="598" t="s">
        <v>2522</v>
      </c>
      <c r="E353" s="621">
        <v>4500</v>
      </c>
      <c r="F353" s="599">
        <v>26673881</v>
      </c>
      <c r="G353" s="598" t="s">
        <v>2523</v>
      </c>
      <c r="H353" s="598" t="s">
        <v>2182</v>
      </c>
      <c r="I353" s="598" t="s">
        <v>1912</v>
      </c>
      <c r="J353" s="617" t="s">
        <v>1913</v>
      </c>
      <c r="K353" s="598">
        <v>1</v>
      </c>
      <c r="L353" s="598">
        <v>3</v>
      </c>
      <c r="M353" s="621">
        <v>13500</v>
      </c>
      <c r="N353" s="598"/>
      <c r="O353" s="598"/>
      <c r="P353" s="618"/>
    </row>
    <row r="354" spans="1:16" s="619" customFormat="1" ht="48" x14ac:dyDescent="0.2">
      <c r="A354" s="598" t="s">
        <v>1907</v>
      </c>
      <c r="B354" s="620" t="s">
        <v>2275</v>
      </c>
      <c r="C354" s="598" t="s">
        <v>2015</v>
      </c>
      <c r="D354" s="598" t="s">
        <v>2480</v>
      </c>
      <c r="E354" s="621">
        <v>1100</v>
      </c>
      <c r="F354" s="599">
        <v>40524444</v>
      </c>
      <c r="G354" s="598" t="s">
        <v>2524</v>
      </c>
      <c r="H354" s="598"/>
      <c r="I354" s="598"/>
      <c r="J354" s="617"/>
      <c r="K354" s="598">
        <v>3</v>
      </c>
      <c r="L354" s="598">
        <v>9</v>
      </c>
      <c r="M354" s="621">
        <v>9900</v>
      </c>
      <c r="N354" s="598"/>
      <c r="O354" s="598"/>
      <c r="P354" s="618"/>
    </row>
    <row r="355" spans="1:16" s="619" customFormat="1" ht="24" x14ac:dyDescent="0.2">
      <c r="A355" s="598" t="s">
        <v>1907</v>
      </c>
      <c r="B355" s="620" t="s">
        <v>1908</v>
      </c>
      <c r="C355" s="598" t="s">
        <v>2015</v>
      </c>
      <c r="D355" s="598" t="s">
        <v>2242</v>
      </c>
      <c r="E355" s="621">
        <v>4500</v>
      </c>
      <c r="F355" s="599">
        <v>41355408</v>
      </c>
      <c r="G355" s="598" t="s">
        <v>2525</v>
      </c>
      <c r="H355" s="598" t="s">
        <v>1922</v>
      </c>
      <c r="I355" s="598" t="s">
        <v>1912</v>
      </c>
      <c r="J355" s="617" t="s">
        <v>1913</v>
      </c>
      <c r="K355" s="598">
        <v>4</v>
      </c>
      <c r="L355" s="598">
        <v>6</v>
      </c>
      <c r="M355" s="621">
        <v>27000</v>
      </c>
      <c r="N355" s="598"/>
      <c r="O355" s="598"/>
      <c r="P355" s="618"/>
    </row>
    <row r="356" spans="1:16" s="619" customFormat="1" ht="36" x14ac:dyDescent="0.2">
      <c r="A356" s="598" t="s">
        <v>1907</v>
      </c>
      <c r="B356" s="620" t="s">
        <v>1908</v>
      </c>
      <c r="C356" s="598" t="s">
        <v>2015</v>
      </c>
      <c r="D356" s="598" t="s">
        <v>2467</v>
      </c>
      <c r="E356" s="621">
        <v>1000</v>
      </c>
      <c r="F356" s="599" t="s">
        <v>2526</v>
      </c>
      <c r="G356" s="598" t="s">
        <v>2527</v>
      </c>
      <c r="H356" s="598"/>
      <c r="I356" s="598"/>
      <c r="J356" s="617"/>
      <c r="K356" s="598">
        <v>5</v>
      </c>
      <c r="L356" s="598">
        <v>9</v>
      </c>
      <c r="M356" s="621">
        <v>9000</v>
      </c>
      <c r="N356" s="598"/>
      <c r="O356" s="598"/>
      <c r="P356" s="618"/>
    </row>
    <row r="357" spans="1:16" s="619" customFormat="1" ht="48" x14ac:dyDescent="0.2">
      <c r="A357" s="598" t="s">
        <v>1907</v>
      </c>
      <c r="B357" s="620" t="s">
        <v>1908</v>
      </c>
      <c r="C357" s="598" t="s">
        <v>2015</v>
      </c>
      <c r="D357" s="598" t="s">
        <v>2091</v>
      </c>
      <c r="E357" s="621">
        <v>5000</v>
      </c>
      <c r="F357" s="599">
        <v>33425752</v>
      </c>
      <c r="G357" s="598" t="s">
        <v>2528</v>
      </c>
      <c r="H357" s="598" t="s">
        <v>2232</v>
      </c>
      <c r="I357" s="598" t="s">
        <v>1912</v>
      </c>
      <c r="J357" s="617" t="s">
        <v>1913</v>
      </c>
      <c r="K357" s="598">
        <v>5</v>
      </c>
      <c r="L357" s="598">
        <v>10</v>
      </c>
      <c r="M357" s="621">
        <v>50000</v>
      </c>
      <c r="N357" s="598"/>
      <c r="O357" s="598"/>
      <c r="P357" s="618"/>
    </row>
    <row r="358" spans="1:16" s="619" customFormat="1" ht="24" x14ac:dyDescent="0.2">
      <c r="A358" s="598" t="s">
        <v>1907</v>
      </c>
      <c r="B358" s="620" t="s">
        <v>1908</v>
      </c>
      <c r="C358" s="598" t="s">
        <v>2015</v>
      </c>
      <c r="D358" s="598" t="s">
        <v>2470</v>
      </c>
      <c r="E358" s="621">
        <v>2200</v>
      </c>
      <c r="F358" s="599">
        <v>47279891</v>
      </c>
      <c r="G358" s="598" t="s">
        <v>2529</v>
      </c>
      <c r="H358" s="598" t="s">
        <v>2038</v>
      </c>
      <c r="I358" s="598" t="s">
        <v>1912</v>
      </c>
      <c r="J358" s="617" t="s">
        <v>1913</v>
      </c>
      <c r="K358" s="598">
        <v>2</v>
      </c>
      <c r="L358" s="598">
        <v>5</v>
      </c>
      <c r="M358" s="621">
        <v>11000</v>
      </c>
      <c r="N358" s="598"/>
      <c r="O358" s="598"/>
      <c r="P358" s="618"/>
    </row>
    <row r="359" spans="1:16" s="619" customFormat="1" ht="48" x14ac:dyDescent="0.2">
      <c r="A359" s="598" t="s">
        <v>1907</v>
      </c>
      <c r="B359" s="620" t="s">
        <v>1908</v>
      </c>
      <c r="C359" s="598" t="s">
        <v>2015</v>
      </c>
      <c r="D359" s="598" t="s">
        <v>2530</v>
      </c>
      <c r="E359" s="621">
        <v>1200</v>
      </c>
      <c r="F359" s="599">
        <v>40222514</v>
      </c>
      <c r="G359" s="598" t="s">
        <v>2531</v>
      </c>
      <c r="H359" s="598"/>
      <c r="I359" s="598"/>
      <c r="J359" s="617"/>
      <c r="K359" s="598">
        <v>1</v>
      </c>
      <c r="L359" s="598">
        <v>3</v>
      </c>
      <c r="M359" s="621">
        <v>3600</v>
      </c>
      <c r="N359" s="598"/>
      <c r="O359" s="598"/>
      <c r="P359" s="618"/>
    </row>
    <row r="360" spans="1:16" s="619" customFormat="1" ht="36" x14ac:dyDescent="0.2">
      <c r="A360" s="598" t="s">
        <v>1907</v>
      </c>
      <c r="B360" s="620" t="s">
        <v>1908</v>
      </c>
      <c r="C360" s="598" t="s">
        <v>2015</v>
      </c>
      <c r="D360" s="598" t="s">
        <v>2423</v>
      </c>
      <c r="E360" s="621">
        <v>1200</v>
      </c>
      <c r="F360" s="599">
        <v>70913670</v>
      </c>
      <c r="G360" s="598" t="s">
        <v>2532</v>
      </c>
      <c r="H360" s="598" t="s">
        <v>2104</v>
      </c>
      <c r="I360" s="598" t="s">
        <v>1912</v>
      </c>
      <c r="J360" s="617" t="s">
        <v>1931</v>
      </c>
      <c r="K360" s="598">
        <v>6</v>
      </c>
      <c r="L360" s="598">
        <v>10</v>
      </c>
      <c r="M360" s="621">
        <v>12000</v>
      </c>
      <c r="N360" s="598"/>
      <c r="O360" s="598"/>
      <c r="P360" s="618"/>
    </row>
    <row r="361" spans="1:16" s="619" customFormat="1" ht="48" x14ac:dyDescent="0.2">
      <c r="A361" s="598" t="s">
        <v>1907</v>
      </c>
      <c r="B361" s="620" t="s">
        <v>1908</v>
      </c>
      <c r="C361" s="598" t="s">
        <v>2015</v>
      </c>
      <c r="D361" s="598" t="s">
        <v>2139</v>
      </c>
      <c r="E361" s="621">
        <v>1000</v>
      </c>
      <c r="F361" s="599">
        <v>70879149</v>
      </c>
      <c r="G361" s="598" t="s">
        <v>2533</v>
      </c>
      <c r="H361" s="598"/>
      <c r="I361" s="598"/>
      <c r="J361" s="617"/>
      <c r="K361" s="598">
        <v>4</v>
      </c>
      <c r="L361" s="598">
        <v>7</v>
      </c>
      <c r="M361" s="621">
        <v>7000</v>
      </c>
      <c r="N361" s="598"/>
      <c r="O361" s="598"/>
      <c r="P361" s="618"/>
    </row>
    <row r="362" spans="1:16" s="619" customFormat="1" ht="36" x14ac:dyDescent="0.2">
      <c r="A362" s="598" t="s">
        <v>1907</v>
      </c>
      <c r="B362" s="620" t="s">
        <v>1908</v>
      </c>
      <c r="C362" s="598" t="s">
        <v>2015</v>
      </c>
      <c r="D362" s="598" t="s">
        <v>2139</v>
      </c>
      <c r="E362" s="621">
        <v>1000</v>
      </c>
      <c r="F362" s="599">
        <v>70484804</v>
      </c>
      <c r="G362" s="598" t="s">
        <v>2534</v>
      </c>
      <c r="H362" s="598"/>
      <c r="I362" s="598"/>
      <c r="J362" s="617"/>
      <c r="K362" s="598">
        <v>1</v>
      </c>
      <c r="L362" s="598">
        <v>3</v>
      </c>
      <c r="M362" s="621">
        <v>3000</v>
      </c>
      <c r="N362" s="598"/>
      <c r="O362" s="598"/>
      <c r="P362" s="618"/>
    </row>
    <row r="363" spans="1:16" s="619" customFormat="1" ht="36" x14ac:dyDescent="0.2">
      <c r="A363" s="598" t="s">
        <v>1907</v>
      </c>
      <c r="B363" s="620" t="s">
        <v>1908</v>
      </c>
      <c r="C363" s="598" t="s">
        <v>2015</v>
      </c>
      <c r="D363" s="598" t="s">
        <v>2093</v>
      </c>
      <c r="E363" s="621">
        <v>1800</v>
      </c>
      <c r="F363" s="599">
        <v>33789030</v>
      </c>
      <c r="G363" s="598" t="s">
        <v>2535</v>
      </c>
      <c r="H363" s="598" t="s">
        <v>2104</v>
      </c>
      <c r="I363" s="598" t="s">
        <v>1912</v>
      </c>
      <c r="J363" s="617" t="s">
        <v>1931</v>
      </c>
      <c r="K363" s="598">
        <v>1</v>
      </c>
      <c r="L363" s="598">
        <v>3</v>
      </c>
      <c r="M363" s="621">
        <v>5400</v>
      </c>
      <c r="N363" s="598"/>
      <c r="O363" s="598"/>
      <c r="P363" s="618"/>
    </row>
    <row r="364" spans="1:16" s="619" customFormat="1" ht="36" x14ac:dyDescent="0.2">
      <c r="A364" s="598" t="s">
        <v>1907</v>
      </c>
      <c r="B364" s="620" t="s">
        <v>1908</v>
      </c>
      <c r="C364" s="598" t="s">
        <v>2015</v>
      </c>
      <c r="D364" s="598" t="s">
        <v>2139</v>
      </c>
      <c r="E364" s="621">
        <v>5000</v>
      </c>
      <c r="F364" s="599">
        <v>16761677</v>
      </c>
      <c r="G364" s="598" t="s">
        <v>2536</v>
      </c>
      <c r="H364" s="598" t="s">
        <v>2537</v>
      </c>
      <c r="I364" s="598" t="s">
        <v>1912</v>
      </c>
      <c r="J364" s="617" t="s">
        <v>1913</v>
      </c>
      <c r="K364" s="598">
        <v>1</v>
      </c>
      <c r="L364" s="598">
        <v>3</v>
      </c>
      <c r="M364" s="621">
        <v>15000</v>
      </c>
      <c r="N364" s="598"/>
      <c r="O364" s="598"/>
      <c r="P364" s="618"/>
    </row>
    <row r="365" spans="1:16" s="619" customFormat="1" ht="36" x14ac:dyDescent="0.2">
      <c r="A365" s="598" t="s">
        <v>1907</v>
      </c>
      <c r="B365" s="620" t="s">
        <v>2050</v>
      </c>
      <c r="C365" s="598" t="s">
        <v>2015</v>
      </c>
      <c r="D365" s="598" t="s">
        <v>2242</v>
      </c>
      <c r="E365" s="621">
        <v>2500</v>
      </c>
      <c r="F365" s="599">
        <v>41717040</v>
      </c>
      <c r="G365" s="598" t="s">
        <v>2538</v>
      </c>
      <c r="H365" s="598" t="s">
        <v>2539</v>
      </c>
      <c r="I365" s="598" t="s">
        <v>1912</v>
      </c>
      <c r="J365" s="617" t="s">
        <v>1913</v>
      </c>
      <c r="K365" s="598">
        <v>7</v>
      </c>
      <c r="L365" s="598">
        <v>9</v>
      </c>
      <c r="M365" s="621">
        <v>22500</v>
      </c>
      <c r="N365" s="598"/>
      <c r="O365" s="598"/>
      <c r="P365" s="618"/>
    </row>
    <row r="366" spans="1:16" s="619" customFormat="1" ht="48" x14ac:dyDescent="0.2">
      <c r="A366" s="598" t="s">
        <v>1907</v>
      </c>
      <c r="B366" s="620" t="s">
        <v>1908</v>
      </c>
      <c r="C366" s="598" t="s">
        <v>2015</v>
      </c>
      <c r="D366" s="598" t="s">
        <v>2271</v>
      </c>
      <c r="E366" s="621">
        <v>1900</v>
      </c>
      <c r="F366" s="599">
        <v>46364732</v>
      </c>
      <c r="G366" s="598" t="s">
        <v>2540</v>
      </c>
      <c r="H366" s="598" t="s">
        <v>2541</v>
      </c>
      <c r="I366" s="598" t="s">
        <v>1912</v>
      </c>
      <c r="J366" s="617" t="s">
        <v>1913</v>
      </c>
      <c r="K366" s="598">
        <v>1</v>
      </c>
      <c r="L366" s="598">
        <v>3</v>
      </c>
      <c r="M366" s="621">
        <v>5700</v>
      </c>
      <c r="N366" s="598"/>
      <c r="O366" s="598"/>
      <c r="P366" s="618"/>
    </row>
    <row r="367" spans="1:16" s="619" customFormat="1" ht="48" x14ac:dyDescent="0.2">
      <c r="A367" s="598" t="s">
        <v>1907</v>
      </c>
      <c r="B367" s="620" t="s">
        <v>1908</v>
      </c>
      <c r="C367" s="598" t="s">
        <v>2015</v>
      </c>
      <c r="D367" s="598" t="s">
        <v>2114</v>
      </c>
      <c r="E367" s="621">
        <v>4000</v>
      </c>
      <c r="F367" s="599">
        <v>72033948</v>
      </c>
      <c r="G367" s="598" t="s">
        <v>1936</v>
      </c>
      <c r="H367" s="598" t="s">
        <v>1911</v>
      </c>
      <c r="I367" s="598" t="s">
        <v>1912</v>
      </c>
      <c r="J367" s="617" t="s">
        <v>1913</v>
      </c>
      <c r="K367" s="598">
        <v>4</v>
      </c>
      <c r="L367" s="598">
        <v>7</v>
      </c>
      <c r="M367" s="621">
        <v>28000</v>
      </c>
      <c r="N367" s="598"/>
      <c r="O367" s="598"/>
      <c r="P367" s="618"/>
    </row>
    <row r="368" spans="1:16" s="619" customFormat="1" ht="36" x14ac:dyDescent="0.2">
      <c r="A368" s="598" t="s">
        <v>1907</v>
      </c>
      <c r="B368" s="620" t="s">
        <v>1908</v>
      </c>
      <c r="C368" s="598" t="s">
        <v>2015</v>
      </c>
      <c r="D368" s="598" t="s">
        <v>2239</v>
      </c>
      <c r="E368" s="621">
        <v>1800</v>
      </c>
      <c r="F368" s="599">
        <v>44358640</v>
      </c>
      <c r="G368" s="598" t="s">
        <v>2542</v>
      </c>
      <c r="H368" s="598" t="s">
        <v>2477</v>
      </c>
      <c r="I368" s="598" t="s">
        <v>1912</v>
      </c>
      <c r="J368" s="617" t="s">
        <v>1931</v>
      </c>
      <c r="K368" s="598">
        <v>6</v>
      </c>
      <c r="L368" s="598">
        <v>10</v>
      </c>
      <c r="M368" s="621">
        <v>18000</v>
      </c>
      <c r="N368" s="598"/>
      <c r="O368" s="598"/>
      <c r="P368" s="618"/>
    </row>
    <row r="369" spans="1:16" s="619" customFormat="1" ht="24" x14ac:dyDescent="0.2">
      <c r="A369" s="598" t="s">
        <v>1907</v>
      </c>
      <c r="B369" s="620" t="s">
        <v>1908</v>
      </c>
      <c r="C369" s="598" t="s">
        <v>2015</v>
      </c>
      <c r="D369" s="598" t="s">
        <v>2543</v>
      </c>
      <c r="E369" s="621">
        <v>1200</v>
      </c>
      <c r="F369" s="599">
        <v>70852527</v>
      </c>
      <c r="G369" s="598" t="s">
        <v>2544</v>
      </c>
      <c r="H369" s="598"/>
      <c r="I369" s="598"/>
      <c r="J369" s="617"/>
      <c r="K369" s="598">
        <v>3</v>
      </c>
      <c r="L369" s="598">
        <v>6</v>
      </c>
      <c r="M369" s="621">
        <v>7200</v>
      </c>
      <c r="N369" s="598"/>
      <c r="O369" s="598"/>
      <c r="P369" s="618"/>
    </row>
    <row r="370" spans="1:16" s="619" customFormat="1" ht="24" x14ac:dyDescent="0.2">
      <c r="A370" s="598" t="s">
        <v>1907</v>
      </c>
      <c r="B370" s="620" t="s">
        <v>1908</v>
      </c>
      <c r="C370" s="598" t="s">
        <v>2015</v>
      </c>
      <c r="D370" s="598" t="s">
        <v>2139</v>
      </c>
      <c r="E370" s="621">
        <v>5000</v>
      </c>
      <c r="F370" s="599">
        <v>46449288</v>
      </c>
      <c r="G370" s="598" t="s">
        <v>2545</v>
      </c>
      <c r="H370" s="598" t="s">
        <v>1911</v>
      </c>
      <c r="I370" s="598" t="s">
        <v>1912</v>
      </c>
      <c r="J370" s="617" t="s">
        <v>1913</v>
      </c>
      <c r="K370" s="598">
        <v>6</v>
      </c>
      <c r="L370" s="598">
        <v>12</v>
      </c>
      <c r="M370" s="621">
        <v>60000</v>
      </c>
      <c r="N370" s="598"/>
      <c r="O370" s="598"/>
      <c r="P370" s="618"/>
    </row>
    <row r="371" spans="1:16" s="619" customFormat="1" ht="24" x14ac:dyDescent="0.2">
      <c r="A371" s="598" t="s">
        <v>1907</v>
      </c>
      <c r="B371" s="620" t="s">
        <v>2050</v>
      </c>
      <c r="C371" s="598" t="s">
        <v>2015</v>
      </c>
      <c r="D371" s="598" t="s">
        <v>2242</v>
      </c>
      <c r="E371" s="621">
        <v>4000</v>
      </c>
      <c r="F371" s="599">
        <v>43788834</v>
      </c>
      <c r="G371" s="598" t="s">
        <v>2546</v>
      </c>
      <c r="H371" s="598" t="s">
        <v>2357</v>
      </c>
      <c r="I371" s="598" t="s">
        <v>1912</v>
      </c>
      <c r="J371" s="617" t="s">
        <v>1913</v>
      </c>
      <c r="K371" s="598">
        <v>5</v>
      </c>
      <c r="L371" s="598">
        <v>6</v>
      </c>
      <c r="M371" s="621">
        <v>24000</v>
      </c>
      <c r="N371" s="598"/>
      <c r="O371" s="598"/>
      <c r="P371" s="618"/>
    </row>
    <row r="372" spans="1:16" s="619" customFormat="1" ht="24" x14ac:dyDescent="0.2">
      <c r="A372" s="598" t="s">
        <v>1907</v>
      </c>
      <c r="B372" s="620" t="s">
        <v>1908</v>
      </c>
      <c r="C372" s="598" t="s">
        <v>2015</v>
      </c>
      <c r="D372" s="598" t="s">
        <v>2202</v>
      </c>
      <c r="E372" s="621">
        <v>6000</v>
      </c>
      <c r="F372" s="599">
        <v>27042723</v>
      </c>
      <c r="G372" s="598" t="s">
        <v>2547</v>
      </c>
      <c r="H372" s="598" t="s">
        <v>2079</v>
      </c>
      <c r="I372" s="598" t="s">
        <v>1912</v>
      </c>
      <c r="J372" s="617" t="s">
        <v>1913</v>
      </c>
      <c r="K372" s="598">
        <v>1</v>
      </c>
      <c r="L372" s="598">
        <v>3</v>
      </c>
      <c r="M372" s="621">
        <v>18000</v>
      </c>
      <c r="N372" s="598"/>
      <c r="O372" s="598"/>
      <c r="P372" s="618"/>
    </row>
    <row r="373" spans="1:16" s="619" customFormat="1" ht="36" x14ac:dyDescent="0.2">
      <c r="A373" s="598" t="s">
        <v>1907</v>
      </c>
      <c r="B373" s="620" t="s">
        <v>1908</v>
      </c>
      <c r="C373" s="598" t="s">
        <v>2015</v>
      </c>
      <c r="D373" s="598" t="s">
        <v>2271</v>
      </c>
      <c r="E373" s="621">
        <v>1800</v>
      </c>
      <c r="F373" s="599">
        <v>47164504</v>
      </c>
      <c r="G373" s="598" t="s">
        <v>2548</v>
      </c>
      <c r="H373" s="598" t="s">
        <v>2549</v>
      </c>
      <c r="I373" s="598" t="s">
        <v>1912</v>
      </c>
      <c r="J373" s="617" t="s">
        <v>1913</v>
      </c>
      <c r="K373" s="598">
        <v>4</v>
      </c>
      <c r="L373" s="598">
        <v>7</v>
      </c>
      <c r="M373" s="621">
        <v>12600</v>
      </c>
      <c r="N373" s="598"/>
      <c r="O373" s="598"/>
      <c r="P373" s="618"/>
    </row>
    <row r="374" spans="1:16" s="619" customFormat="1" ht="36" x14ac:dyDescent="0.2">
      <c r="A374" s="598" t="s">
        <v>1907</v>
      </c>
      <c r="B374" s="620" t="s">
        <v>1908</v>
      </c>
      <c r="C374" s="598" t="s">
        <v>2015</v>
      </c>
      <c r="D374" s="598" t="s">
        <v>2271</v>
      </c>
      <c r="E374" s="621">
        <v>2200</v>
      </c>
      <c r="F374" s="599">
        <v>73117520</v>
      </c>
      <c r="G374" s="598" t="s">
        <v>2550</v>
      </c>
      <c r="H374" s="598" t="s">
        <v>2551</v>
      </c>
      <c r="I374" s="598" t="s">
        <v>1912</v>
      </c>
      <c r="J374" s="617" t="s">
        <v>1913</v>
      </c>
      <c r="K374" s="598">
        <v>6</v>
      </c>
      <c r="L374" s="598">
        <v>10</v>
      </c>
      <c r="M374" s="621">
        <v>2200</v>
      </c>
      <c r="N374" s="598"/>
      <c r="O374" s="598"/>
      <c r="P374" s="618"/>
    </row>
    <row r="375" spans="1:16" s="619" customFormat="1" ht="36" x14ac:dyDescent="0.2">
      <c r="A375" s="598" t="s">
        <v>1907</v>
      </c>
      <c r="B375" s="620" t="s">
        <v>1908</v>
      </c>
      <c r="C375" s="598" t="s">
        <v>2015</v>
      </c>
      <c r="D375" s="598" t="s">
        <v>2341</v>
      </c>
      <c r="E375" s="621">
        <v>4000</v>
      </c>
      <c r="F375" s="599">
        <v>46876069</v>
      </c>
      <c r="G375" s="598" t="s">
        <v>2552</v>
      </c>
      <c r="H375" s="598" t="s">
        <v>2079</v>
      </c>
      <c r="I375" s="598" t="s">
        <v>1912</v>
      </c>
      <c r="J375" s="617" t="s">
        <v>1913</v>
      </c>
      <c r="K375" s="598">
        <v>1</v>
      </c>
      <c r="L375" s="598">
        <v>3</v>
      </c>
      <c r="M375" s="621">
        <v>12000</v>
      </c>
      <c r="N375" s="598"/>
      <c r="O375" s="598"/>
      <c r="P375" s="618"/>
    </row>
    <row r="376" spans="1:16" s="619" customFormat="1" ht="36" x14ac:dyDescent="0.2">
      <c r="A376" s="598" t="s">
        <v>1907</v>
      </c>
      <c r="B376" s="620" t="s">
        <v>1908</v>
      </c>
      <c r="C376" s="598" t="s">
        <v>2015</v>
      </c>
      <c r="D376" s="598" t="s">
        <v>2221</v>
      </c>
      <c r="E376" s="621">
        <v>2000</v>
      </c>
      <c r="F376" s="599">
        <v>41696250</v>
      </c>
      <c r="G376" s="598" t="s">
        <v>2553</v>
      </c>
      <c r="H376" s="598" t="s">
        <v>2554</v>
      </c>
      <c r="I376" s="598" t="s">
        <v>1912</v>
      </c>
      <c r="J376" s="617" t="s">
        <v>1913</v>
      </c>
      <c r="K376" s="598">
        <v>2</v>
      </c>
      <c r="L376" s="598">
        <v>5</v>
      </c>
      <c r="M376" s="621">
        <v>1000</v>
      </c>
      <c r="N376" s="598"/>
      <c r="O376" s="598"/>
      <c r="P376" s="618"/>
    </row>
    <row r="377" spans="1:16" s="619" customFormat="1" ht="36" x14ac:dyDescent="0.2">
      <c r="A377" s="598" t="s">
        <v>1907</v>
      </c>
      <c r="B377" s="620" t="s">
        <v>1908</v>
      </c>
      <c r="C377" s="598" t="s">
        <v>2015</v>
      </c>
      <c r="D377" s="598" t="s">
        <v>2242</v>
      </c>
      <c r="E377" s="621">
        <v>2500</v>
      </c>
      <c r="F377" s="599">
        <v>47936455</v>
      </c>
      <c r="G377" s="598" t="s">
        <v>2555</v>
      </c>
      <c r="H377" s="598" t="s">
        <v>2245</v>
      </c>
      <c r="I377" s="598" t="s">
        <v>1912</v>
      </c>
      <c r="J377" s="617" t="s">
        <v>1931</v>
      </c>
      <c r="K377" s="598">
        <v>5</v>
      </c>
      <c r="L377" s="598">
        <v>9</v>
      </c>
      <c r="M377" s="621">
        <v>22500</v>
      </c>
      <c r="N377" s="598"/>
      <c r="O377" s="598"/>
      <c r="P377" s="618"/>
    </row>
    <row r="378" spans="1:16" s="619" customFormat="1" ht="36" x14ac:dyDescent="0.2">
      <c r="A378" s="598" t="s">
        <v>1907</v>
      </c>
      <c r="B378" s="620" t="s">
        <v>2050</v>
      </c>
      <c r="C378" s="598" t="s">
        <v>2015</v>
      </c>
      <c r="D378" s="598" t="s">
        <v>2242</v>
      </c>
      <c r="E378" s="621">
        <v>2500</v>
      </c>
      <c r="F378" s="599">
        <v>47165571</v>
      </c>
      <c r="G378" s="598" t="s">
        <v>2556</v>
      </c>
      <c r="H378" s="598" t="s">
        <v>2245</v>
      </c>
      <c r="I378" s="598" t="s">
        <v>1912</v>
      </c>
      <c r="J378" s="617" t="s">
        <v>1931</v>
      </c>
      <c r="K378" s="598">
        <v>4</v>
      </c>
      <c r="L378" s="598">
        <v>7</v>
      </c>
      <c r="M378" s="621">
        <v>17500</v>
      </c>
      <c r="N378" s="598"/>
      <c r="O378" s="598"/>
      <c r="P378" s="618"/>
    </row>
    <row r="379" spans="1:16" s="619" customFormat="1" ht="36" x14ac:dyDescent="0.2">
      <c r="A379" s="598" t="s">
        <v>1907</v>
      </c>
      <c r="B379" s="620" t="s">
        <v>1908</v>
      </c>
      <c r="C379" s="598" t="s">
        <v>2015</v>
      </c>
      <c r="D379" s="598" t="s">
        <v>2242</v>
      </c>
      <c r="E379" s="621">
        <v>2500</v>
      </c>
      <c r="F379" s="599">
        <v>27669828</v>
      </c>
      <c r="G379" s="598" t="s">
        <v>2557</v>
      </c>
      <c r="H379" s="598" t="s">
        <v>2558</v>
      </c>
      <c r="I379" s="598" t="s">
        <v>1912</v>
      </c>
      <c r="J379" s="617" t="s">
        <v>1931</v>
      </c>
      <c r="K379" s="598">
        <v>1</v>
      </c>
      <c r="L379" s="598">
        <v>3</v>
      </c>
      <c r="M379" s="621">
        <v>7500</v>
      </c>
      <c r="N379" s="598"/>
      <c r="O379" s="598"/>
      <c r="P379" s="618"/>
    </row>
    <row r="380" spans="1:16" s="619" customFormat="1" ht="36" x14ac:dyDescent="0.2">
      <c r="A380" s="598" t="s">
        <v>1907</v>
      </c>
      <c r="B380" s="620" t="s">
        <v>1908</v>
      </c>
      <c r="C380" s="598" t="s">
        <v>2015</v>
      </c>
      <c r="D380" s="598" t="s">
        <v>2396</v>
      </c>
      <c r="E380" s="621">
        <v>5000</v>
      </c>
      <c r="F380" s="599">
        <v>33431713</v>
      </c>
      <c r="G380" s="598" t="s">
        <v>2559</v>
      </c>
      <c r="H380" s="598" t="s">
        <v>2560</v>
      </c>
      <c r="I380" s="598" t="s">
        <v>1912</v>
      </c>
      <c r="J380" s="617" t="s">
        <v>1913</v>
      </c>
      <c r="K380" s="598">
        <v>1</v>
      </c>
      <c r="L380" s="598">
        <v>2</v>
      </c>
      <c r="M380" s="621">
        <v>10000</v>
      </c>
      <c r="N380" s="598"/>
      <c r="O380" s="598"/>
      <c r="P380" s="618"/>
    </row>
    <row r="381" spans="1:16" s="619" customFormat="1" ht="36" x14ac:dyDescent="0.2">
      <c r="A381" s="598" t="s">
        <v>1907</v>
      </c>
      <c r="B381" s="620" t="s">
        <v>1908</v>
      </c>
      <c r="C381" s="598" t="s">
        <v>2015</v>
      </c>
      <c r="D381" s="598" t="s">
        <v>2561</v>
      </c>
      <c r="E381" s="621">
        <v>6000</v>
      </c>
      <c r="F381" s="599">
        <v>16803462</v>
      </c>
      <c r="G381" s="598" t="s">
        <v>2562</v>
      </c>
      <c r="H381" s="598" t="s">
        <v>2563</v>
      </c>
      <c r="I381" s="598" t="s">
        <v>1912</v>
      </c>
      <c r="J381" s="617" t="s">
        <v>1913</v>
      </c>
      <c r="K381" s="598">
        <v>7</v>
      </c>
      <c r="L381" s="598">
        <v>11</v>
      </c>
      <c r="M381" s="621">
        <v>66000</v>
      </c>
      <c r="N381" s="598"/>
      <c r="O381" s="598"/>
      <c r="P381" s="618"/>
    </row>
    <row r="382" spans="1:16" s="619" customFormat="1" ht="48" x14ac:dyDescent="0.2">
      <c r="A382" s="598" t="s">
        <v>1907</v>
      </c>
      <c r="B382" s="620" t="s">
        <v>2073</v>
      </c>
      <c r="C382" s="598" t="s">
        <v>2015</v>
      </c>
      <c r="D382" s="598" t="s">
        <v>2341</v>
      </c>
      <c r="E382" s="621">
        <v>2200</v>
      </c>
      <c r="F382" s="599">
        <v>48097304</v>
      </c>
      <c r="G382" s="598" t="s">
        <v>2564</v>
      </c>
      <c r="H382" s="598" t="s">
        <v>2357</v>
      </c>
      <c r="I382" s="598" t="s">
        <v>1912</v>
      </c>
      <c r="J382" s="617" t="s">
        <v>1913</v>
      </c>
      <c r="K382" s="598">
        <v>3</v>
      </c>
      <c r="L382" s="598">
        <v>6</v>
      </c>
      <c r="M382" s="621">
        <v>13200</v>
      </c>
      <c r="N382" s="598"/>
      <c r="O382" s="598"/>
      <c r="P382" s="618"/>
    </row>
    <row r="383" spans="1:16" s="619" customFormat="1" ht="36" x14ac:dyDescent="0.2">
      <c r="A383" s="598" t="s">
        <v>1907</v>
      </c>
      <c r="B383" s="620" t="s">
        <v>2050</v>
      </c>
      <c r="C383" s="598" t="s">
        <v>2015</v>
      </c>
      <c r="D383" s="598" t="s">
        <v>2242</v>
      </c>
      <c r="E383" s="621">
        <v>2500</v>
      </c>
      <c r="F383" s="599">
        <v>46878758</v>
      </c>
      <c r="G383" s="598" t="s">
        <v>2565</v>
      </c>
      <c r="H383" s="598" t="s">
        <v>2245</v>
      </c>
      <c r="I383" s="598" t="s">
        <v>1912</v>
      </c>
      <c r="J383" s="617" t="s">
        <v>1931</v>
      </c>
      <c r="K383" s="598">
        <v>5</v>
      </c>
      <c r="L383" s="598">
        <v>9</v>
      </c>
      <c r="M383" s="621">
        <v>22500</v>
      </c>
      <c r="N383" s="598"/>
      <c r="O383" s="598"/>
      <c r="P383" s="618"/>
    </row>
    <row r="384" spans="1:16" s="619" customFormat="1" ht="36" x14ac:dyDescent="0.2">
      <c r="A384" s="598" t="s">
        <v>1907</v>
      </c>
      <c r="B384" s="620" t="s">
        <v>1908</v>
      </c>
      <c r="C384" s="598" t="s">
        <v>2015</v>
      </c>
      <c r="D384" s="598" t="s">
        <v>2114</v>
      </c>
      <c r="E384" s="621">
        <v>5000</v>
      </c>
      <c r="F384" s="599">
        <v>40054736</v>
      </c>
      <c r="G384" s="598" t="s">
        <v>2566</v>
      </c>
      <c r="H384" s="598" t="s">
        <v>1911</v>
      </c>
      <c r="I384" s="598" t="s">
        <v>1912</v>
      </c>
      <c r="J384" s="617" t="s">
        <v>1913</v>
      </c>
      <c r="K384" s="598">
        <v>1</v>
      </c>
      <c r="L384" s="598">
        <v>3</v>
      </c>
      <c r="M384" s="621">
        <v>15000</v>
      </c>
      <c r="N384" s="598"/>
      <c r="O384" s="598"/>
      <c r="P384" s="618"/>
    </row>
    <row r="385" spans="1:16" s="619" customFormat="1" ht="24" x14ac:dyDescent="0.2">
      <c r="A385" s="598" t="s">
        <v>1907</v>
      </c>
      <c r="B385" s="620" t="s">
        <v>1908</v>
      </c>
      <c r="C385" s="598" t="s">
        <v>2015</v>
      </c>
      <c r="D385" s="598" t="s">
        <v>2242</v>
      </c>
      <c r="E385" s="621">
        <v>900</v>
      </c>
      <c r="F385" s="599">
        <v>27052175</v>
      </c>
      <c r="G385" s="598" t="s">
        <v>2567</v>
      </c>
      <c r="H385" s="598"/>
      <c r="I385" s="598"/>
      <c r="J385" s="617"/>
      <c r="K385" s="598">
        <v>5</v>
      </c>
      <c r="L385" s="598">
        <v>8</v>
      </c>
      <c r="M385" s="621">
        <v>7200</v>
      </c>
      <c r="N385" s="598"/>
      <c r="O385" s="598"/>
      <c r="P385" s="618"/>
    </row>
    <row r="386" spans="1:16" s="619" customFormat="1" ht="36" x14ac:dyDescent="0.2">
      <c r="A386" s="598" t="s">
        <v>1907</v>
      </c>
      <c r="B386" s="620" t="s">
        <v>2050</v>
      </c>
      <c r="C386" s="598" t="s">
        <v>2015</v>
      </c>
      <c r="D386" s="598" t="s">
        <v>2242</v>
      </c>
      <c r="E386" s="621">
        <v>900</v>
      </c>
      <c r="F386" s="599">
        <v>33741974</v>
      </c>
      <c r="G386" s="598" t="s">
        <v>2568</v>
      </c>
      <c r="H386" s="598"/>
      <c r="I386" s="598"/>
      <c r="J386" s="617"/>
      <c r="K386" s="598">
        <v>5</v>
      </c>
      <c r="L386" s="598">
        <v>9</v>
      </c>
      <c r="M386" s="621">
        <v>8100</v>
      </c>
      <c r="N386" s="598"/>
      <c r="O386" s="598"/>
      <c r="P386" s="618"/>
    </row>
    <row r="387" spans="1:16" s="619" customFormat="1" ht="48" x14ac:dyDescent="0.2">
      <c r="A387" s="598" t="s">
        <v>1907</v>
      </c>
      <c r="B387" s="620" t="s">
        <v>1908</v>
      </c>
      <c r="C387" s="598" t="s">
        <v>2015</v>
      </c>
      <c r="D387" s="598" t="s">
        <v>2242</v>
      </c>
      <c r="E387" s="621">
        <v>2500</v>
      </c>
      <c r="F387" s="599">
        <v>45250733</v>
      </c>
      <c r="G387" s="598" t="s">
        <v>2569</v>
      </c>
      <c r="H387" s="598" t="s">
        <v>2570</v>
      </c>
      <c r="I387" s="598" t="s">
        <v>1912</v>
      </c>
      <c r="J387" s="617" t="s">
        <v>1913</v>
      </c>
      <c r="K387" s="598">
        <v>4</v>
      </c>
      <c r="L387" s="598">
        <v>9</v>
      </c>
      <c r="M387" s="621">
        <v>22500</v>
      </c>
      <c r="N387" s="598"/>
      <c r="O387" s="598"/>
      <c r="P387" s="618"/>
    </row>
    <row r="388" spans="1:16" s="619" customFormat="1" ht="36" x14ac:dyDescent="0.2">
      <c r="A388" s="598" t="s">
        <v>1907</v>
      </c>
      <c r="B388" s="620" t="s">
        <v>1908</v>
      </c>
      <c r="C388" s="598" t="s">
        <v>2015</v>
      </c>
      <c r="D388" s="598" t="s">
        <v>2242</v>
      </c>
      <c r="E388" s="621">
        <v>4000</v>
      </c>
      <c r="F388" s="599">
        <v>46917914</v>
      </c>
      <c r="G388" s="598" t="s">
        <v>2571</v>
      </c>
      <c r="H388" s="598" t="s">
        <v>2448</v>
      </c>
      <c r="I388" s="598" t="s">
        <v>1912</v>
      </c>
      <c r="J388" s="617" t="s">
        <v>1913</v>
      </c>
      <c r="K388" s="598">
        <v>6</v>
      </c>
      <c r="L388" s="598">
        <v>11</v>
      </c>
      <c r="M388" s="621">
        <v>44000</v>
      </c>
      <c r="N388" s="598"/>
      <c r="O388" s="598"/>
      <c r="P388" s="618"/>
    </row>
    <row r="389" spans="1:16" s="619" customFormat="1" ht="48" x14ac:dyDescent="0.2">
      <c r="A389" s="598" t="s">
        <v>1907</v>
      </c>
      <c r="B389" s="620" t="s">
        <v>2073</v>
      </c>
      <c r="C389" s="598" t="s">
        <v>2015</v>
      </c>
      <c r="D389" s="598" t="s">
        <v>2242</v>
      </c>
      <c r="E389" s="621">
        <v>3000</v>
      </c>
      <c r="F389" s="599">
        <v>45216290</v>
      </c>
      <c r="G389" s="598" t="s">
        <v>2572</v>
      </c>
      <c r="H389" s="598" t="s">
        <v>2357</v>
      </c>
      <c r="I389" s="598" t="s">
        <v>1912</v>
      </c>
      <c r="J389" s="617" t="s">
        <v>1913</v>
      </c>
      <c r="K389" s="598">
        <v>2</v>
      </c>
      <c r="L389" s="598">
        <v>3</v>
      </c>
      <c r="M389" s="621">
        <v>9000</v>
      </c>
      <c r="N389" s="598"/>
      <c r="O389" s="598"/>
      <c r="P389" s="618"/>
    </row>
    <row r="390" spans="1:16" s="619" customFormat="1" ht="36" x14ac:dyDescent="0.2">
      <c r="A390" s="598" t="s">
        <v>1907</v>
      </c>
      <c r="B390" s="620" t="s">
        <v>1908</v>
      </c>
      <c r="C390" s="598" t="s">
        <v>2015</v>
      </c>
      <c r="D390" s="598" t="s">
        <v>2227</v>
      </c>
      <c r="E390" s="621">
        <v>1500</v>
      </c>
      <c r="F390" s="599">
        <v>48445974</v>
      </c>
      <c r="G390" s="598" t="s">
        <v>2573</v>
      </c>
      <c r="H390" s="598" t="s">
        <v>2574</v>
      </c>
      <c r="I390" s="598" t="s">
        <v>1912</v>
      </c>
      <c r="J390" s="617" t="s">
        <v>1913</v>
      </c>
      <c r="K390" s="598">
        <v>5</v>
      </c>
      <c r="L390" s="598">
        <v>8</v>
      </c>
      <c r="M390" s="621">
        <v>12000</v>
      </c>
      <c r="N390" s="598"/>
      <c r="O390" s="598"/>
      <c r="P390" s="618"/>
    </row>
    <row r="391" spans="1:16" s="619" customFormat="1" ht="36" x14ac:dyDescent="0.2">
      <c r="A391" s="598" t="s">
        <v>1907</v>
      </c>
      <c r="B391" s="620" t="s">
        <v>1908</v>
      </c>
      <c r="C391" s="598" t="s">
        <v>2015</v>
      </c>
      <c r="D391" s="598" t="s">
        <v>2242</v>
      </c>
      <c r="E391" s="621">
        <v>6000</v>
      </c>
      <c r="F391" s="599">
        <v>43314655</v>
      </c>
      <c r="G391" s="598" t="s">
        <v>2575</v>
      </c>
      <c r="H391" s="598" t="s">
        <v>2036</v>
      </c>
      <c r="I391" s="598" t="s">
        <v>1912</v>
      </c>
      <c r="J391" s="617" t="s">
        <v>1931</v>
      </c>
      <c r="K391" s="598">
        <v>2</v>
      </c>
      <c r="L391" s="598">
        <v>3</v>
      </c>
      <c r="M391" s="621">
        <v>18000</v>
      </c>
      <c r="N391" s="598"/>
      <c r="O391" s="598"/>
      <c r="P391" s="618"/>
    </row>
    <row r="392" spans="1:16" s="619" customFormat="1" ht="24" x14ac:dyDescent="0.2">
      <c r="A392" s="598" t="s">
        <v>1907</v>
      </c>
      <c r="B392" s="620" t="s">
        <v>1908</v>
      </c>
      <c r="C392" s="598" t="s">
        <v>2015</v>
      </c>
      <c r="D392" s="598" t="s">
        <v>2214</v>
      </c>
      <c r="E392" s="621">
        <v>1200</v>
      </c>
      <c r="F392" s="599">
        <v>46107256</v>
      </c>
      <c r="G392" s="598" t="s">
        <v>2576</v>
      </c>
      <c r="H392" s="598" t="s">
        <v>2472</v>
      </c>
      <c r="I392" s="598" t="s">
        <v>1912</v>
      </c>
      <c r="J392" s="617" t="s">
        <v>1913</v>
      </c>
      <c r="K392" s="598">
        <v>2</v>
      </c>
      <c r="L392" s="598">
        <v>5</v>
      </c>
      <c r="M392" s="621">
        <v>6000</v>
      </c>
      <c r="N392" s="598"/>
      <c r="O392" s="598"/>
      <c r="P392" s="618"/>
    </row>
    <row r="393" spans="1:16" s="619" customFormat="1" ht="36" x14ac:dyDescent="0.2">
      <c r="A393" s="598" t="s">
        <v>1907</v>
      </c>
      <c r="B393" s="620" t="s">
        <v>1908</v>
      </c>
      <c r="C393" s="598" t="s">
        <v>2015</v>
      </c>
      <c r="D393" s="598" t="s">
        <v>2334</v>
      </c>
      <c r="E393" s="621">
        <v>5000</v>
      </c>
      <c r="F393" s="599">
        <v>43371650</v>
      </c>
      <c r="G393" s="598" t="s">
        <v>2577</v>
      </c>
      <c r="H393" s="598" t="s">
        <v>2578</v>
      </c>
      <c r="I393" s="598" t="s">
        <v>1912</v>
      </c>
      <c r="J393" s="617" t="s">
        <v>1913</v>
      </c>
      <c r="K393" s="598">
        <v>2</v>
      </c>
      <c r="L393" s="598">
        <v>2</v>
      </c>
      <c r="M393" s="621">
        <v>10000</v>
      </c>
      <c r="N393" s="598"/>
      <c r="O393" s="598"/>
      <c r="P393" s="618"/>
    </row>
    <row r="394" spans="1:16" s="619" customFormat="1" ht="36" x14ac:dyDescent="0.2">
      <c r="A394" s="598" t="s">
        <v>1907</v>
      </c>
      <c r="B394" s="620" t="s">
        <v>1908</v>
      </c>
      <c r="C394" s="598" t="s">
        <v>2015</v>
      </c>
      <c r="D394" s="598" t="s">
        <v>2307</v>
      </c>
      <c r="E394" s="621">
        <v>1700</v>
      </c>
      <c r="F394" s="599">
        <v>47507900</v>
      </c>
      <c r="G394" s="598" t="s">
        <v>2579</v>
      </c>
      <c r="H394" s="598" t="s">
        <v>1911</v>
      </c>
      <c r="I394" s="598" t="s">
        <v>1912</v>
      </c>
      <c r="J394" s="617" t="s">
        <v>1913</v>
      </c>
      <c r="K394" s="598">
        <v>6</v>
      </c>
      <c r="L394" s="598">
        <v>9</v>
      </c>
      <c r="M394" s="621">
        <v>15300</v>
      </c>
      <c r="N394" s="598"/>
      <c r="O394" s="598"/>
      <c r="P394" s="618"/>
    </row>
    <row r="395" spans="1:16" s="619" customFormat="1" ht="24" x14ac:dyDescent="0.2">
      <c r="A395" s="598" t="s">
        <v>1907</v>
      </c>
      <c r="B395" s="620" t="s">
        <v>1908</v>
      </c>
      <c r="C395" s="598" t="s">
        <v>2015</v>
      </c>
      <c r="D395" s="598" t="s">
        <v>2242</v>
      </c>
      <c r="E395" s="621">
        <v>4500</v>
      </c>
      <c r="F395" s="599" t="s">
        <v>2580</v>
      </c>
      <c r="G395" s="598" t="s">
        <v>2581</v>
      </c>
      <c r="H395" s="598"/>
      <c r="I395" s="598"/>
      <c r="J395" s="617"/>
      <c r="K395" s="598">
        <v>5</v>
      </c>
      <c r="L395" s="598">
        <v>10</v>
      </c>
      <c r="M395" s="621">
        <v>45000</v>
      </c>
      <c r="N395" s="598"/>
      <c r="O395" s="598"/>
      <c r="P395" s="618"/>
    </row>
    <row r="396" spans="1:16" s="619" customFormat="1" ht="48" x14ac:dyDescent="0.2">
      <c r="A396" s="598" t="s">
        <v>1907</v>
      </c>
      <c r="B396" s="620" t="s">
        <v>1908</v>
      </c>
      <c r="C396" s="598" t="s">
        <v>2015</v>
      </c>
      <c r="D396" s="598" t="s">
        <v>2257</v>
      </c>
      <c r="E396" s="621">
        <v>1800</v>
      </c>
      <c r="F396" s="599">
        <v>45466103</v>
      </c>
      <c r="G396" s="598" t="s">
        <v>2582</v>
      </c>
      <c r="H396" s="598" t="s">
        <v>2583</v>
      </c>
      <c r="I396" s="598" t="s">
        <v>1912</v>
      </c>
      <c r="J396" s="617" t="s">
        <v>1931</v>
      </c>
      <c r="K396" s="598">
        <v>4</v>
      </c>
      <c r="L396" s="598">
        <v>9</v>
      </c>
      <c r="M396" s="621">
        <v>16200</v>
      </c>
      <c r="N396" s="598"/>
      <c r="O396" s="598"/>
      <c r="P396" s="618"/>
    </row>
    <row r="397" spans="1:16" s="619" customFormat="1" ht="36" x14ac:dyDescent="0.2">
      <c r="A397" s="598" t="s">
        <v>1907</v>
      </c>
      <c r="B397" s="620" t="s">
        <v>1908</v>
      </c>
      <c r="C397" s="598" t="s">
        <v>2015</v>
      </c>
      <c r="D397" s="598" t="s">
        <v>2584</v>
      </c>
      <c r="E397" s="621">
        <v>3500</v>
      </c>
      <c r="F397" s="599">
        <v>40641096</v>
      </c>
      <c r="G397" s="598" t="s">
        <v>2585</v>
      </c>
      <c r="H397" s="598" t="s">
        <v>2586</v>
      </c>
      <c r="I397" s="598" t="s">
        <v>1912</v>
      </c>
      <c r="J397" s="617" t="s">
        <v>1913</v>
      </c>
      <c r="K397" s="598">
        <v>1</v>
      </c>
      <c r="L397" s="598">
        <v>3</v>
      </c>
      <c r="M397" s="621">
        <v>10500</v>
      </c>
      <c r="N397" s="598"/>
      <c r="O397" s="598"/>
      <c r="P397" s="618"/>
    </row>
    <row r="398" spans="1:16" s="619" customFormat="1" ht="36" x14ac:dyDescent="0.2">
      <c r="A398" s="598" t="s">
        <v>1907</v>
      </c>
      <c r="B398" s="620" t="s">
        <v>1908</v>
      </c>
      <c r="C398" s="598" t="s">
        <v>2015</v>
      </c>
      <c r="D398" s="598" t="s">
        <v>2284</v>
      </c>
      <c r="E398" s="621">
        <v>1600</v>
      </c>
      <c r="F398" s="599">
        <v>70808424</v>
      </c>
      <c r="G398" s="598" t="s">
        <v>2587</v>
      </c>
      <c r="H398" s="598" t="s">
        <v>2268</v>
      </c>
      <c r="I398" s="598" t="s">
        <v>1912</v>
      </c>
      <c r="J398" s="617" t="s">
        <v>1913</v>
      </c>
      <c r="K398" s="598">
        <v>5</v>
      </c>
      <c r="L398" s="598">
        <v>7</v>
      </c>
      <c r="M398" s="621">
        <v>11200</v>
      </c>
      <c r="N398" s="598"/>
      <c r="O398" s="598"/>
      <c r="P398" s="618"/>
    </row>
    <row r="399" spans="1:16" s="619" customFormat="1" ht="36" x14ac:dyDescent="0.2">
      <c r="A399" s="598" t="s">
        <v>1907</v>
      </c>
      <c r="B399" s="620" t="s">
        <v>1908</v>
      </c>
      <c r="C399" s="598" t="s">
        <v>2015</v>
      </c>
      <c r="D399" s="598" t="s">
        <v>2242</v>
      </c>
      <c r="E399" s="621">
        <v>1200</v>
      </c>
      <c r="F399" s="599">
        <v>40654371</v>
      </c>
      <c r="G399" s="598" t="s">
        <v>2588</v>
      </c>
      <c r="H399" s="598" t="s">
        <v>2245</v>
      </c>
      <c r="I399" s="598" t="s">
        <v>1912</v>
      </c>
      <c r="J399" s="617" t="s">
        <v>1931</v>
      </c>
      <c r="K399" s="598">
        <v>4</v>
      </c>
      <c r="L399" s="598">
        <v>5</v>
      </c>
      <c r="M399" s="621">
        <v>6000</v>
      </c>
      <c r="N399" s="598"/>
      <c r="O399" s="598"/>
      <c r="P399" s="618"/>
    </row>
    <row r="400" spans="1:16" s="619" customFormat="1" ht="36" x14ac:dyDescent="0.2">
      <c r="A400" s="598" t="s">
        <v>1907</v>
      </c>
      <c r="B400" s="620" t="s">
        <v>1908</v>
      </c>
      <c r="C400" s="598" t="s">
        <v>2015</v>
      </c>
      <c r="D400" s="598" t="s">
        <v>2242</v>
      </c>
      <c r="E400" s="621">
        <v>1500</v>
      </c>
      <c r="F400" s="599">
        <v>42202192</v>
      </c>
      <c r="G400" s="598" t="s">
        <v>2589</v>
      </c>
      <c r="H400" s="598"/>
      <c r="I400" s="598"/>
      <c r="J400" s="617"/>
      <c r="K400" s="598">
        <v>2</v>
      </c>
      <c r="L400" s="598">
        <v>3</v>
      </c>
      <c r="M400" s="621">
        <v>4500</v>
      </c>
      <c r="N400" s="598"/>
      <c r="O400" s="598"/>
      <c r="P400" s="618"/>
    </row>
    <row r="401" spans="1:16" s="619" customFormat="1" ht="24" x14ac:dyDescent="0.2">
      <c r="A401" s="598" t="s">
        <v>1907</v>
      </c>
      <c r="B401" s="620" t="s">
        <v>1908</v>
      </c>
      <c r="C401" s="598" t="s">
        <v>2015</v>
      </c>
      <c r="D401" s="598" t="s">
        <v>2202</v>
      </c>
      <c r="E401" s="621">
        <v>6000</v>
      </c>
      <c r="F401" s="599">
        <v>27048226</v>
      </c>
      <c r="G401" s="598" t="s">
        <v>2590</v>
      </c>
      <c r="H401" s="598" t="s">
        <v>2079</v>
      </c>
      <c r="I401" s="598" t="s">
        <v>1912</v>
      </c>
      <c r="J401" s="617" t="s">
        <v>1913</v>
      </c>
      <c r="K401" s="598">
        <v>3</v>
      </c>
      <c r="L401" s="598">
        <v>8</v>
      </c>
      <c r="M401" s="621">
        <v>48000</v>
      </c>
      <c r="N401" s="598"/>
      <c r="O401" s="598"/>
      <c r="P401" s="618"/>
    </row>
    <row r="402" spans="1:16" s="619" customFormat="1" ht="36" x14ac:dyDescent="0.2">
      <c r="A402" s="598" t="s">
        <v>1907</v>
      </c>
      <c r="B402" s="620" t="s">
        <v>1908</v>
      </c>
      <c r="C402" s="598" t="s">
        <v>2015</v>
      </c>
      <c r="D402" s="598" t="s">
        <v>2242</v>
      </c>
      <c r="E402" s="621">
        <v>2500</v>
      </c>
      <c r="F402" s="599">
        <v>42602724</v>
      </c>
      <c r="G402" s="598" t="s">
        <v>2591</v>
      </c>
      <c r="H402" s="598" t="s">
        <v>2592</v>
      </c>
      <c r="I402" s="598" t="s">
        <v>1912</v>
      </c>
      <c r="J402" s="617" t="s">
        <v>1913</v>
      </c>
      <c r="K402" s="598">
        <v>3</v>
      </c>
      <c r="L402" s="598">
        <v>4</v>
      </c>
      <c r="M402" s="621">
        <v>10000</v>
      </c>
      <c r="N402" s="598"/>
      <c r="O402" s="598"/>
      <c r="P402" s="618"/>
    </row>
    <row r="403" spans="1:16" s="619" customFormat="1" ht="36" x14ac:dyDescent="0.2">
      <c r="A403" s="598" t="s">
        <v>1907</v>
      </c>
      <c r="B403" s="620" t="s">
        <v>1908</v>
      </c>
      <c r="C403" s="598" t="s">
        <v>2015</v>
      </c>
      <c r="D403" s="598" t="s">
        <v>2242</v>
      </c>
      <c r="E403" s="621">
        <v>1500</v>
      </c>
      <c r="F403" s="599">
        <v>44405253</v>
      </c>
      <c r="G403" s="598" t="s">
        <v>2593</v>
      </c>
      <c r="H403" s="598" t="s">
        <v>2038</v>
      </c>
      <c r="I403" s="598" t="s">
        <v>1912</v>
      </c>
      <c r="J403" s="617" t="s">
        <v>1913</v>
      </c>
      <c r="K403" s="598">
        <v>4</v>
      </c>
      <c r="L403" s="598">
        <v>8</v>
      </c>
      <c r="M403" s="621">
        <v>12000</v>
      </c>
      <c r="N403" s="598"/>
      <c r="O403" s="598"/>
      <c r="P403" s="618"/>
    </row>
    <row r="404" spans="1:16" s="619" customFormat="1" ht="36" x14ac:dyDescent="0.2">
      <c r="A404" s="598" t="s">
        <v>1907</v>
      </c>
      <c r="B404" s="620" t="s">
        <v>1908</v>
      </c>
      <c r="C404" s="598" t="s">
        <v>2015</v>
      </c>
      <c r="D404" s="598" t="s">
        <v>2242</v>
      </c>
      <c r="E404" s="621">
        <v>1900</v>
      </c>
      <c r="F404" s="599">
        <v>71772745</v>
      </c>
      <c r="G404" s="598" t="s">
        <v>2594</v>
      </c>
      <c r="H404" s="598" t="s">
        <v>2268</v>
      </c>
      <c r="I404" s="598" t="s">
        <v>1912</v>
      </c>
      <c r="J404" s="617" t="s">
        <v>1913</v>
      </c>
      <c r="K404" s="598">
        <v>4</v>
      </c>
      <c r="L404" s="598">
        <v>8</v>
      </c>
      <c r="M404" s="621">
        <v>15200</v>
      </c>
      <c r="N404" s="598"/>
      <c r="O404" s="598"/>
      <c r="P404" s="618"/>
    </row>
    <row r="405" spans="1:16" s="619" customFormat="1" ht="24" x14ac:dyDescent="0.2">
      <c r="A405" s="598" t="s">
        <v>1907</v>
      </c>
      <c r="B405" s="620" t="s">
        <v>1908</v>
      </c>
      <c r="C405" s="598" t="s">
        <v>2015</v>
      </c>
      <c r="D405" s="598" t="s">
        <v>2139</v>
      </c>
      <c r="E405" s="621">
        <v>5000</v>
      </c>
      <c r="F405" s="599">
        <v>44985572</v>
      </c>
      <c r="G405" s="598" t="s">
        <v>2595</v>
      </c>
      <c r="H405" s="598" t="s">
        <v>1911</v>
      </c>
      <c r="I405" s="598" t="s">
        <v>1912</v>
      </c>
      <c r="J405" s="617" t="s">
        <v>1913</v>
      </c>
      <c r="K405" s="598">
        <v>1</v>
      </c>
      <c r="L405" s="598">
        <v>3</v>
      </c>
      <c r="M405" s="621">
        <v>15000</v>
      </c>
      <c r="N405" s="598"/>
      <c r="O405" s="598"/>
      <c r="P405" s="618"/>
    </row>
    <row r="406" spans="1:16" s="619" customFormat="1" ht="36" x14ac:dyDescent="0.2">
      <c r="A406" s="598" t="s">
        <v>1907</v>
      </c>
      <c r="B406" s="620" t="s">
        <v>1908</v>
      </c>
      <c r="C406" s="598" t="s">
        <v>2015</v>
      </c>
      <c r="D406" s="598" t="s">
        <v>2318</v>
      </c>
      <c r="E406" s="621">
        <v>1900</v>
      </c>
      <c r="F406" s="599" t="s">
        <v>2596</v>
      </c>
      <c r="G406" s="598" t="s">
        <v>2597</v>
      </c>
      <c r="H406" s="598" t="s">
        <v>2598</v>
      </c>
      <c r="I406" s="598" t="s">
        <v>1912</v>
      </c>
      <c r="J406" s="617" t="s">
        <v>1913</v>
      </c>
      <c r="K406" s="598">
        <v>6</v>
      </c>
      <c r="L406" s="598">
        <v>10</v>
      </c>
      <c r="M406" s="621">
        <v>19000</v>
      </c>
      <c r="N406" s="598"/>
      <c r="O406" s="598"/>
      <c r="P406" s="618"/>
    </row>
    <row r="407" spans="1:16" s="619" customFormat="1" ht="36" x14ac:dyDescent="0.2">
      <c r="A407" s="598" t="s">
        <v>1907</v>
      </c>
      <c r="B407" s="620" t="s">
        <v>1908</v>
      </c>
      <c r="C407" s="598" t="s">
        <v>2015</v>
      </c>
      <c r="D407" s="598" t="s">
        <v>2139</v>
      </c>
      <c r="E407" s="621">
        <v>5000</v>
      </c>
      <c r="F407" s="599">
        <v>43120945</v>
      </c>
      <c r="G407" s="598" t="s">
        <v>2599</v>
      </c>
      <c r="H407" s="598" t="s">
        <v>1911</v>
      </c>
      <c r="I407" s="598" t="s">
        <v>1912</v>
      </c>
      <c r="J407" s="617" t="s">
        <v>1913</v>
      </c>
      <c r="K407" s="598">
        <v>7</v>
      </c>
      <c r="L407" s="598">
        <v>12</v>
      </c>
      <c r="M407" s="621">
        <v>60000</v>
      </c>
      <c r="N407" s="598"/>
      <c r="O407" s="598"/>
      <c r="P407" s="618"/>
    </row>
    <row r="408" spans="1:16" s="619" customFormat="1" ht="36" x14ac:dyDescent="0.2">
      <c r="A408" s="598" t="s">
        <v>1907</v>
      </c>
      <c r="B408" s="620" t="s">
        <v>2050</v>
      </c>
      <c r="C408" s="598" t="s">
        <v>2015</v>
      </c>
      <c r="D408" s="598" t="s">
        <v>2102</v>
      </c>
      <c r="E408" s="621">
        <v>1600</v>
      </c>
      <c r="F408" s="599">
        <v>72841714</v>
      </c>
      <c r="G408" s="598" t="s">
        <v>2600</v>
      </c>
      <c r="H408" s="598"/>
      <c r="I408" s="598"/>
      <c r="J408" s="617"/>
      <c r="K408" s="598">
        <v>4</v>
      </c>
      <c r="L408" s="598">
        <v>4</v>
      </c>
      <c r="M408" s="621">
        <v>6400</v>
      </c>
      <c r="N408" s="598"/>
      <c r="O408" s="598"/>
      <c r="P408" s="618"/>
    </row>
    <row r="409" spans="1:16" s="619" customFormat="1" ht="36" x14ac:dyDescent="0.2">
      <c r="A409" s="598" t="s">
        <v>1907</v>
      </c>
      <c r="B409" s="620" t="s">
        <v>1908</v>
      </c>
      <c r="C409" s="598" t="s">
        <v>2015</v>
      </c>
      <c r="D409" s="598" t="s">
        <v>2601</v>
      </c>
      <c r="E409" s="621">
        <v>2200</v>
      </c>
      <c r="F409" s="599">
        <v>44128974</v>
      </c>
      <c r="G409" s="598" t="s">
        <v>2602</v>
      </c>
      <c r="H409" s="598" t="s">
        <v>2038</v>
      </c>
      <c r="I409" s="598" t="s">
        <v>1912</v>
      </c>
      <c r="J409" s="617" t="s">
        <v>1913</v>
      </c>
      <c r="K409" s="598">
        <v>2</v>
      </c>
      <c r="L409" s="598">
        <v>3</v>
      </c>
      <c r="M409" s="621">
        <v>6600</v>
      </c>
      <c r="N409" s="598"/>
      <c r="O409" s="598"/>
      <c r="P409" s="618"/>
    </row>
    <row r="410" spans="1:16" s="619" customFormat="1" ht="36" x14ac:dyDescent="0.2">
      <c r="A410" s="598" t="s">
        <v>1907</v>
      </c>
      <c r="B410" s="620" t="s">
        <v>1908</v>
      </c>
      <c r="C410" s="598" t="s">
        <v>2015</v>
      </c>
      <c r="D410" s="598" t="s">
        <v>2146</v>
      </c>
      <c r="E410" s="621">
        <v>1200</v>
      </c>
      <c r="F410" s="599">
        <v>40674097</v>
      </c>
      <c r="G410" s="598" t="s">
        <v>2603</v>
      </c>
      <c r="H410" s="598" t="s">
        <v>2604</v>
      </c>
      <c r="I410" s="598" t="s">
        <v>1912</v>
      </c>
      <c r="J410" s="617" t="s">
        <v>1931</v>
      </c>
      <c r="K410" s="598">
        <v>1</v>
      </c>
      <c r="L410" s="598">
        <v>2</v>
      </c>
      <c r="M410" s="621">
        <v>2400</v>
      </c>
      <c r="N410" s="598"/>
      <c r="O410" s="598"/>
      <c r="P410" s="618"/>
    </row>
    <row r="411" spans="1:16" s="619" customFormat="1" ht="36" x14ac:dyDescent="0.2">
      <c r="A411" s="598" t="s">
        <v>1907</v>
      </c>
      <c r="B411" s="620" t="s">
        <v>1908</v>
      </c>
      <c r="C411" s="598" t="s">
        <v>2015</v>
      </c>
      <c r="D411" s="598" t="s">
        <v>2318</v>
      </c>
      <c r="E411" s="621">
        <v>2200</v>
      </c>
      <c r="F411" s="599">
        <v>40312625</v>
      </c>
      <c r="G411" s="598" t="s">
        <v>2605</v>
      </c>
      <c r="H411" s="598" t="s">
        <v>2101</v>
      </c>
      <c r="I411" s="598" t="s">
        <v>1912</v>
      </c>
      <c r="J411" s="617" t="s">
        <v>1913</v>
      </c>
      <c r="K411" s="598">
        <v>5</v>
      </c>
      <c r="L411" s="598">
        <v>8</v>
      </c>
      <c r="M411" s="621">
        <v>17600</v>
      </c>
      <c r="N411" s="598"/>
      <c r="O411" s="598"/>
      <c r="P411" s="618"/>
    </row>
    <row r="412" spans="1:16" s="619" customFormat="1" ht="48" x14ac:dyDescent="0.2">
      <c r="A412" s="598" t="s">
        <v>1907</v>
      </c>
      <c r="B412" s="620" t="s">
        <v>1908</v>
      </c>
      <c r="C412" s="598" t="s">
        <v>2015</v>
      </c>
      <c r="D412" s="598" t="s">
        <v>2396</v>
      </c>
      <c r="E412" s="621">
        <v>5000</v>
      </c>
      <c r="F412" s="599">
        <v>46247802</v>
      </c>
      <c r="G412" s="598" t="s">
        <v>2606</v>
      </c>
      <c r="H412" s="598" t="s">
        <v>2079</v>
      </c>
      <c r="I412" s="598" t="s">
        <v>1912</v>
      </c>
      <c r="J412" s="617" t="s">
        <v>1913</v>
      </c>
      <c r="K412" s="598">
        <v>5</v>
      </c>
      <c r="L412" s="598">
        <v>8</v>
      </c>
      <c r="M412" s="621">
        <v>40000</v>
      </c>
      <c r="N412" s="598"/>
      <c r="O412" s="598"/>
      <c r="P412" s="618"/>
    </row>
    <row r="413" spans="1:16" s="619" customFormat="1" ht="36" x14ac:dyDescent="0.2">
      <c r="A413" s="598" t="s">
        <v>1907</v>
      </c>
      <c r="B413" s="620" t="s">
        <v>1908</v>
      </c>
      <c r="C413" s="598" t="s">
        <v>2015</v>
      </c>
      <c r="D413" s="598" t="s">
        <v>2221</v>
      </c>
      <c r="E413" s="621">
        <v>2000</v>
      </c>
      <c r="F413" s="599">
        <v>75336521</v>
      </c>
      <c r="G413" s="598" t="s">
        <v>2607</v>
      </c>
      <c r="H413" s="598" t="s">
        <v>2554</v>
      </c>
      <c r="I413" s="598" t="s">
        <v>1912</v>
      </c>
      <c r="J413" s="617" t="s">
        <v>1913</v>
      </c>
      <c r="K413" s="598">
        <v>1</v>
      </c>
      <c r="L413" s="598">
        <v>3</v>
      </c>
      <c r="M413" s="621">
        <v>6000</v>
      </c>
      <c r="N413" s="598"/>
      <c r="O413" s="598"/>
      <c r="P413" s="618"/>
    </row>
    <row r="414" spans="1:16" s="619" customFormat="1" ht="24" x14ac:dyDescent="0.2">
      <c r="A414" s="598" t="s">
        <v>1907</v>
      </c>
      <c r="B414" s="620" t="s">
        <v>1908</v>
      </c>
      <c r="C414" s="598" t="s">
        <v>2015</v>
      </c>
      <c r="D414" s="598" t="s">
        <v>2221</v>
      </c>
      <c r="E414" s="621">
        <v>2000</v>
      </c>
      <c r="F414" s="599">
        <v>45097885</v>
      </c>
      <c r="G414" s="598" t="s">
        <v>2608</v>
      </c>
      <c r="H414" s="598" t="s">
        <v>2475</v>
      </c>
      <c r="I414" s="598" t="s">
        <v>1912</v>
      </c>
      <c r="J414" s="617" t="s">
        <v>1913</v>
      </c>
      <c r="K414" s="598">
        <v>2</v>
      </c>
      <c r="L414" s="598">
        <v>4</v>
      </c>
      <c r="M414" s="621">
        <v>8000</v>
      </c>
      <c r="N414" s="598"/>
      <c r="O414" s="598"/>
      <c r="P414" s="618"/>
    </row>
    <row r="415" spans="1:16" s="619" customFormat="1" ht="36" x14ac:dyDescent="0.2">
      <c r="A415" s="598" t="s">
        <v>1907</v>
      </c>
      <c r="B415" s="620" t="s">
        <v>1908</v>
      </c>
      <c r="C415" s="598" t="s">
        <v>2015</v>
      </c>
      <c r="D415" s="598" t="s">
        <v>2609</v>
      </c>
      <c r="E415" s="621">
        <v>2250</v>
      </c>
      <c r="F415" s="599">
        <v>33431427</v>
      </c>
      <c r="G415" s="598" t="s">
        <v>2610</v>
      </c>
      <c r="H415" s="598" t="s">
        <v>2574</v>
      </c>
      <c r="I415" s="598" t="s">
        <v>1912</v>
      </c>
      <c r="J415" s="617" t="s">
        <v>1913</v>
      </c>
      <c r="K415" s="598">
        <v>1</v>
      </c>
      <c r="L415" s="598">
        <v>2</v>
      </c>
      <c r="M415" s="621">
        <v>4500</v>
      </c>
      <c r="N415" s="598"/>
      <c r="O415" s="598"/>
      <c r="P415" s="618"/>
    </row>
    <row r="416" spans="1:16" s="619" customFormat="1" ht="36" x14ac:dyDescent="0.2">
      <c r="A416" s="598" t="s">
        <v>1907</v>
      </c>
      <c r="B416" s="620" t="s">
        <v>2050</v>
      </c>
      <c r="C416" s="598" t="s">
        <v>2015</v>
      </c>
      <c r="D416" s="598" t="s">
        <v>2276</v>
      </c>
      <c r="E416" s="621">
        <v>1800</v>
      </c>
      <c r="F416" s="599">
        <v>33598279</v>
      </c>
      <c r="G416" s="598" t="s">
        <v>2611</v>
      </c>
      <c r="H416" s="598" t="s">
        <v>2612</v>
      </c>
      <c r="I416" s="598" t="s">
        <v>1912</v>
      </c>
      <c r="J416" s="617" t="s">
        <v>1913</v>
      </c>
      <c r="K416" s="598">
        <v>6</v>
      </c>
      <c r="L416" s="598">
        <v>8</v>
      </c>
      <c r="M416" s="621">
        <v>14400</v>
      </c>
      <c r="N416" s="598"/>
      <c r="O416" s="598"/>
      <c r="P416" s="618"/>
    </row>
    <row r="417" spans="1:16" s="619" customFormat="1" ht="36" x14ac:dyDescent="0.2">
      <c r="A417" s="598" t="s">
        <v>1907</v>
      </c>
      <c r="B417" s="620" t="s">
        <v>2275</v>
      </c>
      <c r="C417" s="598" t="s">
        <v>2015</v>
      </c>
      <c r="D417" s="598" t="s">
        <v>2276</v>
      </c>
      <c r="E417" s="621">
        <v>1000</v>
      </c>
      <c r="F417" s="599">
        <v>33578392</v>
      </c>
      <c r="G417" s="598" t="s">
        <v>2613</v>
      </c>
      <c r="H417" s="598"/>
      <c r="I417" s="598"/>
      <c r="J417" s="617"/>
      <c r="K417" s="598">
        <v>7</v>
      </c>
      <c r="L417" s="598">
        <v>11</v>
      </c>
      <c r="M417" s="621">
        <v>11000</v>
      </c>
      <c r="N417" s="598"/>
      <c r="O417" s="598"/>
      <c r="P417" s="618"/>
    </row>
    <row r="418" spans="1:16" s="619" customFormat="1" ht="36" x14ac:dyDescent="0.2">
      <c r="A418" s="598" t="s">
        <v>1907</v>
      </c>
      <c r="B418" s="620" t="s">
        <v>1908</v>
      </c>
      <c r="C418" s="598" t="s">
        <v>2015</v>
      </c>
      <c r="D418" s="598" t="s">
        <v>2470</v>
      </c>
      <c r="E418" s="621">
        <v>2200</v>
      </c>
      <c r="F418" s="599">
        <v>72446881</v>
      </c>
      <c r="G418" s="598" t="s">
        <v>2614</v>
      </c>
      <c r="H418" s="598" t="s">
        <v>2448</v>
      </c>
      <c r="I418" s="598" t="s">
        <v>1912</v>
      </c>
      <c r="J418" s="617" t="s">
        <v>1913</v>
      </c>
      <c r="K418" s="598">
        <v>4</v>
      </c>
      <c r="L418" s="598">
        <v>8</v>
      </c>
      <c r="M418" s="621">
        <v>17600</v>
      </c>
      <c r="N418" s="598"/>
      <c r="O418" s="598"/>
      <c r="P418" s="618"/>
    </row>
    <row r="419" spans="1:16" s="619" customFormat="1" ht="36" x14ac:dyDescent="0.2">
      <c r="A419" s="598" t="s">
        <v>1907</v>
      </c>
      <c r="B419" s="620" t="s">
        <v>1908</v>
      </c>
      <c r="C419" s="598" t="s">
        <v>2015</v>
      </c>
      <c r="D419" s="598" t="s">
        <v>2276</v>
      </c>
      <c r="E419" s="621">
        <v>3000</v>
      </c>
      <c r="F419" s="599">
        <v>27730594</v>
      </c>
      <c r="G419" s="598" t="s">
        <v>2615</v>
      </c>
      <c r="H419" s="598" t="s">
        <v>1922</v>
      </c>
      <c r="I419" s="598" t="s">
        <v>1912</v>
      </c>
      <c r="J419" s="617" t="s">
        <v>1913</v>
      </c>
      <c r="K419" s="598">
        <v>7</v>
      </c>
      <c r="L419" s="598">
        <v>8</v>
      </c>
      <c r="M419" s="621">
        <v>24000</v>
      </c>
      <c r="N419" s="598"/>
      <c r="O419" s="598"/>
      <c r="P419" s="618"/>
    </row>
    <row r="420" spans="1:16" s="619" customFormat="1" ht="36" x14ac:dyDescent="0.2">
      <c r="A420" s="598" t="s">
        <v>1907</v>
      </c>
      <c r="B420" s="620" t="s">
        <v>1908</v>
      </c>
      <c r="C420" s="598" t="s">
        <v>2015</v>
      </c>
      <c r="D420" s="598" t="s">
        <v>2276</v>
      </c>
      <c r="E420" s="621">
        <v>1800</v>
      </c>
      <c r="F420" s="599">
        <v>45312314</v>
      </c>
      <c r="G420" s="598" t="s">
        <v>2616</v>
      </c>
      <c r="H420" s="598" t="s">
        <v>2617</v>
      </c>
      <c r="I420" s="598" t="s">
        <v>1912</v>
      </c>
      <c r="J420" s="617" t="s">
        <v>1913</v>
      </c>
      <c r="K420" s="598">
        <v>8</v>
      </c>
      <c r="L420" s="598">
        <v>9</v>
      </c>
      <c r="M420" s="621">
        <v>16200</v>
      </c>
      <c r="N420" s="598"/>
      <c r="O420" s="598"/>
      <c r="P420" s="618"/>
    </row>
    <row r="421" spans="1:16" s="619" customFormat="1" ht="36" x14ac:dyDescent="0.2">
      <c r="A421" s="598" t="s">
        <v>1907</v>
      </c>
      <c r="B421" s="620" t="s">
        <v>2275</v>
      </c>
      <c r="C421" s="598" t="s">
        <v>2015</v>
      </c>
      <c r="D421" s="598" t="s">
        <v>2276</v>
      </c>
      <c r="E421" s="621">
        <v>1600</v>
      </c>
      <c r="F421" s="599">
        <v>46577562</v>
      </c>
      <c r="G421" s="598" t="s">
        <v>2618</v>
      </c>
      <c r="H421" s="598" t="s">
        <v>2612</v>
      </c>
      <c r="I421" s="598" t="s">
        <v>1912</v>
      </c>
      <c r="J421" s="617" t="s">
        <v>1913</v>
      </c>
      <c r="K421" s="598">
        <v>8</v>
      </c>
      <c r="L421" s="598">
        <v>12</v>
      </c>
      <c r="M421" s="621">
        <v>19200</v>
      </c>
      <c r="N421" s="598"/>
      <c r="O421" s="598"/>
      <c r="P421" s="618"/>
    </row>
    <row r="422" spans="1:16" s="619" customFormat="1" ht="36" x14ac:dyDescent="0.2">
      <c r="A422" s="598" t="s">
        <v>1907</v>
      </c>
      <c r="B422" s="620" t="s">
        <v>1908</v>
      </c>
      <c r="C422" s="598" t="s">
        <v>2015</v>
      </c>
      <c r="D422" s="598" t="s">
        <v>2334</v>
      </c>
      <c r="E422" s="621">
        <v>5000</v>
      </c>
      <c r="F422" s="599">
        <v>41589714</v>
      </c>
      <c r="G422" s="598" t="s">
        <v>2619</v>
      </c>
      <c r="H422" s="598" t="s">
        <v>2620</v>
      </c>
      <c r="I422" s="598" t="s">
        <v>1912</v>
      </c>
      <c r="J422" s="617" t="s">
        <v>1913</v>
      </c>
      <c r="K422" s="598">
        <v>7</v>
      </c>
      <c r="L422" s="598">
        <v>9</v>
      </c>
      <c r="M422" s="621">
        <v>45000</v>
      </c>
      <c r="N422" s="598"/>
      <c r="O422" s="598"/>
      <c r="P422" s="618"/>
    </row>
    <row r="423" spans="1:16" s="619" customFormat="1" ht="36" x14ac:dyDescent="0.2">
      <c r="A423" s="598" t="s">
        <v>1907</v>
      </c>
      <c r="B423" s="620" t="s">
        <v>1908</v>
      </c>
      <c r="C423" s="598" t="s">
        <v>2015</v>
      </c>
      <c r="D423" s="598" t="s">
        <v>2621</v>
      </c>
      <c r="E423" s="621">
        <v>2250</v>
      </c>
      <c r="F423" s="599">
        <v>44685902</v>
      </c>
      <c r="G423" s="598" t="s">
        <v>2622</v>
      </c>
      <c r="H423" s="598" t="s">
        <v>2623</v>
      </c>
      <c r="I423" s="598" t="s">
        <v>1912</v>
      </c>
      <c r="J423" s="617" t="s">
        <v>1931</v>
      </c>
      <c r="K423" s="598">
        <v>1</v>
      </c>
      <c r="L423" s="598">
        <v>2</v>
      </c>
      <c r="M423" s="621">
        <v>4500</v>
      </c>
      <c r="N423" s="598"/>
      <c r="O423" s="598"/>
      <c r="P423" s="618"/>
    </row>
    <row r="424" spans="1:16" s="619" customFormat="1" ht="24" x14ac:dyDescent="0.2">
      <c r="A424" s="598" t="s">
        <v>1907</v>
      </c>
      <c r="B424" s="620" t="s">
        <v>1908</v>
      </c>
      <c r="C424" s="598" t="s">
        <v>2015</v>
      </c>
      <c r="D424" s="598" t="s">
        <v>2139</v>
      </c>
      <c r="E424" s="621">
        <v>5000</v>
      </c>
      <c r="F424" s="599">
        <v>41433499</v>
      </c>
      <c r="G424" s="598" t="s">
        <v>2624</v>
      </c>
      <c r="H424" s="598" t="s">
        <v>1911</v>
      </c>
      <c r="I424" s="598" t="s">
        <v>1912</v>
      </c>
      <c r="J424" s="617" t="s">
        <v>1913</v>
      </c>
      <c r="K424" s="598">
        <v>1</v>
      </c>
      <c r="L424" s="598">
        <v>3</v>
      </c>
      <c r="M424" s="621">
        <v>15000</v>
      </c>
      <c r="N424" s="598"/>
      <c r="O424" s="598"/>
      <c r="P424" s="618"/>
    </row>
    <row r="425" spans="1:16" s="619" customFormat="1" ht="24" x14ac:dyDescent="0.2">
      <c r="A425" s="598" t="s">
        <v>1907</v>
      </c>
      <c r="B425" s="620" t="s">
        <v>1908</v>
      </c>
      <c r="C425" s="598" t="s">
        <v>2015</v>
      </c>
      <c r="D425" s="598" t="s">
        <v>2271</v>
      </c>
      <c r="E425" s="621">
        <v>2200</v>
      </c>
      <c r="F425" s="599">
        <v>42361638</v>
      </c>
      <c r="G425" s="598" t="s">
        <v>2625</v>
      </c>
      <c r="H425" s="598" t="s">
        <v>1985</v>
      </c>
      <c r="I425" s="598" t="s">
        <v>1912</v>
      </c>
      <c r="J425" s="617" t="s">
        <v>1913</v>
      </c>
      <c r="K425" s="598">
        <v>1</v>
      </c>
      <c r="L425" s="598">
        <v>3</v>
      </c>
      <c r="M425" s="621">
        <v>6600</v>
      </c>
      <c r="N425" s="598"/>
      <c r="O425" s="598"/>
      <c r="P425" s="618"/>
    </row>
    <row r="426" spans="1:16" s="619" customFormat="1" ht="24" x14ac:dyDescent="0.2">
      <c r="A426" s="598" t="s">
        <v>1907</v>
      </c>
      <c r="B426" s="620" t="s">
        <v>1908</v>
      </c>
      <c r="C426" s="598" t="s">
        <v>2015</v>
      </c>
      <c r="D426" s="598" t="s">
        <v>2221</v>
      </c>
      <c r="E426" s="621">
        <v>2000</v>
      </c>
      <c r="F426" s="599">
        <v>43530254</v>
      </c>
      <c r="G426" s="598" t="s">
        <v>2626</v>
      </c>
      <c r="H426" s="598" t="s">
        <v>2232</v>
      </c>
      <c r="I426" s="598" t="s">
        <v>1912</v>
      </c>
      <c r="J426" s="617" t="s">
        <v>1913</v>
      </c>
      <c r="K426" s="598">
        <v>2</v>
      </c>
      <c r="L426" s="598">
        <v>4</v>
      </c>
      <c r="M426" s="621">
        <v>8000</v>
      </c>
      <c r="N426" s="598"/>
      <c r="O426" s="598"/>
      <c r="P426" s="618"/>
    </row>
    <row r="427" spans="1:16" s="619" customFormat="1" ht="36" x14ac:dyDescent="0.2">
      <c r="A427" s="598" t="s">
        <v>1907</v>
      </c>
      <c r="B427" s="620" t="s">
        <v>1908</v>
      </c>
      <c r="C427" s="598" t="s">
        <v>2015</v>
      </c>
      <c r="D427" s="598" t="s">
        <v>2221</v>
      </c>
      <c r="E427" s="621">
        <v>2000</v>
      </c>
      <c r="F427" s="599">
        <v>45393185</v>
      </c>
      <c r="G427" s="598" t="s">
        <v>2627</v>
      </c>
      <c r="H427" s="598" t="s">
        <v>2592</v>
      </c>
      <c r="I427" s="598" t="s">
        <v>1912</v>
      </c>
      <c r="J427" s="617" t="s">
        <v>1913</v>
      </c>
      <c r="K427" s="598">
        <v>3</v>
      </c>
      <c r="L427" s="598">
        <v>6</v>
      </c>
      <c r="M427" s="621">
        <v>12000</v>
      </c>
      <c r="N427" s="598"/>
      <c r="O427" s="598"/>
      <c r="P427" s="618"/>
    </row>
    <row r="428" spans="1:16" s="619" customFormat="1" ht="24" x14ac:dyDescent="0.2">
      <c r="A428" s="598" t="s">
        <v>1907</v>
      </c>
      <c r="B428" s="620" t="s">
        <v>1908</v>
      </c>
      <c r="C428" s="598" t="s">
        <v>2015</v>
      </c>
      <c r="D428" s="598" t="s">
        <v>2271</v>
      </c>
      <c r="E428" s="621">
        <v>1500</v>
      </c>
      <c r="F428" s="599">
        <v>40784375</v>
      </c>
      <c r="G428" s="598" t="s">
        <v>2628</v>
      </c>
      <c r="H428" s="598"/>
      <c r="I428" s="598"/>
      <c r="J428" s="617"/>
      <c r="K428" s="598">
        <v>6</v>
      </c>
      <c r="L428" s="598">
        <v>10</v>
      </c>
      <c r="M428" s="621">
        <v>15000</v>
      </c>
      <c r="N428" s="598"/>
      <c r="O428" s="598"/>
      <c r="P428" s="618"/>
    </row>
    <row r="429" spans="1:16" s="619" customFormat="1" ht="24" x14ac:dyDescent="0.2">
      <c r="A429" s="598" t="s">
        <v>1907</v>
      </c>
      <c r="B429" s="620" t="s">
        <v>1908</v>
      </c>
      <c r="C429" s="598" t="s">
        <v>2015</v>
      </c>
      <c r="D429" s="598" t="s">
        <v>2307</v>
      </c>
      <c r="E429" s="621">
        <v>4000</v>
      </c>
      <c r="F429" s="599">
        <v>41761119</v>
      </c>
      <c r="G429" s="598" t="s">
        <v>2629</v>
      </c>
      <c r="H429" s="598" t="s">
        <v>2038</v>
      </c>
      <c r="I429" s="598" t="s">
        <v>1912</v>
      </c>
      <c r="J429" s="617" t="s">
        <v>1913</v>
      </c>
      <c r="K429" s="598">
        <v>4</v>
      </c>
      <c r="L429" s="598">
        <v>7</v>
      </c>
      <c r="M429" s="621">
        <v>28000</v>
      </c>
      <c r="N429" s="598"/>
      <c r="O429" s="598"/>
      <c r="P429" s="618"/>
    </row>
    <row r="430" spans="1:16" s="619" customFormat="1" ht="24" x14ac:dyDescent="0.2">
      <c r="A430" s="598" t="s">
        <v>1907</v>
      </c>
      <c r="B430" s="620" t="s">
        <v>1908</v>
      </c>
      <c r="C430" s="598" t="s">
        <v>2015</v>
      </c>
      <c r="D430" s="598" t="s">
        <v>2097</v>
      </c>
      <c r="E430" s="621">
        <v>1000</v>
      </c>
      <c r="F430" s="599">
        <v>33816853</v>
      </c>
      <c r="G430" s="598" t="s">
        <v>2630</v>
      </c>
      <c r="H430" s="598"/>
      <c r="I430" s="598"/>
      <c r="J430" s="617"/>
      <c r="K430" s="598">
        <v>6</v>
      </c>
      <c r="L430" s="598">
        <v>10</v>
      </c>
      <c r="M430" s="621">
        <v>10000</v>
      </c>
      <c r="N430" s="598"/>
      <c r="O430" s="598"/>
      <c r="P430" s="618"/>
    </row>
    <row r="431" spans="1:16" s="619" customFormat="1" ht="24" x14ac:dyDescent="0.2">
      <c r="A431" s="598" t="s">
        <v>1907</v>
      </c>
      <c r="B431" s="620" t="s">
        <v>1908</v>
      </c>
      <c r="C431" s="598" t="s">
        <v>2015</v>
      </c>
      <c r="D431" s="598" t="s">
        <v>2313</v>
      </c>
      <c r="E431" s="621">
        <v>1300</v>
      </c>
      <c r="F431" s="599">
        <v>33436127</v>
      </c>
      <c r="G431" s="598" t="s">
        <v>2631</v>
      </c>
      <c r="H431" s="598"/>
      <c r="I431" s="598"/>
      <c r="J431" s="617"/>
      <c r="K431" s="598">
        <v>6</v>
      </c>
      <c r="L431" s="598">
        <v>10</v>
      </c>
      <c r="M431" s="621">
        <v>13000</v>
      </c>
      <c r="N431" s="598"/>
      <c r="O431" s="598"/>
      <c r="P431" s="618"/>
    </row>
    <row r="432" spans="1:16" s="619" customFormat="1" ht="36" x14ac:dyDescent="0.2">
      <c r="A432" s="598" t="s">
        <v>1907</v>
      </c>
      <c r="B432" s="620" t="s">
        <v>1908</v>
      </c>
      <c r="C432" s="598" t="s">
        <v>2015</v>
      </c>
      <c r="D432" s="598" t="s">
        <v>2632</v>
      </c>
      <c r="E432" s="621">
        <v>1500</v>
      </c>
      <c r="F432" s="599">
        <v>33407606</v>
      </c>
      <c r="G432" s="598" t="s">
        <v>2633</v>
      </c>
      <c r="H432" s="598" t="s">
        <v>2634</v>
      </c>
      <c r="I432" s="598" t="s">
        <v>1912</v>
      </c>
      <c r="J432" s="617" t="s">
        <v>1913</v>
      </c>
      <c r="K432" s="598">
        <v>4</v>
      </c>
      <c r="L432" s="598">
        <v>8</v>
      </c>
      <c r="M432" s="621">
        <v>12000</v>
      </c>
      <c r="N432" s="598"/>
      <c r="O432" s="598"/>
      <c r="P432" s="618"/>
    </row>
    <row r="433" spans="1:16" s="619" customFormat="1" ht="24" x14ac:dyDescent="0.2">
      <c r="A433" s="598" t="s">
        <v>1907</v>
      </c>
      <c r="B433" s="620" t="s">
        <v>1908</v>
      </c>
      <c r="C433" s="598" t="s">
        <v>2015</v>
      </c>
      <c r="D433" s="598" t="s">
        <v>2284</v>
      </c>
      <c r="E433" s="621">
        <v>1100</v>
      </c>
      <c r="F433" s="599">
        <v>33429242</v>
      </c>
      <c r="G433" s="598" t="s">
        <v>2635</v>
      </c>
      <c r="H433" s="598" t="s">
        <v>2636</v>
      </c>
      <c r="I433" s="598" t="s">
        <v>1912</v>
      </c>
      <c r="J433" s="617" t="s">
        <v>1913</v>
      </c>
      <c r="K433" s="598">
        <v>2</v>
      </c>
      <c r="L433" s="598">
        <v>12</v>
      </c>
      <c r="M433" s="621">
        <v>13200</v>
      </c>
      <c r="N433" s="598"/>
      <c r="O433" s="598"/>
      <c r="P433" s="618"/>
    </row>
    <row r="434" spans="1:16" s="619" customFormat="1" ht="36" x14ac:dyDescent="0.2">
      <c r="A434" s="598" t="s">
        <v>1907</v>
      </c>
      <c r="B434" s="620" t="s">
        <v>1908</v>
      </c>
      <c r="C434" s="598" t="s">
        <v>2015</v>
      </c>
      <c r="D434" s="598" t="s">
        <v>2637</v>
      </c>
      <c r="E434" s="621">
        <v>4000</v>
      </c>
      <c r="F434" s="599">
        <v>43849309</v>
      </c>
      <c r="G434" s="598" t="s">
        <v>2638</v>
      </c>
      <c r="H434" s="598" t="s">
        <v>2639</v>
      </c>
      <c r="I434" s="598" t="s">
        <v>1912</v>
      </c>
      <c r="J434" s="617" t="s">
        <v>1913</v>
      </c>
      <c r="K434" s="598">
        <v>7</v>
      </c>
      <c r="L434" s="598">
        <v>10</v>
      </c>
      <c r="M434" s="621">
        <v>40000</v>
      </c>
      <c r="N434" s="598"/>
      <c r="O434" s="598"/>
      <c r="P434" s="618"/>
    </row>
    <row r="435" spans="1:16" s="619" customFormat="1" ht="24" x14ac:dyDescent="0.2">
      <c r="A435" s="598" t="s">
        <v>1907</v>
      </c>
      <c r="B435" s="620" t="s">
        <v>1908</v>
      </c>
      <c r="C435" s="598" t="s">
        <v>2015</v>
      </c>
      <c r="D435" s="598" t="s">
        <v>2271</v>
      </c>
      <c r="E435" s="621">
        <v>2200</v>
      </c>
      <c r="F435" s="599">
        <v>47545321</v>
      </c>
      <c r="G435" s="598" t="s">
        <v>2640</v>
      </c>
      <c r="H435" s="598" t="s">
        <v>2357</v>
      </c>
      <c r="I435" s="598" t="s">
        <v>1912</v>
      </c>
      <c r="J435" s="617" t="s">
        <v>1913</v>
      </c>
      <c r="K435" s="598">
        <v>2</v>
      </c>
      <c r="L435" s="598">
        <v>5</v>
      </c>
      <c r="M435" s="621">
        <v>11000</v>
      </c>
      <c r="N435" s="598"/>
      <c r="O435" s="598"/>
      <c r="P435" s="618"/>
    </row>
    <row r="436" spans="1:16" s="619" customFormat="1" ht="36" x14ac:dyDescent="0.2">
      <c r="A436" s="598" t="s">
        <v>1907</v>
      </c>
      <c r="B436" s="620" t="s">
        <v>1908</v>
      </c>
      <c r="C436" s="598" t="s">
        <v>2015</v>
      </c>
      <c r="D436" s="598" t="s">
        <v>2224</v>
      </c>
      <c r="E436" s="621">
        <v>2100</v>
      </c>
      <c r="F436" s="599">
        <v>46378240</v>
      </c>
      <c r="G436" s="598" t="s">
        <v>2641</v>
      </c>
      <c r="H436" s="598" t="s">
        <v>1951</v>
      </c>
      <c r="I436" s="598" t="s">
        <v>1912</v>
      </c>
      <c r="J436" s="617" t="s">
        <v>1931</v>
      </c>
      <c r="K436" s="598">
        <v>1</v>
      </c>
      <c r="L436" s="598">
        <v>3</v>
      </c>
      <c r="M436" s="621">
        <v>6300</v>
      </c>
      <c r="N436" s="598"/>
      <c r="O436" s="598"/>
      <c r="P436" s="618"/>
    </row>
    <row r="437" spans="1:16" s="619" customFormat="1" ht="36" x14ac:dyDescent="0.2">
      <c r="A437" s="598" t="s">
        <v>1907</v>
      </c>
      <c r="B437" s="620" t="s">
        <v>1908</v>
      </c>
      <c r="C437" s="598" t="s">
        <v>2015</v>
      </c>
      <c r="D437" s="598" t="s">
        <v>2334</v>
      </c>
      <c r="E437" s="621">
        <v>5000</v>
      </c>
      <c r="F437" s="599">
        <v>17638897</v>
      </c>
      <c r="G437" s="598" t="s">
        <v>2642</v>
      </c>
      <c r="H437" s="598" t="s">
        <v>2472</v>
      </c>
      <c r="I437" s="598" t="s">
        <v>1912</v>
      </c>
      <c r="J437" s="617" t="s">
        <v>1913</v>
      </c>
      <c r="K437" s="598">
        <v>6</v>
      </c>
      <c r="L437" s="598">
        <v>10</v>
      </c>
      <c r="M437" s="621">
        <v>50000</v>
      </c>
      <c r="N437" s="598"/>
      <c r="O437" s="598"/>
      <c r="P437" s="618"/>
    </row>
    <row r="438" spans="1:16" s="619" customFormat="1" ht="36" x14ac:dyDescent="0.2">
      <c r="A438" s="598" t="s">
        <v>1907</v>
      </c>
      <c r="B438" s="620" t="s">
        <v>1908</v>
      </c>
      <c r="C438" s="598" t="s">
        <v>2015</v>
      </c>
      <c r="D438" s="598" t="s">
        <v>2239</v>
      </c>
      <c r="E438" s="621">
        <v>2200</v>
      </c>
      <c r="F438" s="599">
        <v>46856241</v>
      </c>
      <c r="G438" s="598" t="s">
        <v>2643</v>
      </c>
      <c r="H438" s="598" t="s">
        <v>2644</v>
      </c>
      <c r="I438" s="598" t="s">
        <v>1912</v>
      </c>
      <c r="J438" s="617" t="s">
        <v>1913</v>
      </c>
      <c r="K438" s="598">
        <v>2</v>
      </c>
      <c r="L438" s="598">
        <v>4</v>
      </c>
      <c r="M438" s="621">
        <v>8800</v>
      </c>
      <c r="N438" s="598"/>
      <c r="O438" s="598"/>
      <c r="P438" s="618"/>
    </row>
    <row r="439" spans="1:16" s="619" customFormat="1" ht="36" x14ac:dyDescent="0.2">
      <c r="A439" s="598" t="s">
        <v>1907</v>
      </c>
      <c r="B439" s="620" t="s">
        <v>1908</v>
      </c>
      <c r="C439" s="598" t="s">
        <v>2015</v>
      </c>
      <c r="D439" s="598" t="s">
        <v>2284</v>
      </c>
      <c r="E439" s="621">
        <v>2500</v>
      </c>
      <c r="F439" s="599">
        <v>71109500</v>
      </c>
      <c r="G439" s="598" t="s">
        <v>2645</v>
      </c>
      <c r="H439" s="598" t="s">
        <v>2475</v>
      </c>
      <c r="I439" s="598" t="s">
        <v>1912</v>
      </c>
      <c r="J439" s="617" t="s">
        <v>1913</v>
      </c>
      <c r="K439" s="598">
        <v>5</v>
      </c>
      <c r="L439" s="598">
        <v>12</v>
      </c>
      <c r="M439" s="621">
        <v>30000</v>
      </c>
      <c r="N439" s="598"/>
      <c r="O439" s="598"/>
      <c r="P439" s="618"/>
    </row>
    <row r="440" spans="1:16" s="619" customFormat="1" ht="24" x14ac:dyDescent="0.2">
      <c r="A440" s="598" t="s">
        <v>1907</v>
      </c>
      <c r="B440" s="620" t="s">
        <v>1908</v>
      </c>
      <c r="C440" s="598" t="s">
        <v>2015</v>
      </c>
      <c r="D440" s="598" t="s">
        <v>2354</v>
      </c>
      <c r="E440" s="621">
        <v>6000</v>
      </c>
      <c r="F440" s="599">
        <v>44746321</v>
      </c>
      <c r="G440" s="598" t="s">
        <v>2646</v>
      </c>
      <c r="H440" s="598" t="s">
        <v>1954</v>
      </c>
      <c r="I440" s="598" t="s">
        <v>1912</v>
      </c>
      <c r="J440" s="617" t="s">
        <v>1913</v>
      </c>
      <c r="K440" s="598">
        <v>3</v>
      </c>
      <c r="L440" s="598">
        <v>6</v>
      </c>
      <c r="M440" s="621">
        <v>36000</v>
      </c>
      <c r="N440" s="598"/>
      <c r="O440" s="598"/>
      <c r="P440" s="618"/>
    </row>
    <row r="441" spans="1:16" s="619" customFormat="1" ht="36" x14ac:dyDescent="0.2">
      <c r="A441" s="598" t="s">
        <v>1907</v>
      </c>
      <c r="B441" s="620" t="s">
        <v>1908</v>
      </c>
      <c r="C441" s="598" t="s">
        <v>2015</v>
      </c>
      <c r="D441" s="598" t="s">
        <v>2202</v>
      </c>
      <c r="E441" s="621">
        <v>6000</v>
      </c>
      <c r="F441" s="599">
        <v>41005706</v>
      </c>
      <c r="G441" s="598" t="s">
        <v>2647</v>
      </c>
      <c r="H441" s="598" t="s">
        <v>2079</v>
      </c>
      <c r="I441" s="598" t="s">
        <v>1912</v>
      </c>
      <c r="J441" s="617" t="s">
        <v>1913</v>
      </c>
      <c r="K441" s="598">
        <v>3</v>
      </c>
      <c r="L441" s="598">
        <v>7</v>
      </c>
      <c r="M441" s="621">
        <v>42000</v>
      </c>
      <c r="N441" s="598"/>
      <c r="O441" s="598"/>
      <c r="P441" s="618"/>
    </row>
    <row r="442" spans="1:16" s="619" customFormat="1" ht="36" x14ac:dyDescent="0.2">
      <c r="A442" s="598" t="s">
        <v>1907</v>
      </c>
      <c r="B442" s="620" t="s">
        <v>1908</v>
      </c>
      <c r="C442" s="598" t="s">
        <v>2015</v>
      </c>
      <c r="D442" s="598" t="s">
        <v>2404</v>
      </c>
      <c r="E442" s="621">
        <v>1600</v>
      </c>
      <c r="F442" s="599">
        <v>33408654</v>
      </c>
      <c r="G442" s="598" t="s">
        <v>2648</v>
      </c>
      <c r="H442" s="598" t="s">
        <v>2649</v>
      </c>
      <c r="I442" s="598" t="s">
        <v>1912</v>
      </c>
      <c r="J442" s="617" t="s">
        <v>1913</v>
      </c>
      <c r="K442" s="598">
        <v>2</v>
      </c>
      <c r="L442" s="598">
        <v>4</v>
      </c>
      <c r="M442" s="621">
        <v>6400</v>
      </c>
      <c r="N442" s="598"/>
      <c r="O442" s="598"/>
      <c r="P442" s="618"/>
    </row>
    <row r="443" spans="1:16" s="619" customFormat="1" ht="36" x14ac:dyDescent="0.2">
      <c r="A443" s="598" t="s">
        <v>1907</v>
      </c>
      <c r="B443" s="620" t="s">
        <v>1908</v>
      </c>
      <c r="C443" s="598" t="s">
        <v>2015</v>
      </c>
      <c r="D443" s="598" t="s">
        <v>2650</v>
      </c>
      <c r="E443" s="621">
        <v>1100</v>
      </c>
      <c r="F443" s="599">
        <v>47185485</v>
      </c>
      <c r="G443" s="598" t="s">
        <v>2651</v>
      </c>
      <c r="H443" s="598"/>
      <c r="I443" s="598"/>
      <c r="J443" s="617"/>
      <c r="K443" s="598">
        <v>1</v>
      </c>
      <c r="L443" s="598">
        <v>2</v>
      </c>
      <c r="M443" s="621">
        <v>2200</v>
      </c>
      <c r="N443" s="598"/>
      <c r="O443" s="598"/>
      <c r="P443" s="618"/>
    </row>
    <row r="444" spans="1:16" s="619" customFormat="1" ht="36" x14ac:dyDescent="0.2">
      <c r="A444" s="598" t="s">
        <v>1907</v>
      </c>
      <c r="B444" s="620" t="s">
        <v>1908</v>
      </c>
      <c r="C444" s="598" t="s">
        <v>2015</v>
      </c>
      <c r="D444" s="598" t="s">
        <v>2242</v>
      </c>
      <c r="E444" s="621">
        <v>1200</v>
      </c>
      <c r="F444" s="599">
        <v>41566028</v>
      </c>
      <c r="G444" s="598" t="s">
        <v>2652</v>
      </c>
      <c r="H444" s="598" t="s">
        <v>2263</v>
      </c>
      <c r="I444" s="598" t="s">
        <v>1912</v>
      </c>
      <c r="J444" s="617" t="s">
        <v>1913</v>
      </c>
      <c r="K444" s="598">
        <v>3</v>
      </c>
      <c r="L444" s="598">
        <v>7</v>
      </c>
      <c r="M444" s="621">
        <v>8400</v>
      </c>
      <c r="N444" s="598"/>
      <c r="O444" s="598"/>
      <c r="P444" s="618"/>
    </row>
    <row r="445" spans="1:16" s="619" customFormat="1" ht="36" x14ac:dyDescent="0.2">
      <c r="A445" s="598" t="s">
        <v>1907</v>
      </c>
      <c r="B445" s="620" t="s">
        <v>1908</v>
      </c>
      <c r="C445" s="598" t="s">
        <v>2015</v>
      </c>
      <c r="D445" s="598" t="s">
        <v>2423</v>
      </c>
      <c r="E445" s="621">
        <v>1400</v>
      </c>
      <c r="F445" s="599">
        <v>42443158</v>
      </c>
      <c r="G445" s="598" t="s">
        <v>2653</v>
      </c>
      <c r="H445" s="598" t="s">
        <v>2104</v>
      </c>
      <c r="I445" s="598" t="s">
        <v>1912</v>
      </c>
      <c r="J445" s="617" t="s">
        <v>1931</v>
      </c>
      <c r="K445" s="598">
        <v>3</v>
      </c>
      <c r="L445" s="598">
        <v>6</v>
      </c>
      <c r="M445" s="621">
        <v>8400</v>
      </c>
      <c r="N445" s="598"/>
      <c r="O445" s="598"/>
      <c r="P445" s="618"/>
    </row>
    <row r="446" spans="1:16" s="619" customFormat="1" ht="36" x14ac:dyDescent="0.2">
      <c r="A446" s="598" t="s">
        <v>1907</v>
      </c>
      <c r="B446" s="620" t="s">
        <v>1908</v>
      </c>
      <c r="C446" s="598" t="s">
        <v>2015</v>
      </c>
      <c r="D446" s="598" t="s">
        <v>2221</v>
      </c>
      <c r="E446" s="621">
        <v>2000</v>
      </c>
      <c r="F446" s="599">
        <v>47574215</v>
      </c>
      <c r="G446" s="598" t="s">
        <v>2654</v>
      </c>
      <c r="H446" s="598" t="s">
        <v>2182</v>
      </c>
      <c r="I446" s="598" t="s">
        <v>1912</v>
      </c>
      <c r="J446" s="617" t="s">
        <v>1913</v>
      </c>
      <c r="K446" s="598">
        <v>3</v>
      </c>
      <c r="L446" s="598">
        <v>7</v>
      </c>
      <c r="M446" s="621">
        <v>14000</v>
      </c>
      <c r="N446" s="598"/>
      <c r="O446" s="598"/>
      <c r="P446" s="618"/>
    </row>
    <row r="447" spans="1:16" s="619" customFormat="1" ht="24" x14ac:dyDescent="0.2">
      <c r="A447" s="598" t="s">
        <v>1907</v>
      </c>
      <c r="B447" s="620" t="s">
        <v>1908</v>
      </c>
      <c r="C447" s="598" t="s">
        <v>2015</v>
      </c>
      <c r="D447" s="598" t="s">
        <v>2139</v>
      </c>
      <c r="E447" s="621">
        <v>5000</v>
      </c>
      <c r="F447" s="599">
        <v>44305507</v>
      </c>
      <c r="G447" s="598" t="s">
        <v>2655</v>
      </c>
      <c r="H447" s="598" t="s">
        <v>1911</v>
      </c>
      <c r="I447" s="598" t="s">
        <v>1912</v>
      </c>
      <c r="J447" s="617" t="s">
        <v>1913</v>
      </c>
      <c r="K447" s="598">
        <v>1</v>
      </c>
      <c r="L447" s="598">
        <v>3</v>
      </c>
      <c r="M447" s="621">
        <v>15000</v>
      </c>
      <c r="N447" s="598"/>
      <c r="O447" s="598"/>
      <c r="P447" s="618"/>
    </row>
    <row r="448" spans="1:16" s="619" customFormat="1" ht="36" x14ac:dyDescent="0.2">
      <c r="A448" s="598" t="s">
        <v>1907</v>
      </c>
      <c r="B448" s="620" t="s">
        <v>1908</v>
      </c>
      <c r="C448" s="598" t="s">
        <v>2015</v>
      </c>
      <c r="D448" s="598" t="s">
        <v>2271</v>
      </c>
      <c r="E448" s="621">
        <v>2500</v>
      </c>
      <c r="F448" s="599">
        <v>40218195</v>
      </c>
      <c r="G448" s="598" t="s">
        <v>2656</v>
      </c>
      <c r="H448" s="598" t="s">
        <v>2657</v>
      </c>
      <c r="I448" s="598" t="s">
        <v>1912</v>
      </c>
      <c r="J448" s="617" t="s">
        <v>1913</v>
      </c>
      <c r="K448" s="598">
        <v>1</v>
      </c>
      <c r="L448" s="598">
        <v>3</v>
      </c>
      <c r="M448" s="621">
        <v>7500</v>
      </c>
      <c r="N448" s="598"/>
      <c r="O448" s="598"/>
      <c r="P448" s="618"/>
    </row>
    <row r="449" spans="1:16" s="619" customFormat="1" ht="24" x14ac:dyDescent="0.2">
      <c r="A449" s="598" t="s">
        <v>1907</v>
      </c>
      <c r="B449" s="620" t="s">
        <v>1908</v>
      </c>
      <c r="C449" s="598" t="s">
        <v>2015</v>
      </c>
      <c r="D449" s="598" t="s">
        <v>2318</v>
      </c>
      <c r="E449" s="621">
        <v>1200</v>
      </c>
      <c r="F449" s="599">
        <v>73503948</v>
      </c>
      <c r="G449" s="598" t="s">
        <v>2658</v>
      </c>
      <c r="H449" s="598"/>
      <c r="I449" s="598"/>
      <c r="J449" s="617"/>
      <c r="K449" s="598">
        <v>6</v>
      </c>
      <c r="L449" s="598">
        <v>10</v>
      </c>
      <c r="M449" s="621">
        <v>12000</v>
      </c>
      <c r="N449" s="598"/>
      <c r="O449" s="598"/>
      <c r="P449" s="618"/>
    </row>
    <row r="450" spans="1:16" s="619" customFormat="1" ht="36" x14ac:dyDescent="0.2">
      <c r="A450" s="598" t="s">
        <v>1907</v>
      </c>
      <c r="B450" s="620" t="s">
        <v>1908</v>
      </c>
      <c r="C450" s="598" t="s">
        <v>2015</v>
      </c>
      <c r="D450" s="598" t="s">
        <v>2242</v>
      </c>
      <c r="E450" s="621">
        <v>1500</v>
      </c>
      <c r="F450" s="599">
        <v>44428789</v>
      </c>
      <c r="G450" s="598" t="s">
        <v>2659</v>
      </c>
      <c r="H450" s="598" t="s">
        <v>2660</v>
      </c>
      <c r="I450" s="598" t="s">
        <v>1912</v>
      </c>
      <c r="J450" s="617" t="s">
        <v>1931</v>
      </c>
      <c r="K450" s="598">
        <v>4</v>
      </c>
      <c r="L450" s="598">
        <v>5</v>
      </c>
      <c r="M450" s="621">
        <v>7500</v>
      </c>
      <c r="N450" s="598"/>
      <c r="O450" s="598"/>
      <c r="P450" s="618"/>
    </row>
    <row r="451" spans="1:16" s="619" customFormat="1" ht="36" x14ac:dyDescent="0.2">
      <c r="A451" s="598" t="s">
        <v>1907</v>
      </c>
      <c r="B451" s="620" t="s">
        <v>1908</v>
      </c>
      <c r="C451" s="598" t="s">
        <v>2015</v>
      </c>
      <c r="D451" s="598" t="s">
        <v>2276</v>
      </c>
      <c r="E451" s="621">
        <v>1200</v>
      </c>
      <c r="F451" s="599">
        <v>33407064</v>
      </c>
      <c r="G451" s="598" t="s">
        <v>2661</v>
      </c>
      <c r="H451" s="598" t="s">
        <v>2662</v>
      </c>
      <c r="I451" s="598" t="s">
        <v>1912</v>
      </c>
      <c r="J451" s="617" t="s">
        <v>1913</v>
      </c>
      <c r="K451" s="598">
        <v>4</v>
      </c>
      <c r="L451" s="598">
        <v>7</v>
      </c>
      <c r="M451" s="621">
        <v>8400</v>
      </c>
      <c r="N451" s="598"/>
      <c r="O451" s="598"/>
      <c r="P451" s="618"/>
    </row>
    <row r="452" spans="1:16" s="619" customFormat="1" ht="24" x14ac:dyDescent="0.2">
      <c r="A452" s="598" t="s">
        <v>1907</v>
      </c>
      <c r="B452" s="620" t="s">
        <v>1908</v>
      </c>
      <c r="C452" s="598" t="s">
        <v>2015</v>
      </c>
      <c r="D452" s="598" t="s">
        <v>2242</v>
      </c>
      <c r="E452" s="621">
        <v>4700</v>
      </c>
      <c r="F452" s="599">
        <v>41431941</v>
      </c>
      <c r="G452" s="598" t="s">
        <v>2663</v>
      </c>
      <c r="H452" s="598" t="s">
        <v>1922</v>
      </c>
      <c r="I452" s="598" t="s">
        <v>1912</v>
      </c>
      <c r="J452" s="617" t="s">
        <v>1913</v>
      </c>
      <c r="K452" s="598">
        <v>1</v>
      </c>
      <c r="L452" s="598">
        <v>2</v>
      </c>
      <c r="M452" s="621">
        <v>9400</v>
      </c>
      <c r="N452" s="598"/>
      <c r="O452" s="598"/>
      <c r="P452" s="618"/>
    </row>
    <row r="453" spans="1:16" s="619" customFormat="1" ht="24" x14ac:dyDescent="0.2">
      <c r="A453" s="598" t="s">
        <v>1907</v>
      </c>
      <c r="B453" s="620" t="s">
        <v>1908</v>
      </c>
      <c r="C453" s="598" t="s">
        <v>2015</v>
      </c>
      <c r="D453" s="598" t="s">
        <v>2271</v>
      </c>
      <c r="E453" s="621">
        <v>2200</v>
      </c>
      <c r="F453" s="599">
        <v>70525463</v>
      </c>
      <c r="G453" s="598" t="s">
        <v>2664</v>
      </c>
      <c r="H453" s="598" t="s">
        <v>2079</v>
      </c>
      <c r="I453" s="598" t="s">
        <v>1912</v>
      </c>
      <c r="J453" s="617" t="s">
        <v>1913</v>
      </c>
      <c r="K453" s="598">
        <v>3</v>
      </c>
      <c r="L453" s="598">
        <v>7</v>
      </c>
      <c r="M453" s="621">
        <v>15400</v>
      </c>
      <c r="N453" s="598"/>
      <c r="O453" s="598"/>
      <c r="P453" s="618"/>
    </row>
    <row r="454" spans="1:16" s="619" customFormat="1" ht="24" x14ac:dyDescent="0.2">
      <c r="A454" s="598" t="s">
        <v>1907</v>
      </c>
      <c r="B454" s="620" t="s">
        <v>1908</v>
      </c>
      <c r="C454" s="598" t="s">
        <v>2015</v>
      </c>
      <c r="D454" s="598" t="s">
        <v>2354</v>
      </c>
      <c r="E454" s="621">
        <v>4000</v>
      </c>
      <c r="F454" s="599">
        <v>40637141</v>
      </c>
      <c r="G454" s="598" t="s">
        <v>2665</v>
      </c>
      <c r="H454" s="598" t="s">
        <v>2193</v>
      </c>
      <c r="I454" s="598" t="s">
        <v>1912</v>
      </c>
      <c r="J454" s="617" t="s">
        <v>1913</v>
      </c>
      <c r="K454" s="598">
        <v>3</v>
      </c>
      <c r="L454" s="598">
        <v>5</v>
      </c>
      <c r="M454" s="621">
        <v>20000</v>
      </c>
      <c r="N454" s="598"/>
      <c r="O454" s="598"/>
      <c r="P454" s="618"/>
    </row>
    <row r="455" spans="1:16" s="619" customFormat="1" ht="36" x14ac:dyDescent="0.2">
      <c r="A455" s="598" t="s">
        <v>1907</v>
      </c>
      <c r="B455" s="620" t="s">
        <v>1908</v>
      </c>
      <c r="C455" s="598" t="s">
        <v>2015</v>
      </c>
      <c r="D455" s="598" t="s">
        <v>2242</v>
      </c>
      <c r="E455" s="621">
        <v>1200</v>
      </c>
      <c r="F455" s="599">
        <v>47467696</v>
      </c>
      <c r="G455" s="598" t="s">
        <v>2666</v>
      </c>
      <c r="H455" s="598"/>
      <c r="I455" s="598"/>
      <c r="J455" s="617"/>
      <c r="K455" s="598">
        <v>6</v>
      </c>
      <c r="L455" s="598">
        <v>12</v>
      </c>
      <c r="M455" s="621">
        <v>14400</v>
      </c>
      <c r="N455" s="598"/>
      <c r="O455" s="598"/>
      <c r="P455" s="618"/>
    </row>
    <row r="456" spans="1:16" s="619" customFormat="1" ht="36" x14ac:dyDescent="0.2">
      <c r="A456" s="598" t="s">
        <v>1907</v>
      </c>
      <c r="B456" s="620" t="s">
        <v>1908</v>
      </c>
      <c r="C456" s="598" t="s">
        <v>2015</v>
      </c>
      <c r="D456" s="598" t="s">
        <v>2318</v>
      </c>
      <c r="E456" s="621">
        <v>1200</v>
      </c>
      <c r="F456" s="599">
        <v>74749241</v>
      </c>
      <c r="G456" s="598" t="s">
        <v>2667</v>
      </c>
      <c r="H456" s="598" t="s">
        <v>2518</v>
      </c>
      <c r="I456" s="598" t="s">
        <v>1912</v>
      </c>
      <c r="J456" s="617" t="s">
        <v>1913</v>
      </c>
      <c r="K456" s="598">
        <v>4</v>
      </c>
      <c r="L456" s="598">
        <v>6</v>
      </c>
      <c r="M456" s="621">
        <v>7200</v>
      </c>
      <c r="N456" s="598"/>
      <c r="O456" s="598"/>
      <c r="P456" s="618"/>
    </row>
    <row r="457" spans="1:16" s="619" customFormat="1" ht="36" x14ac:dyDescent="0.2">
      <c r="A457" s="598" t="s">
        <v>1907</v>
      </c>
      <c r="B457" s="620" t="s">
        <v>1908</v>
      </c>
      <c r="C457" s="598" t="s">
        <v>2015</v>
      </c>
      <c r="D457" s="598" t="s">
        <v>2522</v>
      </c>
      <c r="E457" s="621">
        <v>4800</v>
      </c>
      <c r="F457" s="599">
        <v>18101412</v>
      </c>
      <c r="G457" s="598" t="s">
        <v>2668</v>
      </c>
      <c r="H457" s="598" t="s">
        <v>2079</v>
      </c>
      <c r="I457" s="598" t="s">
        <v>1912</v>
      </c>
      <c r="J457" s="617" t="s">
        <v>1913</v>
      </c>
      <c r="K457" s="598">
        <v>4</v>
      </c>
      <c r="L457" s="598">
        <v>6</v>
      </c>
      <c r="M457" s="621">
        <v>28800</v>
      </c>
      <c r="N457" s="598"/>
      <c r="O457" s="598"/>
      <c r="P457" s="618"/>
    </row>
    <row r="458" spans="1:16" s="619" customFormat="1" ht="24" x14ac:dyDescent="0.2">
      <c r="A458" s="598" t="s">
        <v>1907</v>
      </c>
      <c r="B458" s="620" t="s">
        <v>1908</v>
      </c>
      <c r="C458" s="598" t="s">
        <v>2015</v>
      </c>
      <c r="D458" s="598" t="s">
        <v>2214</v>
      </c>
      <c r="E458" s="621">
        <v>3500</v>
      </c>
      <c r="F458" s="599">
        <v>72468290</v>
      </c>
      <c r="G458" s="598" t="s">
        <v>2669</v>
      </c>
      <c r="H458" s="598" t="s">
        <v>2079</v>
      </c>
      <c r="I458" s="598" t="s">
        <v>1912</v>
      </c>
      <c r="J458" s="617" t="s">
        <v>1913</v>
      </c>
      <c r="K458" s="598">
        <v>5</v>
      </c>
      <c r="L458" s="598">
        <v>9</v>
      </c>
      <c r="M458" s="621">
        <v>31500</v>
      </c>
      <c r="N458" s="598"/>
      <c r="O458" s="598"/>
      <c r="P458" s="618"/>
    </row>
    <row r="459" spans="1:16" s="619" customFormat="1" ht="36" x14ac:dyDescent="0.2">
      <c r="A459" s="598" t="s">
        <v>1907</v>
      </c>
      <c r="B459" s="620" t="s">
        <v>1908</v>
      </c>
      <c r="C459" s="598" t="s">
        <v>2015</v>
      </c>
      <c r="D459" s="598" t="s">
        <v>2670</v>
      </c>
      <c r="E459" s="621">
        <v>2000</v>
      </c>
      <c r="F459" s="599">
        <v>48332031</v>
      </c>
      <c r="G459" s="598" t="s">
        <v>2671</v>
      </c>
      <c r="H459" s="598" t="s">
        <v>2357</v>
      </c>
      <c r="I459" s="598" t="s">
        <v>1912</v>
      </c>
      <c r="J459" s="617" t="s">
        <v>1913</v>
      </c>
      <c r="K459" s="598">
        <v>6</v>
      </c>
      <c r="L459" s="598">
        <v>7</v>
      </c>
      <c r="M459" s="621">
        <v>14000</v>
      </c>
      <c r="N459" s="598"/>
      <c r="O459" s="598"/>
      <c r="P459" s="618"/>
    </row>
    <row r="460" spans="1:16" s="619" customFormat="1" ht="36" x14ac:dyDescent="0.2">
      <c r="A460" s="598" t="s">
        <v>1907</v>
      </c>
      <c r="B460" s="620" t="s">
        <v>1908</v>
      </c>
      <c r="C460" s="598" t="s">
        <v>2015</v>
      </c>
      <c r="D460" s="598" t="s">
        <v>2271</v>
      </c>
      <c r="E460" s="621">
        <v>2500</v>
      </c>
      <c r="F460" s="599">
        <v>10747759</v>
      </c>
      <c r="G460" s="598" t="s">
        <v>2672</v>
      </c>
      <c r="H460" s="598" t="s">
        <v>2673</v>
      </c>
      <c r="I460" s="598" t="s">
        <v>1912</v>
      </c>
      <c r="J460" s="617" t="s">
        <v>1913</v>
      </c>
      <c r="K460" s="598">
        <v>1</v>
      </c>
      <c r="L460" s="598">
        <v>3</v>
      </c>
      <c r="M460" s="621">
        <v>7500</v>
      </c>
      <c r="N460" s="598"/>
      <c r="O460" s="598"/>
      <c r="P460" s="618"/>
    </row>
    <row r="461" spans="1:16" s="619" customFormat="1" ht="36" x14ac:dyDescent="0.2">
      <c r="A461" s="598" t="s">
        <v>1907</v>
      </c>
      <c r="B461" s="620" t="s">
        <v>1908</v>
      </c>
      <c r="C461" s="598" t="s">
        <v>2015</v>
      </c>
      <c r="D461" s="598" t="s">
        <v>2609</v>
      </c>
      <c r="E461" s="621">
        <v>2250</v>
      </c>
      <c r="F461" s="599">
        <v>41475806</v>
      </c>
      <c r="G461" s="598" t="s">
        <v>2674</v>
      </c>
      <c r="H461" s="598" t="s">
        <v>2675</v>
      </c>
      <c r="I461" s="598" t="s">
        <v>1912</v>
      </c>
      <c r="J461" s="617" t="s">
        <v>1913</v>
      </c>
      <c r="K461" s="598">
        <v>1</v>
      </c>
      <c r="L461" s="598">
        <v>2</v>
      </c>
      <c r="M461" s="621">
        <v>4500</v>
      </c>
      <c r="N461" s="598"/>
      <c r="O461" s="598"/>
      <c r="P461" s="618"/>
    </row>
    <row r="462" spans="1:16" s="619" customFormat="1" ht="36" x14ac:dyDescent="0.2">
      <c r="A462" s="598" t="s">
        <v>1907</v>
      </c>
      <c r="B462" s="620" t="s">
        <v>1908</v>
      </c>
      <c r="C462" s="598" t="s">
        <v>2015</v>
      </c>
      <c r="D462" s="598" t="s">
        <v>2609</v>
      </c>
      <c r="E462" s="621">
        <v>2250</v>
      </c>
      <c r="F462" s="599">
        <v>46268216</v>
      </c>
      <c r="G462" s="598" t="s">
        <v>2676</v>
      </c>
      <c r="H462" s="598" t="s">
        <v>2677</v>
      </c>
      <c r="I462" s="598" t="s">
        <v>1912</v>
      </c>
      <c r="J462" s="617" t="s">
        <v>1913</v>
      </c>
      <c r="K462" s="598">
        <v>1</v>
      </c>
      <c r="L462" s="598">
        <v>2</v>
      </c>
      <c r="M462" s="621">
        <v>4500</v>
      </c>
      <c r="N462" s="598"/>
      <c r="O462" s="598"/>
      <c r="P462" s="618"/>
    </row>
    <row r="463" spans="1:16" s="619" customFormat="1" ht="36" x14ac:dyDescent="0.2">
      <c r="A463" s="598" t="s">
        <v>1907</v>
      </c>
      <c r="B463" s="620" t="s">
        <v>1908</v>
      </c>
      <c r="C463" s="598" t="s">
        <v>2015</v>
      </c>
      <c r="D463" s="598" t="s">
        <v>2609</v>
      </c>
      <c r="E463" s="621">
        <v>2250</v>
      </c>
      <c r="F463" s="599">
        <v>4305972</v>
      </c>
      <c r="G463" s="598" t="s">
        <v>2678</v>
      </c>
      <c r="H463" s="598" t="s">
        <v>2679</v>
      </c>
      <c r="I463" s="598" t="s">
        <v>1912</v>
      </c>
      <c r="J463" s="617" t="s">
        <v>1913</v>
      </c>
      <c r="K463" s="598">
        <v>1</v>
      </c>
      <c r="L463" s="598">
        <v>2</v>
      </c>
      <c r="M463" s="621">
        <v>4500</v>
      </c>
      <c r="N463" s="598"/>
      <c r="O463" s="598"/>
      <c r="P463" s="618"/>
    </row>
    <row r="464" spans="1:16" s="619" customFormat="1" ht="36" x14ac:dyDescent="0.2">
      <c r="A464" s="598" t="s">
        <v>1907</v>
      </c>
      <c r="B464" s="620" t="s">
        <v>1908</v>
      </c>
      <c r="C464" s="598" t="s">
        <v>2015</v>
      </c>
      <c r="D464" s="598" t="s">
        <v>2609</v>
      </c>
      <c r="E464" s="621">
        <v>2250</v>
      </c>
      <c r="F464" s="599">
        <v>44685902</v>
      </c>
      <c r="G464" s="598" t="s">
        <v>2680</v>
      </c>
      <c r="H464" s="598"/>
      <c r="I464" s="598"/>
      <c r="J464" s="617"/>
      <c r="K464" s="598">
        <v>1</v>
      </c>
      <c r="L464" s="598">
        <v>2</v>
      </c>
      <c r="M464" s="621">
        <v>4500</v>
      </c>
      <c r="N464" s="598"/>
      <c r="O464" s="598"/>
      <c r="P464" s="618"/>
    </row>
    <row r="465" spans="1:16" s="619" customFormat="1" ht="36" x14ac:dyDescent="0.2">
      <c r="A465" s="598" t="s">
        <v>1907</v>
      </c>
      <c r="B465" s="620" t="s">
        <v>1908</v>
      </c>
      <c r="C465" s="598" t="s">
        <v>2015</v>
      </c>
      <c r="D465" s="598" t="s">
        <v>2097</v>
      </c>
      <c r="E465" s="621">
        <v>1100</v>
      </c>
      <c r="F465" s="599">
        <v>45921175</v>
      </c>
      <c r="G465" s="598" t="s">
        <v>2681</v>
      </c>
      <c r="H465" s="598"/>
      <c r="I465" s="598"/>
      <c r="J465" s="617"/>
      <c r="K465" s="598">
        <v>6</v>
      </c>
      <c r="L465" s="598">
        <v>6</v>
      </c>
      <c r="M465" s="621">
        <v>6600</v>
      </c>
      <c r="N465" s="598"/>
      <c r="O465" s="598"/>
      <c r="P465" s="618"/>
    </row>
    <row r="466" spans="1:16" s="619" customFormat="1" ht="36" x14ac:dyDescent="0.2">
      <c r="A466" s="598" t="s">
        <v>1907</v>
      </c>
      <c r="B466" s="620" t="s">
        <v>1908</v>
      </c>
      <c r="C466" s="598" t="s">
        <v>2015</v>
      </c>
      <c r="D466" s="598" t="s">
        <v>2091</v>
      </c>
      <c r="E466" s="621">
        <v>5000</v>
      </c>
      <c r="F466" s="599">
        <v>47476957</v>
      </c>
      <c r="G466" s="598" t="s">
        <v>2682</v>
      </c>
      <c r="H466" s="598" t="s">
        <v>2038</v>
      </c>
      <c r="I466" s="598" t="s">
        <v>1912</v>
      </c>
      <c r="J466" s="617" t="s">
        <v>1913</v>
      </c>
      <c r="K466" s="598">
        <v>1</v>
      </c>
      <c r="L466" s="598">
        <v>4</v>
      </c>
      <c r="M466" s="621">
        <v>20000</v>
      </c>
      <c r="N466" s="598"/>
      <c r="O466" s="598"/>
      <c r="P466" s="618"/>
    </row>
    <row r="467" spans="1:16" s="619" customFormat="1" ht="24" x14ac:dyDescent="0.2">
      <c r="A467" s="598" t="s">
        <v>1907</v>
      </c>
      <c r="B467" s="620" t="s">
        <v>1908</v>
      </c>
      <c r="C467" s="598" t="s">
        <v>2015</v>
      </c>
      <c r="D467" s="598" t="s">
        <v>2276</v>
      </c>
      <c r="E467" s="621">
        <v>1200</v>
      </c>
      <c r="F467" s="599"/>
      <c r="G467" s="598" t="s">
        <v>2683</v>
      </c>
      <c r="H467" s="598"/>
      <c r="I467" s="598"/>
      <c r="J467" s="617"/>
      <c r="K467" s="598">
        <v>4</v>
      </c>
      <c r="L467" s="598">
        <v>6</v>
      </c>
      <c r="M467" s="621">
        <v>7200</v>
      </c>
      <c r="N467" s="598"/>
      <c r="O467" s="598"/>
      <c r="P467" s="618"/>
    </row>
    <row r="468" spans="1:16" s="619" customFormat="1" ht="36" x14ac:dyDescent="0.2">
      <c r="A468" s="598" t="s">
        <v>1907</v>
      </c>
      <c r="B468" s="620" t="s">
        <v>1908</v>
      </c>
      <c r="C468" s="598" t="s">
        <v>2015</v>
      </c>
      <c r="D468" s="598" t="s">
        <v>2354</v>
      </c>
      <c r="E468" s="621">
        <v>1100</v>
      </c>
      <c r="F468" s="599">
        <v>41818849</v>
      </c>
      <c r="G468" s="598" t="s">
        <v>2684</v>
      </c>
      <c r="H468" s="598"/>
      <c r="I468" s="598"/>
      <c r="J468" s="617"/>
      <c r="K468" s="598">
        <v>4</v>
      </c>
      <c r="L468" s="598">
        <v>5</v>
      </c>
      <c r="M468" s="621">
        <v>5500</v>
      </c>
      <c r="N468" s="598"/>
      <c r="O468" s="598"/>
      <c r="P468" s="618"/>
    </row>
    <row r="469" spans="1:16" s="619" customFormat="1" ht="36" x14ac:dyDescent="0.2">
      <c r="A469" s="598" t="s">
        <v>1907</v>
      </c>
      <c r="B469" s="620" t="s">
        <v>1908</v>
      </c>
      <c r="C469" s="598" t="s">
        <v>2015</v>
      </c>
      <c r="D469" s="598" t="s">
        <v>2334</v>
      </c>
      <c r="E469" s="621">
        <v>7500</v>
      </c>
      <c r="F469" s="599">
        <v>42577913</v>
      </c>
      <c r="G469" s="598" t="s">
        <v>2685</v>
      </c>
      <c r="H469" s="598" t="s">
        <v>2079</v>
      </c>
      <c r="I469" s="598" t="s">
        <v>1912</v>
      </c>
      <c r="J469" s="617" t="s">
        <v>1913</v>
      </c>
      <c r="K469" s="598">
        <v>5</v>
      </c>
      <c r="L469" s="598">
        <v>8</v>
      </c>
      <c r="M469" s="621">
        <v>60000</v>
      </c>
      <c r="N469" s="598"/>
      <c r="O469" s="598"/>
      <c r="P469" s="618"/>
    </row>
    <row r="470" spans="1:16" s="619" customFormat="1" ht="36" x14ac:dyDescent="0.2">
      <c r="A470" s="598" t="s">
        <v>1907</v>
      </c>
      <c r="B470" s="620" t="s">
        <v>1908</v>
      </c>
      <c r="C470" s="598" t="s">
        <v>2015</v>
      </c>
      <c r="D470" s="598" t="s">
        <v>2686</v>
      </c>
      <c r="E470" s="621">
        <v>5000</v>
      </c>
      <c r="F470" s="599">
        <v>46008422</v>
      </c>
      <c r="G470" s="598" t="s">
        <v>2687</v>
      </c>
      <c r="H470" s="598"/>
      <c r="I470" s="598"/>
      <c r="J470" s="617"/>
      <c r="K470" s="598">
        <v>6</v>
      </c>
      <c r="L470" s="598">
        <v>9</v>
      </c>
      <c r="M470" s="621">
        <v>45000</v>
      </c>
      <c r="N470" s="598"/>
      <c r="O470" s="598"/>
      <c r="P470" s="618"/>
    </row>
    <row r="471" spans="1:16" s="619" customFormat="1" ht="36" x14ac:dyDescent="0.2">
      <c r="A471" s="598" t="s">
        <v>1907</v>
      </c>
      <c r="B471" s="620" t="s">
        <v>2050</v>
      </c>
      <c r="C471" s="598" t="s">
        <v>2015</v>
      </c>
      <c r="D471" s="598" t="s">
        <v>2688</v>
      </c>
      <c r="E471" s="621">
        <v>4700</v>
      </c>
      <c r="F471" s="599">
        <v>41480671</v>
      </c>
      <c r="G471" s="598" t="s">
        <v>2689</v>
      </c>
      <c r="H471" s="598" t="s">
        <v>2182</v>
      </c>
      <c r="I471" s="598" t="s">
        <v>1912</v>
      </c>
      <c r="J471" s="617" t="s">
        <v>1913</v>
      </c>
      <c r="K471" s="598">
        <v>1</v>
      </c>
      <c r="L471" s="598">
        <v>2</v>
      </c>
      <c r="M471" s="621">
        <v>9400</v>
      </c>
      <c r="N471" s="598"/>
      <c r="O471" s="598"/>
      <c r="P471" s="618"/>
    </row>
    <row r="472" spans="1:16" s="619" customFormat="1" ht="24" x14ac:dyDescent="0.2">
      <c r="A472" s="598" t="s">
        <v>1907</v>
      </c>
      <c r="B472" s="620" t="s">
        <v>1908</v>
      </c>
      <c r="C472" s="598" t="s">
        <v>2015</v>
      </c>
      <c r="D472" s="598" t="s">
        <v>2354</v>
      </c>
      <c r="E472" s="621">
        <v>3500</v>
      </c>
      <c r="F472" s="599">
        <v>70034421</v>
      </c>
      <c r="G472" s="598" t="s">
        <v>2690</v>
      </c>
      <c r="H472" s="598"/>
      <c r="I472" s="598"/>
      <c r="J472" s="617"/>
      <c r="K472" s="598">
        <v>1</v>
      </c>
      <c r="L472" s="598">
        <v>2</v>
      </c>
      <c r="M472" s="621">
        <v>7000</v>
      </c>
      <c r="N472" s="598"/>
      <c r="O472" s="598"/>
      <c r="P472" s="618"/>
    </row>
    <row r="473" spans="1:16" s="619" customFormat="1" ht="36" x14ac:dyDescent="0.2">
      <c r="A473" s="598" t="s">
        <v>1907</v>
      </c>
      <c r="B473" s="620" t="s">
        <v>2050</v>
      </c>
      <c r="C473" s="598" t="s">
        <v>2015</v>
      </c>
      <c r="D473" s="598" t="s">
        <v>2276</v>
      </c>
      <c r="E473" s="621">
        <v>3000</v>
      </c>
      <c r="F473" s="599">
        <v>43004250</v>
      </c>
      <c r="G473" s="598" t="s">
        <v>2691</v>
      </c>
      <c r="H473" s="598" t="s">
        <v>2692</v>
      </c>
      <c r="I473" s="598" t="s">
        <v>1912</v>
      </c>
      <c r="J473" s="617" t="s">
        <v>1913</v>
      </c>
      <c r="K473" s="598">
        <v>6</v>
      </c>
      <c r="L473" s="598">
        <v>7</v>
      </c>
      <c r="M473" s="621">
        <v>21000</v>
      </c>
      <c r="N473" s="598"/>
      <c r="O473" s="598"/>
      <c r="P473" s="618"/>
    </row>
    <row r="474" spans="1:16" s="619" customFormat="1" ht="36" x14ac:dyDescent="0.2">
      <c r="A474" s="598" t="s">
        <v>1907</v>
      </c>
      <c r="B474" s="620" t="s">
        <v>1908</v>
      </c>
      <c r="C474" s="598" t="s">
        <v>2015</v>
      </c>
      <c r="D474" s="598" t="s">
        <v>2276</v>
      </c>
      <c r="E474" s="621">
        <v>1800</v>
      </c>
      <c r="F474" s="599">
        <v>27754591</v>
      </c>
      <c r="G474" s="598" t="s">
        <v>2693</v>
      </c>
      <c r="H474" s="598" t="s">
        <v>2694</v>
      </c>
      <c r="I474" s="598" t="s">
        <v>1912</v>
      </c>
      <c r="J474" s="617" t="s">
        <v>1913</v>
      </c>
      <c r="K474" s="598">
        <v>4</v>
      </c>
      <c r="L474" s="598">
        <v>6</v>
      </c>
      <c r="M474" s="621">
        <v>10800</v>
      </c>
      <c r="N474" s="598"/>
      <c r="O474" s="598"/>
      <c r="P474" s="618"/>
    </row>
    <row r="475" spans="1:16" s="619" customFormat="1" ht="36" x14ac:dyDescent="0.2">
      <c r="A475" s="598" t="s">
        <v>1907</v>
      </c>
      <c r="B475" s="620" t="s">
        <v>2275</v>
      </c>
      <c r="C475" s="598" t="s">
        <v>2015</v>
      </c>
      <c r="D475" s="598" t="s">
        <v>2480</v>
      </c>
      <c r="E475" s="621">
        <v>1500</v>
      </c>
      <c r="F475" s="599">
        <v>71088000</v>
      </c>
      <c r="G475" s="598" t="s">
        <v>2695</v>
      </c>
      <c r="H475" s="598"/>
      <c r="I475" s="598"/>
      <c r="J475" s="617"/>
      <c r="K475" s="598">
        <v>3</v>
      </c>
      <c r="L475" s="598">
        <v>8</v>
      </c>
      <c r="M475" s="621">
        <v>12000</v>
      </c>
      <c r="N475" s="598"/>
      <c r="O475" s="598"/>
      <c r="P475" s="618"/>
    </row>
    <row r="476" spans="1:16" s="619" customFormat="1" ht="48" x14ac:dyDescent="0.2">
      <c r="A476" s="598" t="s">
        <v>1907</v>
      </c>
      <c r="B476" s="620" t="s">
        <v>2032</v>
      </c>
      <c r="C476" s="598" t="s">
        <v>2015</v>
      </c>
      <c r="D476" s="598" t="s">
        <v>2427</v>
      </c>
      <c r="E476" s="621">
        <v>3000</v>
      </c>
      <c r="F476" s="599">
        <v>47532936</v>
      </c>
      <c r="G476" s="598" t="s">
        <v>2696</v>
      </c>
      <c r="H476" s="598" t="s">
        <v>1993</v>
      </c>
      <c r="I476" s="598" t="s">
        <v>1912</v>
      </c>
      <c r="J476" s="617" t="s">
        <v>1913</v>
      </c>
      <c r="K476" s="598">
        <v>7</v>
      </c>
      <c r="L476" s="598">
        <v>11</v>
      </c>
      <c r="M476" s="621">
        <v>33000</v>
      </c>
      <c r="N476" s="598"/>
      <c r="O476" s="598"/>
      <c r="P476" s="618"/>
    </row>
    <row r="477" spans="1:16" s="619" customFormat="1" ht="36" x14ac:dyDescent="0.2">
      <c r="A477" s="598" t="s">
        <v>1907</v>
      </c>
      <c r="B477" s="620" t="s">
        <v>1908</v>
      </c>
      <c r="C477" s="598" t="s">
        <v>2015</v>
      </c>
      <c r="D477" s="598" t="s">
        <v>2276</v>
      </c>
      <c r="E477" s="621">
        <v>1200</v>
      </c>
      <c r="F477" s="599">
        <v>47477816</v>
      </c>
      <c r="G477" s="598" t="s">
        <v>2697</v>
      </c>
      <c r="H477" s="598" t="s">
        <v>2698</v>
      </c>
      <c r="I477" s="598" t="s">
        <v>1912</v>
      </c>
      <c r="J477" s="617" t="s">
        <v>1931</v>
      </c>
      <c r="K477" s="598">
        <v>1</v>
      </c>
      <c r="L477" s="598">
        <v>2</v>
      </c>
      <c r="M477" s="621">
        <v>2400</v>
      </c>
      <c r="N477" s="598"/>
      <c r="O477" s="598"/>
      <c r="P477" s="618"/>
    </row>
    <row r="478" spans="1:16" s="619" customFormat="1" ht="36" x14ac:dyDescent="0.2">
      <c r="A478" s="598" t="s">
        <v>1907</v>
      </c>
      <c r="B478" s="620" t="s">
        <v>1908</v>
      </c>
      <c r="C478" s="598" t="s">
        <v>2015</v>
      </c>
      <c r="D478" s="598" t="s">
        <v>2276</v>
      </c>
      <c r="E478" s="621">
        <v>2200</v>
      </c>
      <c r="F478" s="599">
        <v>48382756</v>
      </c>
      <c r="G478" s="598" t="s">
        <v>2699</v>
      </c>
      <c r="H478" s="598" t="s">
        <v>2692</v>
      </c>
      <c r="I478" s="598" t="s">
        <v>1912</v>
      </c>
      <c r="J478" s="617" t="s">
        <v>1913</v>
      </c>
      <c r="K478" s="598">
        <v>6</v>
      </c>
      <c r="L478" s="598">
        <v>7</v>
      </c>
      <c r="M478" s="621">
        <v>15400</v>
      </c>
      <c r="N478" s="598"/>
      <c r="O478" s="598"/>
      <c r="P478" s="618"/>
    </row>
    <row r="479" spans="1:16" s="619" customFormat="1" ht="36" x14ac:dyDescent="0.2">
      <c r="A479" s="598" t="s">
        <v>1907</v>
      </c>
      <c r="B479" s="620" t="s">
        <v>2050</v>
      </c>
      <c r="C479" s="598" t="s">
        <v>2015</v>
      </c>
      <c r="D479" s="598" t="s">
        <v>2276</v>
      </c>
      <c r="E479" s="621">
        <v>1800</v>
      </c>
      <c r="F479" s="599">
        <v>43113061</v>
      </c>
      <c r="G479" s="598" t="s">
        <v>2700</v>
      </c>
      <c r="H479" s="598" t="s">
        <v>2694</v>
      </c>
      <c r="I479" s="598" t="s">
        <v>1912</v>
      </c>
      <c r="J479" s="617" t="s">
        <v>1913</v>
      </c>
      <c r="K479" s="598">
        <v>5</v>
      </c>
      <c r="L479" s="598">
        <v>6</v>
      </c>
      <c r="M479" s="621">
        <v>10800</v>
      </c>
      <c r="N479" s="598"/>
      <c r="O479" s="598"/>
      <c r="P479" s="618"/>
    </row>
    <row r="480" spans="1:16" s="619" customFormat="1" ht="36" x14ac:dyDescent="0.2">
      <c r="A480" s="598" t="s">
        <v>1907</v>
      </c>
      <c r="B480" s="620" t="s">
        <v>2050</v>
      </c>
      <c r="C480" s="598" t="s">
        <v>2015</v>
      </c>
      <c r="D480" s="598" t="s">
        <v>2242</v>
      </c>
      <c r="E480" s="621">
        <v>3000</v>
      </c>
      <c r="F480" s="599">
        <v>46449406</v>
      </c>
      <c r="G480" s="598" t="s">
        <v>2701</v>
      </c>
      <c r="H480" s="598" t="s">
        <v>1922</v>
      </c>
      <c r="I480" s="598" t="s">
        <v>1912</v>
      </c>
      <c r="J480" s="617" t="s">
        <v>1913</v>
      </c>
      <c r="K480" s="598">
        <v>7</v>
      </c>
      <c r="L480" s="598">
        <v>8</v>
      </c>
      <c r="M480" s="621">
        <v>24000</v>
      </c>
      <c r="N480" s="598"/>
      <c r="O480" s="598"/>
      <c r="P480" s="618"/>
    </row>
    <row r="481" spans="1:16" s="619" customFormat="1" ht="24" x14ac:dyDescent="0.2">
      <c r="A481" s="598" t="s">
        <v>1907</v>
      </c>
      <c r="B481" s="620" t="s">
        <v>1908</v>
      </c>
      <c r="C481" s="598" t="s">
        <v>2015</v>
      </c>
      <c r="D481" s="598" t="s">
        <v>2139</v>
      </c>
      <c r="E481" s="621">
        <v>4500</v>
      </c>
      <c r="F481" s="599">
        <v>16481441</v>
      </c>
      <c r="G481" s="598" t="s">
        <v>2702</v>
      </c>
      <c r="H481" s="598" t="s">
        <v>1911</v>
      </c>
      <c r="I481" s="598" t="s">
        <v>1912</v>
      </c>
      <c r="J481" s="617" t="s">
        <v>1913</v>
      </c>
      <c r="K481" s="598">
        <v>5</v>
      </c>
      <c r="L481" s="598">
        <v>8</v>
      </c>
      <c r="M481" s="621">
        <v>36000</v>
      </c>
      <c r="N481" s="598"/>
      <c r="O481" s="598"/>
      <c r="P481" s="618"/>
    </row>
    <row r="482" spans="1:16" s="619" customFormat="1" ht="36" x14ac:dyDescent="0.2">
      <c r="A482" s="598" t="s">
        <v>1907</v>
      </c>
      <c r="B482" s="620" t="s">
        <v>1908</v>
      </c>
      <c r="C482" s="598" t="s">
        <v>2015</v>
      </c>
      <c r="D482" s="598" t="s">
        <v>2271</v>
      </c>
      <c r="E482" s="621">
        <v>1320</v>
      </c>
      <c r="F482" s="599">
        <v>48088410</v>
      </c>
      <c r="G482" s="598" t="s">
        <v>2703</v>
      </c>
      <c r="H482" s="598" t="s">
        <v>2704</v>
      </c>
      <c r="I482" s="598" t="s">
        <v>1912</v>
      </c>
      <c r="J482" s="617" t="s">
        <v>1913</v>
      </c>
      <c r="K482" s="598">
        <v>1</v>
      </c>
      <c r="L482" s="598">
        <v>1</v>
      </c>
      <c r="M482" s="621">
        <v>1320</v>
      </c>
      <c r="N482" s="598"/>
      <c r="O482" s="598"/>
      <c r="P482" s="618"/>
    </row>
    <row r="483" spans="1:16" s="619" customFormat="1" ht="36" x14ac:dyDescent="0.2">
      <c r="A483" s="598" t="s">
        <v>1907</v>
      </c>
      <c r="B483" s="620" t="s">
        <v>1908</v>
      </c>
      <c r="C483" s="598" t="s">
        <v>2015</v>
      </c>
      <c r="D483" s="598" t="s">
        <v>2480</v>
      </c>
      <c r="E483" s="621">
        <v>1500</v>
      </c>
      <c r="F483" s="599">
        <v>40402644</v>
      </c>
      <c r="G483" s="598" t="s">
        <v>2705</v>
      </c>
      <c r="H483" s="598" t="s">
        <v>2036</v>
      </c>
      <c r="I483" s="598" t="s">
        <v>1912</v>
      </c>
      <c r="J483" s="617" t="s">
        <v>1931</v>
      </c>
      <c r="K483" s="598">
        <v>1</v>
      </c>
      <c r="L483" s="598">
        <v>3</v>
      </c>
      <c r="M483" s="621">
        <v>4500</v>
      </c>
      <c r="N483" s="598"/>
      <c r="O483" s="598"/>
      <c r="P483" s="618"/>
    </row>
    <row r="484" spans="1:16" s="619" customFormat="1" ht="36" x14ac:dyDescent="0.2">
      <c r="A484" s="598" t="s">
        <v>1907</v>
      </c>
      <c r="B484" s="620" t="s">
        <v>1908</v>
      </c>
      <c r="C484" s="598" t="s">
        <v>2015</v>
      </c>
      <c r="D484" s="598" t="s">
        <v>2221</v>
      </c>
      <c r="E484" s="621">
        <v>2000</v>
      </c>
      <c r="F484" s="599">
        <v>47679684</v>
      </c>
      <c r="G484" s="598" t="s">
        <v>2706</v>
      </c>
      <c r="H484" s="598" t="s">
        <v>2161</v>
      </c>
      <c r="I484" s="598" t="s">
        <v>1912</v>
      </c>
      <c r="J484" s="617" t="s">
        <v>1913</v>
      </c>
      <c r="K484" s="598">
        <v>1</v>
      </c>
      <c r="L484" s="598">
        <v>3</v>
      </c>
      <c r="M484" s="621">
        <v>6000</v>
      </c>
      <c r="N484" s="598"/>
      <c r="O484" s="598"/>
      <c r="P484" s="618"/>
    </row>
    <row r="485" spans="1:16" s="619" customFormat="1" ht="24" x14ac:dyDescent="0.2">
      <c r="A485" s="598" t="s">
        <v>1907</v>
      </c>
      <c r="B485" s="620" t="s">
        <v>1908</v>
      </c>
      <c r="C485" s="598" t="s">
        <v>2015</v>
      </c>
      <c r="D485" s="598" t="s">
        <v>2334</v>
      </c>
      <c r="E485" s="621">
        <v>5000</v>
      </c>
      <c r="F485" s="599">
        <v>40368714</v>
      </c>
      <c r="G485" s="598" t="s">
        <v>2707</v>
      </c>
      <c r="H485" s="598" t="s">
        <v>1954</v>
      </c>
      <c r="I485" s="598" t="s">
        <v>1912</v>
      </c>
      <c r="J485" s="617" t="s">
        <v>1913</v>
      </c>
      <c r="K485" s="598">
        <v>5</v>
      </c>
      <c r="L485" s="598">
        <v>9</v>
      </c>
      <c r="M485" s="621">
        <v>45000</v>
      </c>
      <c r="N485" s="598"/>
      <c r="O485" s="598"/>
      <c r="P485" s="618"/>
    </row>
    <row r="486" spans="1:16" s="619" customFormat="1" ht="48" x14ac:dyDescent="0.2">
      <c r="A486" s="598" t="s">
        <v>1907</v>
      </c>
      <c r="B486" s="620" t="s">
        <v>2073</v>
      </c>
      <c r="C486" s="598" t="s">
        <v>2015</v>
      </c>
      <c r="D486" s="598" t="s">
        <v>2584</v>
      </c>
      <c r="E486" s="621">
        <v>3500</v>
      </c>
      <c r="F486" s="599">
        <v>71073167</v>
      </c>
      <c r="G486" s="598" t="s">
        <v>2708</v>
      </c>
      <c r="H486" s="598" t="s">
        <v>2193</v>
      </c>
      <c r="I486" s="598" t="s">
        <v>1912</v>
      </c>
      <c r="J486" s="617" t="s">
        <v>1913</v>
      </c>
      <c r="K486" s="598">
        <v>3</v>
      </c>
      <c r="L486" s="598">
        <v>6</v>
      </c>
      <c r="M486" s="621">
        <v>21000</v>
      </c>
      <c r="N486" s="598"/>
      <c r="O486" s="598"/>
      <c r="P486" s="618"/>
    </row>
    <row r="487" spans="1:16" s="619" customFormat="1" ht="48" x14ac:dyDescent="0.2">
      <c r="A487" s="598" t="s">
        <v>1907</v>
      </c>
      <c r="B487" s="620" t="s">
        <v>2073</v>
      </c>
      <c r="C487" s="598" t="s">
        <v>2015</v>
      </c>
      <c r="D487" s="598" t="s">
        <v>2334</v>
      </c>
      <c r="E487" s="621">
        <v>2200</v>
      </c>
      <c r="F487" s="599">
        <v>73981060</v>
      </c>
      <c r="G487" s="598" t="s">
        <v>2709</v>
      </c>
      <c r="H487" s="598" t="s">
        <v>2079</v>
      </c>
      <c r="I487" s="598" t="s">
        <v>1912</v>
      </c>
      <c r="J487" s="617" t="s">
        <v>1913</v>
      </c>
      <c r="K487" s="598">
        <v>2</v>
      </c>
      <c r="L487" s="598">
        <v>4</v>
      </c>
      <c r="M487" s="621">
        <v>8800</v>
      </c>
      <c r="N487" s="598"/>
      <c r="O487" s="598"/>
      <c r="P487" s="618"/>
    </row>
    <row r="488" spans="1:16" s="619" customFormat="1" ht="24" x14ac:dyDescent="0.2">
      <c r="A488" s="598" t="s">
        <v>1907</v>
      </c>
      <c r="B488" s="620" t="s">
        <v>1908</v>
      </c>
      <c r="C488" s="598" t="s">
        <v>2015</v>
      </c>
      <c r="D488" s="598" t="s">
        <v>2522</v>
      </c>
      <c r="E488" s="621">
        <v>4000</v>
      </c>
      <c r="F488" s="599">
        <v>70982847</v>
      </c>
      <c r="G488" s="598" t="s">
        <v>2710</v>
      </c>
      <c r="H488" s="598" t="s">
        <v>2472</v>
      </c>
      <c r="I488" s="598" t="s">
        <v>1912</v>
      </c>
      <c r="J488" s="617" t="s">
        <v>1913</v>
      </c>
      <c r="K488" s="598">
        <v>4</v>
      </c>
      <c r="L488" s="598">
        <v>7</v>
      </c>
      <c r="M488" s="621">
        <v>28000</v>
      </c>
      <c r="N488" s="598"/>
      <c r="O488" s="598"/>
      <c r="P488" s="618"/>
    </row>
    <row r="489" spans="1:16" s="619" customFormat="1" ht="24" x14ac:dyDescent="0.2">
      <c r="A489" s="598" t="s">
        <v>1907</v>
      </c>
      <c r="B489" s="620" t="s">
        <v>1908</v>
      </c>
      <c r="C489" s="598" t="s">
        <v>2015</v>
      </c>
      <c r="D489" s="598" t="s">
        <v>2711</v>
      </c>
      <c r="E489" s="621">
        <v>1200</v>
      </c>
      <c r="F489" s="599">
        <v>47634636</v>
      </c>
      <c r="G489" s="598" t="s">
        <v>2712</v>
      </c>
      <c r="H489" s="598"/>
      <c r="I489" s="598"/>
      <c r="J489" s="617"/>
      <c r="K489" s="598">
        <v>4</v>
      </c>
      <c r="L489" s="598">
        <v>7</v>
      </c>
      <c r="M489" s="621">
        <v>8400</v>
      </c>
      <c r="N489" s="598"/>
      <c r="O489" s="598"/>
      <c r="P489" s="618"/>
    </row>
    <row r="490" spans="1:16" s="619" customFormat="1" ht="36" x14ac:dyDescent="0.2">
      <c r="A490" s="598" t="s">
        <v>1907</v>
      </c>
      <c r="B490" s="620" t="s">
        <v>1908</v>
      </c>
      <c r="C490" s="598" t="s">
        <v>2015</v>
      </c>
      <c r="D490" s="598" t="s">
        <v>2711</v>
      </c>
      <c r="E490" s="621">
        <v>1200</v>
      </c>
      <c r="F490" s="599">
        <v>48039396</v>
      </c>
      <c r="G490" s="598" t="s">
        <v>2713</v>
      </c>
      <c r="H490" s="598"/>
      <c r="I490" s="598"/>
      <c r="J490" s="617"/>
      <c r="K490" s="598">
        <v>2</v>
      </c>
      <c r="L490" s="598">
        <v>4</v>
      </c>
      <c r="M490" s="621">
        <v>4800</v>
      </c>
      <c r="N490" s="598"/>
      <c r="O490" s="598"/>
      <c r="P490" s="618"/>
    </row>
    <row r="491" spans="1:16" s="619" customFormat="1" ht="36" x14ac:dyDescent="0.2">
      <c r="A491" s="598" t="s">
        <v>1907</v>
      </c>
      <c r="B491" s="620" t="s">
        <v>1908</v>
      </c>
      <c r="C491" s="598" t="s">
        <v>2015</v>
      </c>
      <c r="D491" s="598" t="s">
        <v>2221</v>
      </c>
      <c r="E491" s="621">
        <v>2000</v>
      </c>
      <c r="F491" s="599">
        <v>42130635</v>
      </c>
      <c r="G491" s="598" t="s">
        <v>2714</v>
      </c>
      <c r="H491" s="598" t="s">
        <v>2263</v>
      </c>
      <c r="I491" s="598" t="s">
        <v>1912</v>
      </c>
      <c r="J491" s="617" t="s">
        <v>1931</v>
      </c>
      <c r="K491" s="598">
        <v>3</v>
      </c>
      <c r="L491" s="598">
        <v>5</v>
      </c>
      <c r="M491" s="621">
        <v>10000</v>
      </c>
      <c r="N491" s="598"/>
      <c r="O491" s="598"/>
      <c r="P491" s="618"/>
    </row>
    <row r="492" spans="1:16" s="619" customFormat="1" ht="48" x14ac:dyDescent="0.2">
      <c r="A492" s="598" t="s">
        <v>1907</v>
      </c>
      <c r="B492" s="620" t="s">
        <v>2073</v>
      </c>
      <c r="C492" s="598" t="s">
        <v>2015</v>
      </c>
      <c r="D492" s="598" t="s">
        <v>2341</v>
      </c>
      <c r="E492" s="621">
        <v>6000</v>
      </c>
      <c r="F492" s="599">
        <v>42927448</v>
      </c>
      <c r="G492" s="598" t="s">
        <v>2715</v>
      </c>
      <c r="H492" s="598" t="s">
        <v>2716</v>
      </c>
      <c r="I492" s="598" t="s">
        <v>1912</v>
      </c>
      <c r="J492" s="617" t="s">
        <v>1913</v>
      </c>
      <c r="K492" s="598">
        <v>2</v>
      </c>
      <c r="L492" s="598">
        <v>5</v>
      </c>
      <c r="M492" s="621">
        <v>30000</v>
      </c>
      <c r="N492" s="598"/>
      <c r="O492" s="598"/>
      <c r="P492" s="618"/>
    </row>
    <row r="493" spans="1:16" s="619" customFormat="1" ht="36" x14ac:dyDescent="0.2">
      <c r="A493" s="598" t="s">
        <v>1907</v>
      </c>
      <c r="B493" s="620" t="s">
        <v>1908</v>
      </c>
      <c r="C493" s="598" t="s">
        <v>2015</v>
      </c>
      <c r="D493" s="598" t="s">
        <v>2717</v>
      </c>
      <c r="E493" s="621">
        <v>4000</v>
      </c>
      <c r="F493" s="599">
        <v>44298922</v>
      </c>
      <c r="G493" s="598" t="s">
        <v>2718</v>
      </c>
      <c r="H493" s="598"/>
      <c r="I493" s="598"/>
      <c r="J493" s="617"/>
      <c r="K493" s="598">
        <v>5</v>
      </c>
      <c r="L493" s="598">
        <v>5</v>
      </c>
      <c r="M493" s="621">
        <v>20000</v>
      </c>
      <c r="N493" s="598"/>
      <c r="O493" s="598"/>
      <c r="P493" s="618"/>
    </row>
    <row r="494" spans="1:16" s="619" customFormat="1" ht="36" x14ac:dyDescent="0.2">
      <c r="A494" s="598" t="s">
        <v>1907</v>
      </c>
      <c r="B494" s="620" t="s">
        <v>1908</v>
      </c>
      <c r="C494" s="598" t="s">
        <v>2015</v>
      </c>
      <c r="D494" s="598" t="s">
        <v>2584</v>
      </c>
      <c r="E494" s="621">
        <v>3500</v>
      </c>
      <c r="F494" s="599">
        <v>26698071</v>
      </c>
      <c r="G494" s="598" t="s">
        <v>2719</v>
      </c>
      <c r="H494" s="598" t="s">
        <v>2182</v>
      </c>
      <c r="I494" s="598" t="s">
        <v>1912</v>
      </c>
      <c r="J494" s="617" t="s">
        <v>1913</v>
      </c>
      <c r="K494" s="598">
        <v>3</v>
      </c>
      <c r="L494" s="598">
        <v>4</v>
      </c>
      <c r="M494" s="621">
        <v>14000</v>
      </c>
      <c r="N494" s="598"/>
      <c r="O494" s="598"/>
      <c r="P494" s="618"/>
    </row>
    <row r="495" spans="1:16" s="619" customFormat="1" ht="24" x14ac:dyDescent="0.2">
      <c r="A495" s="598" t="s">
        <v>1907</v>
      </c>
      <c r="B495" s="620" t="s">
        <v>1908</v>
      </c>
      <c r="C495" s="598" t="s">
        <v>2015</v>
      </c>
      <c r="D495" s="598" t="s">
        <v>2221</v>
      </c>
      <c r="E495" s="621">
        <v>2000</v>
      </c>
      <c r="F495" s="599">
        <v>44483110</v>
      </c>
      <c r="G495" s="598" t="s">
        <v>2720</v>
      </c>
      <c r="H495" s="598" t="s">
        <v>1985</v>
      </c>
      <c r="I495" s="598" t="s">
        <v>1912</v>
      </c>
      <c r="J495" s="617" t="s">
        <v>1913</v>
      </c>
      <c r="K495" s="598">
        <v>1</v>
      </c>
      <c r="L495" s="598">
        <v>1</v>
      </c>
      <c r="M495" s="621">
        <v>2000</v>
      </c>
      <c r="N495" s="598"/>
      <c r="O495" s="598"/>
      <c r="P495" s="618"/>
    </row>
    <row r="496" spans="1:16" s="619" customFormat="1" ht="36" x14ac:dyDescent="0.2">
      <c r="A496" s="598" t="s">
        <v>1907</v>
      </c>
      <c r="B496" s="620" t="s">
        <v>1908</v>
      </c>
      <c r="C496" s="598" t="s">
        <v>2015</v>
      </c>
      <c r="D496" s="598" t="s">
        <v>2721</v>
      </c>
      <c r="E496" s="621">
        <v>1500</v>
      </c>
      <c r="F496" s="599"/>
      <c r="G496" s="598" t="s">
        <v>2722</v>
      </c>
      <c r="H496" s="598"/>
      <c r="I496" s="598"/>
      <c r="J496" s="617"/>
      <c r="K496" s="598">
        <v>2</v>
      </c>
      <c r="L496" s="598">
        <v>12</v>
      </c>
      <c r="M496" s="621">
        <v>18000</v>
      </c>
      <c r="N496" s="598"/>
      <c r="O496" s="598"/>
      <c r="P496" s="618"/>
    </row>
    <row r="497" spans="1:16" s="619" customFormat="1" ht="36" x14ac:dyDescent="0.2">
      <c r="A497" s="598" t="s">
        <v>1907</v>
      </c>
      <c r="B497" s="620" t="s">
        <v>1908</v>
      </c>
      <c r="C497" s="598" t="s">
        <v>2015</v>
      </c>
      <c r="D497" s="598" t="s">
        <v>2723</v>
      </c>
      <c r="E497" s="621">
        <v>3580</v>
      </c>
      <c r="F497" s="599">
        <v>71724497</v>
      </c>
      <c r="G497" s="598" t="s">
        <v>2724</v>
      </c>
      <c r="H497" s="598" t="s">
        <v>2034</v>
      </c>
      <c r="I497" s="598" t="s">
        <v>1912</v>
      </c>
      <c r="J497" s="617" t="s">
        <v>1913</v>
      </c>
      <c r="K497" s="598">
        <v>2</v>
      </c>
      <c r="L497" s="598">
        <v>4</v>
      </c>
      <c r="M497" s="621">
        <v>14320</v>
      </c>
      <c r="N497" s="598"/>
      <c r="O497" s="598"/>
      <c r="P497" s="618"/>
    </row>
    <row r="498" spans="1:16" s="619" customFormat="1" ht="36" x14ac:dyDescent="0.2">
      <c r="A498" s="598" t="s">
        <v>1907</v>
      </c>
      <c r="B498" s="620" t="s">
        <v>1908</v>
      </c>
      <c r="C498" s="598" t="s">
        <v>2015</v>
      </c>
      <c r="D498" s="598" t="s">
        <v>2202</v>
      </c>
      <c r="E498" s="621">
        <v>6000</v>
      </c>
      <c r="F498" s="599">
        <v>33669647</v>
      </c>
      <c r="G498" s="598" t="s">
        <v>2725</v>
      </c>
      <c r="H498" s="598" t="s">
        <v>2620</v>
      </c>
      <c r="I498" s="598" t="s">
        <v>1912</v>
      </c>
      <c r="J498" s="617" t="s">
        <v>1913</v>
      </c>
      <c r="K498" s="598">
        <v>4</v>
      </c>
      <c r="L498" s="598">
        <v>8</v>
      </c>
      <c r="M498" s="621">
        <v>48000</v>
      </c>
      <c r="N498" s="598"/>
      <c r="O498" s="598"/>
      <c r="P498" s="618"/>
    </row>
    <row r="499" spans="1:16" s="619" customFormat="1" ht="36" x14ac:dyDescent="0.2">
      <c r="A499" s="598" t="s">
        <v>1907</v>
      </c>
      <c r="B499" s="620" t="s">
        <v>1908</v>
      </c>
      <c r="C499" s="598" t="s">
        <v>2015</v>
      </c>
      <c r="D499" s="598" t="s">
        <v>2726</v>
      </c>
      <c r="E499" s="621">
        <v>2000</v>
      </c>
      <c r="F499" s="599">
        <v>27857298</v>
      </c>
      <c r="G499" s="598" t="s">
        <v>2727</v>
      </c>
      <c r="H499" s="598" t="s">
        <v>2728</v>
      </c>
      <c r="I499" s="598" t="s">
        <v>1912</v>
      </c>
      <c r="J499" s="617" t="s">
        <v>1931</v>
      </c>
      <c r="K499" s="598">
        <v>2</v>
      </c>
      <c r="L499" s="598">
        <v>3</v>
      </c>
      <c r="M499" s="621">
        <v>6000</v>
      </c>
      <c r="N499" s="598"/>
      <c r="O499" s="598"/>
      <c r="P499" s="618"/>
    </row>
    <row r="500" spans="1:16" s="619" customFormat="1" ht="36" x14ac:dyDescent="0.2">
      <c r="A500" s="598" t="s">
        <v>1907</v>
      </c>
      <c r="B500" s="620" t="s">
        <v>1908</v>
      </c>
      <c r="C500" s="598" t="s">
        <v>2015</v>
      </c>
      <c r="D500" s="598" t="s">
        <v>2093</v>
      </c>
      <c r="E500" s="621">
        <v>1100</v>
      </c>
      <c r="F500" s="599">
        <v>77504813</v>
      </c>
      <c r="G500" s="598" t="s">
        <v>2729</v>
      </c>
      <c r="H500" s="598"/>
      <c r="I500" s="598"/>
      <c r="J500" s="617"/>
      <c r="K500" s="598">
        <v>2</v>
      </c>
      <c r="L500" s="598">
        <v>5</v>
      </c>
      <c r="M500" s="621">
        <v>5500</v>
      </c>
      <c r="N500" s="598"/>
      <c r="O500" s="598"/>
      <c r="P500" s="618"/>
    </row>
    <row r="501" spans="1:16" s="619" customFormat="1" ht="36" x14ac:dyDescent="0.2">
      <c r="A501" s="598" t="s">
        <v>1907</v>
      </c>
      <c r="B501" s="620" t="s">
        <v>1908</v>
      </c>
      <c r="C501" s="598" t="s">
        <v>2015</v>
      </c>
      <c r="D501" s="598" t="s">
        <v>2242</v>
      </c>
      <c r="E501" s="621">
        <v>1500</v>
      </c>
      <c r="F501" s="599">
        <v>77706876</v>
      </c>
      <c r="G501" s="598" t="s">
        <v>2730</v>
      </c>
      <c r="H501" s="598" t="s">
        <v>2437</v>
      </c>
      <c r="I501" s="598" t="s">
        <v>1912</v>
      </c>
      <c r="J501" s="617" t="s">
        <v>1913</v>
      </c>
      <c r="K501" s="598">
        <v>2</v>
      </c>
      <c r="L501" s="598">
        <v>3</v>
      </c>
      <c r="M501" s="621">
        <v>4500</v>
      </c>
      <c r="N501" s="598"/>
      <c r="O501" s="598"/>
      <c r="P501" s="618"/>
    </row>
    <row r="502" spans="1:16" s="619" customFormat="1" ht="36" x14ac:dyDescent="0.2">
      <c r="A502" s="598" t="s">
        <v>1907</v>
      </c>
      <c r="B502" s="620" t="s">
        <v>1908</v>
      </c>
      <c r="C502" s="598" t="s">
        <v>2015</v>
      </c>
      <c r="D502" s="598" t="s">
        <v>2242</v>
      </c>
      <c r="E502" s="621">
        <v>2300</v>
      </c>
      <c r="F502" s="599">
        <v>77145705</v>
      </c>
      <c r="G502" s="598" t="s">
        <v>2731</v>
      </c>
      <c r="H502" s="598" t="s">
        <v>2437</v>
      </c>
      <c r="I502" s="598" t="s">
        <v>1912</v>
      </c>
      <c r="J502" s="617" t="s">
        <v>1913</v>
      </c>
      <c r="K502" s="598">
        <v>4</v>
      </c>
      <c r="L502" s="598">
        <v>4</v>
      </c>
      <c r="M502" s="621">
        <v>9200</v>
      </c>
      <c r="N502" s="598"/>
      <c r="O502" s="598"/>
      <c r="P502" s="618"/>
    </row>
    <row r="503" spans="1:16" s="619" customFormat="1" ht="24" x14ac:dyDescent="0.2">
      <c r="A503" s="598" t="s">
        <v>1907</v>
      </c>
      <c r="B503" s="620" t="s">
        <v>1908</v>
      </c>
      <c r="C503" s="598" t="s">
        <v>2015</v>
      </c>
      <c r="D503" s="598" t="s">
        <v>2334</v>
      </c>
      <c r="E503" s="621">
        <v>1900</v>
      </c>
      <c r="F503" s="599">
        <v>71653711</v>
      </c>
      <c r="G503" s="598" t="s">
        <v>2732</v>
      </c>
      <c r="H503" s="598" t="s">
        <v>2733</v>
      </c>
      <c r="I503" s="598" t="s">
        <v>1912</v>
      </c>
      <c r="J503" s="617" t="s">
        <v>1913</v>
      </c>
      <c r="K503" s="598">
        <v>3</v>
      </c>
      <c r="L503" s="598">
        <v>5</v>
      </c>
      <c r="M503" s="621">
        <v>9500</v>
      </c>
      <c r="N503" s="598"/>
      <c r="O503" s="598"/>
      <c r="P503" s="618"/>
    </row>
    <row r="504" spans="1:16" s="619" customFormat="1" ht="24" x14ac:dyDescent="0.2">
      <c r="A504" s="598" t="s">
        <v>1907</v>
      </c>
      <c r="B504" s="620" t="s">
        <v>2050</v>
      </c>
      <c r="C504" s="598" t="s">
        <v>2015</v>
      </c>
      <c r="D504" s="598" t="s">
        <v>2242</v>
      </c>
      <c r="E504" s="621">
        <v>1500</v>
      </c>
      <c r="F504" s="599">
        <v>33432672</v>
      </c>
      <c r="G504" s="598" t="s">
        <v>2734</v>
      </c>
      <c r="H504" s="598"/>
      <c r="I504" s="598"/>
      <c r="J504" s="617"/>
      <c r="K504" s="598">
        <v>3</v>
      </c>
      <c r="L504" s="598">
        <v>5</v>
      </c>
      <c r="M504" s="621">
        <v>7500</v>
      </c>
      <c r="N504" s="598"/>
      <c r="O504" s="598"/>
      <c r="P504" s="618"/>
    </row>
    <row r="505" spans="1:16" s="619" customFormat="1" ht="24" x14ac:dyDescent="0.2">
      <c r="A505" s="598" t="s">
        <v>1907</v>
      </c>
      <c r="B505" s="620" t="s">
        <v>2050</v>
      </c>
      <c r="C505" s="598" t="s">
        <v>2015</v>
      </c>
      <c r="D505" s="598" t="s">
        <v>2242</v>
      </c>
      <c r="E505" s="621">
        <v>900</v>
      </c>
      <c r="F505" s="599">
        <v>42119028</v>
      </c>
      <c r="G505" s="598" t="s">
        <v>2735</v>
      </c>
      <c r="H505" s="598"/>
      <c r="I505" s="598"/>
      <c r="J505" s="617"/>
      <c r="K505" s="598">
        <v>3</v>
      </c>
      <c r="L505" s="598">
        <v>9</v>
      </c>
      <c r="M505" s="621">
        <v>8100</v>
      </c>
      <c r="N505" s="598"/>
      <c r="O505" s="598"/>
      <c r="P505" s="618"/>
    </row>
    <row r="506" spans="1:16" s="619" customFormat="1" ht="24" x14ac:dyDescent="0.2">
      <c r="A506" s="598" t="s">
        <v>1907</v>
      </c>
      <c r="B506" s="620" t="s">
        <v>2050</v>
      </c>
      <c r="C506" s="598" t="s">
        <v>2015</v>
      </c>
      <c r="D506" s="598" t="s">
        <v>2276</v>
      </c>
      <c r="E506" s="621">
        <v>1800</v>
      </c>
      <c r="F506" s="599">
        <v>42015721</v>
      </c>
      <c r="G506" s="598" t="s">
        <v>2736</v>
      </c>
      <c r="H506" s="598"/>
      <c r="I506" s="598"/>
      <c r="J506" s="617"/>
      <c r="K506" s="598">
        <v>5</v>
      </c>
      <c r="L506" s="598">
        <v>6</v>
      </c>
      <c r="M506" s="621">
        <v>10800</v>
      </c>
      <c r="N506" s="598"/>
      <c r="O506" s="598"/>
      <c r="P506" s="618"/>
    </row>
    <row r="507" spans="1:16" s="619" customFormat="1" ht="36" x14ac:dyDescent="0.2">
      <c r="A507" s="598" t="s">
        <v>1907</v>
      </c>
      <c r="B507" s="620" t="s">
        <v>1908</v>
      </c>
      <c r="C507" s="598" t="s">
        <v>2015</v>
      </c>
      <c r="D507" s="598" t="s">
        <v>2737</v>
      </c>
      <c r="E507" s="621">
        <v>4000</v>
      </c>
      <c r="F507" s="599">
        <v>47107951</v>
      </c>
      <c r="G507" s="598" t="s">
        <v>2738</v>
      </c>
      <c r="H507" s="598" t="s">
        <v>1911</v>
      </c>
      <c r="I507" s="598" t="s">
        <v>1912</v>
      </c>
      <c r="J507" s="617" t="s">
        <v>1913</v>
      </c>
      <c r="K507" s="598">
        <v>2</v>
      </c>
      <c r="L507" s="598">
        <v>5</v>
      </c>
      <c r="M507" s="621">
        <v>20000</v>
      </c>
      <c r="N507" s="598"/>
      <c r="O507" s="598"/>
      <c r="P507" s="618"/>
    </row>
    <row r="508" spans="1:16" s="619" customFormat="1" ht="36" x14ac:dyDescent="0.2">
      <c r="A508" s="598" t="s">
        <v>1907</v>
      </c>
      <c r="B508" s="620" t="s">
        <v>1908</v>
      </c>
      <c r="C508" s="598" t="s">
        <v>2015</v>
      </c>
      <c r="D508" s="598" t="s">
        <v>2404</v>
      </c>
      <c r="E508" s="621">
        <v>900</v>
      </c>
      <c r="F508" s="599">
        <v>10625162</v>
      </c>
      <c r="G508" s="598" t="s">
        <v>2739</v>
      </c>
      <c r="H508" s="598"/>
      <c r="I508" s="598"/>
      <c r="J508" s="617"/>
      <c r="K508" s="598">
        <v>4</v>
      </c>
      <c r="L508" s="598">
        <v>8</v>
      </c>
      <c r="M508" s="621">
        <v>7200</v>
      </c>
      <c r="N508" s="598"/>
      <c r="O508" s="598"/>
      <c r="P508" s="618"/>
    </row>
    <row r="509" spans="1:16" s="619" customFormat="1" ht="36" x14ac:dyDescent="0.2">
      <c r="A509" s="598" t="s">
        <v>1907</v>
      </c>
      <c r="B509" s="620" t="s">
        <v>1908</v>
      </c>
      <c r="C509" s="598" t="s">
        <v>2015</v>
      </c>
      <c r="D509" s="598" t="s">
        <v>2404</v>
      </c>
      <c r="E509" s="621">
        <v>1900</v>
      </c>
      <c r="F509" s="599">
        <v>46017127</v>
      </c>
      <c r="G509" s="598" t="s">
        <v>1953</v>
      </c>
      <c r="H509" s="598" t="s">
        <v>2079</v>
      </c>
      <c r="I509" s="598" t="s">
        <v>1912</v>
      </c>
      <c r="J509" s="617" t="s">
        <v>1913</v>
      </c>
      <c r="K509" s="598">
        <v>3</v>
      </c>
      <c r="L509" s="598">
        <v>5</v>
      </c>
      <c r="M509" s="621">
        <v>9500</v>
      </c>
      <c r="N509" s="598"/>
      <c r="O509" s="598"/>
      <c r="P509" s="618"/>
    </row>
    <row r="510" spans="1:16" s="619" customFormat="1" ht="36" x14ac:dyDescent="0.2">
      <c r="A510" s="598" t="s">
        <v>1907</v>
      </c>
      <c r="B510" s="620" t="s">
        <v>1908</v>
      </c>
      <c r="C510" s="598" t="s">
        <v>2015</v>
      </c>
      <c r="D510" s="598" t="s">
        <v>2740</v>
      </c>
      <c r="E510" s="621">
        <v>2800</v>
      </c>
      <c r="F510" s="599">
        <v>45007648</v>
      </c>
      <c r="G510" s="598" t="s">
        <v>2741</v>
      </c>
      <c r="H510" s="598" t="s">
        <v>2551</v>
      </c>
      <c r="I510" s="598" t="s">
        <v>1912</v>
      </c>
      <c r="J510" s="617" t="s">
        <v>1913</v>
      </c>
      <c r="K510" s="598">
        <v>3</v>
      </c>
      <c r="L510" s="598">
        <v>5</v>
      </c>
      <c r="M510" s="621">
        <v>14000</v>
      </c>
      <c r="N510" s="598"/>
      <c r="O510" s="598"/>
      <c r="P510" s="618"/>
    </row>
    <row r="511" spans="1:16" s="619" customFormat="1" ht="36" x14ac:dyDescent="0.2">
      <c r="A511" s="598" t="s">
        <v>1907</v>
      </c>
      <c r="B511" s="620" t="s">
        <v>1908</v>
      </c>
      <c r="C511" s="598" t="s">
        <v>2015</v>
      </c>
      <c r="D511" s="598" t="s">
        <v>2341</v>
      </c>
      <c r="E511" s="621">
        <v>3500</v>
      </c>
      <c r="F511" s="599">
        <v>46774223</v>
      </c>
      <c r="G511" s="598" t="s">
        <v>2742</v>
      </c>
      <c r="H511" s="598" t="s">
        <v>2357</v>
      </c>
      <c r="I511" s="598" t="s">
        <v>1912</v>
      </c>
      <c r="J511" s="617" t="s">
        <v>1913</v>
      </c>
      <c r="K511" s="598">
        <v>1</v>
      </c>
      <c r="L511" s="598">
        <v>3</v>
      </c>
      <c r="M511" s="621">
        <v>10500</v>
      </c>
      <c r="N511" s="598"/>
      <c r="O511" s="598"/>
      <c r="P511" s="618"/>
    </row>
    <row r="512" spans="1:16" s="619" customFormat="1" ht="36" x14ac:dyDescent="0.2">
      <c r="A512" s="598" t="s">
        <v>1907</v>
      </c>
      <c r="B512" s="620" t="s">
        <v>1908</v>
      </c>
      <c r="C512" s="598" t="s">
        <v>2015</v>
      </c>
      <c r="D512" s="598" t="s">
        <v>2242</v>
      </c>
      <c r="E512" s="621">
        <v>900</v>
      </c>
      <c r="F512" s="599">
        <v>74377813</v>
      </c>
      <c r="G512" s="598" t="s">
        <v>2743</v>
      </c>
      <c r="H512" s="598" t="s">
        <v>2518</v>
      </c>
      <c r="I512" s="598" t="s">
        <v>1912</v>
      </c>
      <c r="J512" s="617" t="s">
        <v>1913</v>
      </c>
      <c r="K512" s="598">
        <v>4</v>
      </c>
      <c r="L512" s="598">
        <v>4</v>
      </c>
      <c r="M512" s="621">
        <v>3600</v>
      </c>
      <c r="N512" s="598"/>
      <c r="O512" s="598"/>
      <c r="P512" s="618"/>
    </row>
    <row r="513" spans="1:16" s="619" customFormat="1" ht="36" x14ac:dyDescent="0.2">
      <c r="A513" s="598" t="s">
        <v>1907</v>
      </c>
      <c r="B513" s="620" t="s">
        <v>1908</v>
      </c>
      <c r="C513" s="598" t="s">
        <v>2015</v>
      </c>
      <c r="D513" s="598" t="s">
        <v>2744</v>
      </c>
      <c r="E513" s="621">
        <v>1200</v>
      </c>
      <c r="F513" s="599">
        <v>74419180</v>
      </c>
      <c r="G513" s="598" t="s">
        <v>2745</v>
      </c>
      <c r="H513" s="598" t="s">
        <v>2511</v>
      </c>
      <c r="I513" s="598" t="s">
        <v>1912</v>
      </c>
      <c r="J513" s="617" t="s">
        <v>1913</v>
      </c>
      <c r="K513" s="598">
        <v>2</v>
      </c>
      <c r="L513" s="598">
        <v>6</v>
      </c>
      <c r="M513" s="621">
        <v>7200</v>
      </c>
      <c r="N513" s="598"/>
      <c r="O513" s="598"/>
      <c r="P513" s="618"/>
    </row>
    <row r="514" spans="1:16" s="619" customFormat="1" ht="36" x14ac:dyDescent="0.2">
      <c r="A514" s="598" t="s">
        <v>1907</v>
      </c>
      <c r="B514" s="620" t="s">
        <v>1908</v>
      </c>
      <c r="C514" s="598" t="s">
        <v>2015</v>
      </c>
      <c r="D514" s="598" t="s">
        <v>2737</v>
      </c>
      <c r="E514" s="621">
        <v>7000</v>
      </c>
      <c r="F514" s="599">
        <v>33431848</v>
      </c>
      <c r="G514" s="598" t="s">
        <v>2746</v>
      </c>
      <c r="H514" s="598" t="s">
        <v>1911</v>
      </c>
      <c r="I514" s="598" t="s">
        <v>1912</v>
      </c>
      <c r="J514" s="617" t="s">
        <v>1913</v>
      </c>
      <c r="K514" s="598">
        <v>1</v>
      </c>
      <c r="L514" s="598">
        <v>3</v>
      </c>
      <c r="M514" s="621">
        <v>21000</v>
      </c>
      <c r="N514" s="598"/>
      <c r="O514" s="598"/>
      <c r="P514" s="618"/>
    </row>
    <row r="515" spans="1:16" s="619" customFormat="1" ht="48" x14ac:dyDescent="0.2">
      <c r="A515" s="598" t="s">
        <v>1907</v>
      </c>
      <c r="B515" s="620" t="s">
        <v>1908</v>
      </c>
      <c r="C515" s="598" t="s">
        <v>2015</v>
      </c>
      <c r="D515" s="598" t="s">
        <v>2723</v>
      </c>
      <c r="E515" s="621">
        <v>1200</v>
      </c>
      <c r="F515" s="599">
        <v>74077746</v>
      </c>
      <c r="G515" s="598" t="s">
        <v>2747</v>
      </c>
      <c r="H515" s="598"/>
      <c r="I515" s="598"/>
      <c r="J515" s="617"/>
      <c r="K515" s="598">
        <v>3</v>
      </c>
      <c r="L515" s="598">
        <v>4</v>
      </c>
      <c r="M515" s="621">
        <v>4800</v>
      </c>
      <c r="N515" s="598"/>
      <c r="O515" s="598"/>
      <c r="P515" s="618"/>
    </row>
    <row r="516" spans="1:16" s="619" customFormat="1" ht="36" x14ac:dyDescent="0.2">
      <c r="A516" s="598" t="s">
        <v>1907</v>
      </c>
      <c r="B516" s="620" t="s">
        <v>1908</v>
      </c>
      <c r="C516" s="598" t="s">
        <v>2015</v>
      </c>
      <c r="D516" s="598" t="s">
        <v>2737</v>
      </c>
      <c r="E516" s="621">
        <v>1300</v>
      </c>
      <c r="F516" s="599">
        <v>47384348</v>
      </c>
      <c r="G516" s="598" t="s">
        <v>2748</v>
      </c>
      <c r="H516" s="598"/>
      <c r="I516" s="598"/>
      <c r="J516" s="617"/>
      <c r="K516" s="598">
        <v>2</v>
      </c>
      <c r="L516" s="598">
        <v>4</v>
      </c>
      <c r="M516" s="621">
        <v>5200</v>
      </c>
      <c r="N516" s="598"/>
      <c r="O516" s="598"/>
      <c r="P516" s="618"/>
    </row>
    <row r="517" spans="1:16" s="619" customFormat="1" ht="36" x14ac:dyDescent="0.2">
      <c r="A517" s="598" t="s">
        <v>1907</v>
      </c>
      <c r="B517" s="620" t="s">
        <v>1908</v>
      </c>
      <c r="C517" s="598" t="s">
        <v>2015</v>
      </c>
      <c r="D517" s="598" t="s">
        <v>2354</v>
      </c>
      <c r="E517" s="621">
        <v>1100</v>
      </c>
      <c r="F517" s="599">
        <v>73766680</v>
      </c>
      <c r="G517" s="598" t="s">
        <v>2749</v>
      </c>
      <c r="H517" s="598"/>
      <c r="I517" s="598"/>
      <c r="J517" s="617"/>
      <c r="K517" s="598">
        <v>2</v>
      </c>
      <c r="L517" s="598">
        <v>4</v>
      </c>
      <c r="M517" s="621">
        <v>4400</v>
      </c>
      <c r="N517" s="598"/>
      <c r="O517" s="598"/>
      <c r="P517" s="618"/>
    </row>
    <row r="518" spans="1:16" s="619" customFormat="1" ht="24" x14ac:dyDescent="0.2">
      <c r="A518" s="598" t="s">
        <v>1907</v>
      </c>
      <c r="B518" s="620" t="s">
        <v>1908</v>
      </c>
      <c r="C518" s="598" t="s">
        <v>2015</v>
      </c>
      <c r="D518" s="598" t="s">
        <v>2404</v>
      </c>
      <c r="E518" s="621">
        <v>800</v>
      </c>
      <c r="F518" s="599">
        <v>41868716</v>
      </c>
      <c r="G518" s="598" t="s">
        <v>2750</v>
      </c>
      <c r="H518" s="598" t="s">
        <v>2475</v>
      </c>
      <c r="I518" s="598" t="s">
        <v>1912</v>
      </c>
      <c r="J518" s="617" t="s">
        <v>1913</v>
      </c>
      <c r="K518" s="598">
        <v>1</v>
      </c>
      <c r="L518" s="598">
        <v>1</v>
      </c>
      <c r="M518" s="621">
        <v>800</v>
      </c>
      <c r="N518" s="598"/>
      <c r="O518" s="598"/>
      <c r="P518" s="618"/>
    </row>
    <row r="519" spans="1:16" s="619" customFormat="1" ht="48" x14ac:dyDescent="0.2">
      <c r="A519" s="598" t="s">
        <v>1907</v>
      </c>
      <c r="B519" s="620" t="s">
        <v>2073</v>
      </c>
      <c r="C519" s="598" t="s">
        <v>2015</v>
      </c>
      <c r="D519" s="598" t="s">
        <v>2354</v>
      </c>
      <c r="E519" s="621">
        <v>2200</v>
      </c>
      <c r="F519" s="599">
        <v>47732888</v>
      </c>
      <c r="G519" s="598" t="s">
        <v>2751</v>
      </c>
      <c r="H519" s="598"/>
      <c r="I519" s="598" t="s">
        <v>1912</v>
      </c>
      <c r="J519" s="617" t="s">
        <v>1913</v>
      </c>
      <c r="K519" s="598">
        <v>2</v>
      </c>
      <c r="L519" s="598">
        <v>4</v>
      </c>
      <c r="M519" s="621">
        <v>8800</v>
      </c>
      <c r="N519" s="598"/>
      <c r="O519" s="598"/>
      <c r="P519" s="618"/>
    </row>
    <row r="520" spans="1:16" s="619" customFormat="1" ht="24" x14ac:dyDescent="0.2">
      <c r="A520" s="598" t="s">
        <v>1907</v>
      </c>
      <c r="B520" s="620" t="s">
        <v>1908</v>
      </c>
      <c r="C520" s="598" t="s">
        <v>2015</v>
      </c>
      <c r="D520" s="598" t="s">
        <v>2051</v>
      </c>
      <c r="E520" s="621">
        <v>2000</v>
      </c>
      <c r="F520" s="599">
        <v>47009017</v>
      </c>
      <c r="G520" s="598" t="s">
        <v>2752</v>
      </c>
      <c r="H520" s="598" t="s">
        <v>2362</v>
      </c>
      <c r="I520" s="598" t="s">
        <v>1912</v>
      </c>
      <c r="J520" s="617" t="s">
        <v>1913</v>
      </c>
      <c r="K520" s="598">
        <v>1</v>
      </c>
      <c r="L520" s="598">
        <v>2</v>
      </c>
      <c r="M520" s="621">
        <v>4000</v>
      </c>
      <c r="N520" s="598"/>
      <c r="O520" s="598"/>
      <c r="P520" s="618"/>
    </row>
    <row r="521" spans="1:16" s="619" customFormat="1" ht="24" x14ac:dyDescent="0.2">
      <c r="A521" s="598" t="s">
        <v>1907</v>
      </c>
      <c r="B521" s="620" t="s">
        <v>1908</v>
      </c>
      <c r="C521" s="598" t="s">
        <v>2015</v>
      </c>
      <c r="D521" s="598" t="s">
        <v>2420</v>
      </c>
      <c r="E521" s="621">
        <v>2000</v>
      </c>
      <c r="F521" s="599">
        <v>73221083</v>
      </c>
      <c r="G521" s="598" t="s">
        <v>2753</v>
      </c>
      <c r="H521" s="598" t="s">
        <v>2754</v>
      </c>
      <c r="I521" s="598" t="s">
        <v>1912</v>
      </c>
      <c r="J521" s="617" t="s">
        <v>1913</v>
      </c>
      <c r="K521" s="598">
        <v>2</v>
      </c>
      <c r="L521" s="598">
        <v>4</v>
      </c>
      <c r="M521" s="621">
        <v>8000</v>
      </c>
      <c r="N521" s="598"/>
      <c r="O521" s="598"/>
      <c r="P521" s="618"/>
    </row>
    <row r="522" spans="1:16" s="619" customFormat="1" ht="24" x14ac:dyDescent="0.2">
      <c r="A522" s="598" t="s">
        <v>1907</v>
      </c>
      <c r="B522" s="620" t="s">
        <v>1908</v>
      </c>
      <c r="C522" s="598" t="s">
        <v>2015</v>
      </c>
      <c r="D522" s="598" t="s">
        <v>2242</v>
      </c>
      <c r="E522" s="621">
        <v>4500</v>
      </c>
      <c r="F522" s="599">
        <v>33739231</v>
      </c>
      <c r="G522" s="598" t="s">
        <v>2755</v>
      </c>
      <c r="H522" s="598" t="s">
        <v>2539</v>
      </c>
      <c r="I522" s="598" t="s">
        <v>1912</v>
      </c>
      <c r="J522" s="617" t="s">
        <v>1913</v>
      </c>
      <c r="K522" s="598">
        <v>4</v>
      </c>
      <c r="L522" s="598">
        <v>4</v>
      </c>
      <c r="M522" s="621">
        <v>18000</v>
      </c>
      <c r="N522" s="598"/>
      <c r="O522" s="598"/>
      <c r="P522" s="618"/>
    </row>
    <row r="523" spans="1:16" s="619" customFormat="1" ht="36" x14ac:dyDescent="0.2">
      <c r="A523" s="598" t="s">
        <v>1907</v>
      </c>
      <c r="B523" s="620" t="s">
        <v>1908</v>
      </c>
      <c r="C523" s="598" t="s">
        <v>2015</v>
      </c>
      <c r="D523" s="598" t="s">
        <v>2420</v>
      </c>
      <c r="E523" s="621">
        <v>3000</v>
      </c>
      <c r="F523" s="599">
        <v>46694802</v>
      </c>
      <c r="G523" s="598" t="s">
        <v>2756</v>
      </c>
      <c r="H523" s="598" t="s">
        <v>2757</v>
      </c>
      <c r="I523" s="598" t="s">
        <v>1912</v>
      </c>
      <c r="J523" s="617" t="s">
        <v>1913</v>
      </c>
      <c r="K523" s="598">
        <v>4</v>
      </c>
      <c r="L523" s="598">
        <v>4</v>
      </c>
      <c r="M523" s="621">
        <v>12000</v>
      </c>
      <c r="N523" s="598"/>
      <c r="O523" s="598"/>
      <c r="P523" s="618"/>
    </row>
    <row r="524" spans="1:16" s="619" customFormat="1" ht="36" x14ac:dyDescent="0.2">
      <c r="A524" s="598" t="s">
        <v>1907</v>
      </c>
      <c r="B524" s="620" t="s">
        <v>1908</v>
      </c>
      <c r="C524" s="598" t="s">
        <v>2015</v>
      </c>
      <c r="D524" s="598" t="s">
        <v>2334</v>
      </c>
      <c r="E524" s="621">
        <v>6000</v>
      </c>
      <c r="F524" s="599">
        <v>33663120</v>
      </c>
      <c r="G524" s="598" t="s">
        <v>2758</v>
      </c>
      <c r="H524" s="598" t="s">
        <v>1954</v>
      </c>
      <c r="I524" s="598" t="s">
        <v>1912</v>
      </c>
      <c r="J524" s="617" t="s">
        <v>1913</v>
      </c>
      <c r="K524" s="598">
        <v>3</v>
      </c>
      <c r="L524" s="598">
        <v>6</v>
      </c>
      <c r="M524" s="621">
        <v>36000</v>
      </c>
      <c r="N524" s="598"/>
      <c r="O524" s="598"/>
      <c r="P524" s="618"/>
    </row>
    <row r="525" spans="1:16" s="619" customFormat="1" ht="36" x14ac:dyDescent="0.2">
      <c r="A525" s="598" t="s">
        <v>1907</v>
      </c>
      <c r="B525" s="620" t="s">
        <v>1908</v>
      </c>
      <c r="C525" s="598" t="s">
        <v>2015</v>
      </c>
      <c r="D525" s="598" t="s">
        <v>2759</v>
      </c>
      <c r="E525" s="621">
        <v>5000</v>
      </c>
      <c r="F525" s="599">
        <v>29660160</v>
      </c>
      <c r="G525" s="598" t="s">
        <v>2760</v>
      </c>
      <c r="H525" s="598" t="s">
        <v>1911</v>
      </c>
      <c r="I525" s="598" t="s">
        <v>1912</v>
      </c>
      <c r="J525" s="617" t="s">
        <v>1913</v>
      </c>
      <c r="K525" s="598">
        <v>3</v>
      </c>
      <c r="L525" s="598">
        <v>4</v>
      </c>
      <c r="M525" s="621">
        <v>20000</v>
      </c>
      <c r="N525" s="598"/>
      <c r="O525" s="598"/>
      <c r="P525" s="618"/>
    </row>
    <row r="526" spans="1:16" s="619" customFormat="1" ht="24" x14ac:dyDescent="0.2">
      <c r="A526" s="598" t="s">
        <v>1907</v>
      </c>
      <c r="B526" s="620" t="s">
        <v>1908</v>
      </c>
      <c r="C526" s="598" t="s">
        <v>2015</v>
      </c>
      <c r="D526" s="598" t="s">
        <v>2242</v>
      </c>
      <c r="E526" s="621">
        <v>2500</v>
      </c>
      <c r="F526" s="599">
        <v>41540184</v>
      </c>
      <c r="G526" s="598" t="s">
        <v>1995</v>
      </c>
      <c r="H526" s="598" t="s">
        <v>2038</v>
      </c>
      <c r="I526" s="598" t="s">
        <v>1912</v>
      </c>
      <c r="J526" s="617" t="s">
        <v>1913</v>
      </c>
      <c r="K526" s="598">
        <v>1</v>
      </c>
      <c r="L526" s="598">
        <v>1</v>
      </c>
      <c r="M526" s="621">
        <v>2500</v>
      </c>
      <c r="N526" s="598"/>
      <c r="O526" s="598"/>
      <c r="P526" s="618"/>
    </row>
    <row r="527" spans="1:16" s="619" customFormat="1" ht="36" x14ac:dyDescent="0.2">
      <c r="A527" s="598" t="s">
        <v>1907</v>
      </c>
      <c r="B527" s="620" t="s">
        <v>1908</v>
      </c>
      <c r="C527" s="598" t="s">
        <v>2015</v>
      </c>
      <c r="D527" s="598" t="s">
        <v>2296</v>
      </c>
      <c r="E527" s="621">
        <v>3000</v>
      </c>
      <c r="F527" s="599">
        <v>72032098</v>
      </c>
      <c r="G527" s="598" t="s">
        <v>2761</v>
      </c>
      <c r="H527" s="598" t="s">
        <v>1954</v>
      </c>
      <c r="I527" s="598" t="s">
        <v>1912</v>
      </c>
      <c r="J527" s="617" t="s">
        <v>1913</v>
      </c>
      <c r="K527" s="598">
        <v>1</v>
      </c>
      <c r="L527" s="598">
        <v>3</v>
      </c>
      <c r="M527" s="621">
        <v>9000</v>
      </c>
      <c r="N527" s="598"/>
      <c r="O527" s="598"/>
      <c r="P527" s="618"/>
    </row>
    <row r="528" spans="1:16" s="619" customFormat="1" ht="36" x14ac:dyDescent="0.2">
      <c r="A528" s="598" t="s">
        <v>1907</v>
      </c>
      <c r="B528" s="620" t="s">
        <v>1908</v>
      </c>
      <c r="C528" s="598" t="s">
        <v>2015</v>
      </c>
      <c r="D528" s="598" t="s">
        <v>2420</v>
      </c>
      <c r="E528" s="621">
        <v>3500</v>
      </c>
      <c r="F528" s="599">
        <v>43690175</v>
      </c>
      <c r="G528" s="598" t="s">
        <v>2762</v>
      </c>
      <c r="H528" s="598" t="s">
        <v>2182</v>
      </c>
      <c r="I528" s="598" t="s">
        <v>1912</v>
      </c>
      <c r="J528" s="617" t="s">
        <v>1913</v>
      </c>
      <c r="K528" s="598">
        <v>2</v>
      </c>
      <c r="L528" s="598">
        <v>3</v>
      </c>
      <c r="M528" s="621">
        <v>10500</v>
      </c>
      <c r="N528" s="598"/>
      <c r="O528" s="598"/>
      <c r="P528" s="618"/>
    </row>
    <row r="529" spans="1:16" s="619" customFormat="1" ht="36" x14ac:dyDescent="0.2">
      <c r="A529" s="598" t="s">
        <v>1907</v>
      </c>
      <c r="B529" s="620" t="s">
        <v>1908</v>
      </c>
      <c r="C529" s="598" t="s">
        <v>2015</v>
      </c>
      <c r="D529" s="598" t="s">
        <v>2354</v>
      </c>
      <c r="E529" s="621">
        <v>2800</v>
      </c>
      <c r="F529" s="599">
        <v>47548734</v>
      </c>
      <c r="G529" s="598" t="s">
        <v>2763</v>
      </c>
      <c r="H529" s="598" t="s">
        <v>2764</v>
      </c>
      <c r="I529" s="598" t="s">
        <v>1912</v>
      </c>
      <c r="J529" s="617" t="s">
        <v>1913</v>
      </c>
      <c r="K529" s="598">
        <v>1</v>
      </c>
      <c r="L529" s="598">
        <v>2</v>
      </c>
      <c r="M529" s="621">
        <v>5600</v>
      </c>
      <c r="N529" s="598"/>
      <c r="O529" s="598"/>
      <c r="P529" s="618"/>
    </row>
    <row r="530" spans="1:16" s="619" customFormat="1" ht="24" x14ac:dyDescent="0.2">
      <c r="A530" s="598" t="s">
        <v>1907</v>
      </c>
      <c r="B530" s="620" t="s">
        <v>1908</v>
      </c>
      <c r="C530" s="598" t="s">
        <v>2015</v>
      </c>
      <c r="D530" s="598" t="s">
        <v>2467</v>
      </c>
      <c r="E530" s="621">
        <v>2200</v>
      </c>
      <c r="F530" s="599">
        <v>72893968</v>
      </c>
      <c r="G530" s="598" t="s">
        <v>2765</v>
      </c>
      <c r="H530" s="598" t="s">
        <v>2306</v>
      </c>
      <c r="I530" s="598" t="s">
        <v>1912</v>
      </c>
      <c r="J530" s="617" t="s">
        <v>1913</v>
      </c>
      <c r="K530" s="598">
        <v>3</v>
      </c>
      <c r="L530" s="598">
        <v>6</v>
      </c>
      <c r="M530" s="621">
        <v>13200</v>
      </c>
      <c r="N530" s="598"/>
      <c r="O530" s="598"/>
      <c r="P530" s="618"/>
    </row>
    <row r="531" spans="1:16" s="619" customFormat="1" ht="48" x14ac:dyDescent="0.2">
      <c r="A531" s="598" t="s">
        <v>1907</v>
      </c>
      <c r="B531" s="620" t="s">
        <v>1908</v>
      </c>
      <c r="C531" s="598" t="s">
        <v>2015</v>
      </c>
      <c r="D531" s="598" t="s">
        <v>2051</v>
      </c>
      <c r="E531" s="621">
        <v>600</v>
      </c>
      <c r="F531" s="599">
        <v>48048951</v>
      </c>
      <c r="G531" s="598" t="s">
        <v>2766</v>
      </c>
      <c r="H531" s="598" t="s">
        <v>2101</v>
      </c>
      <c r="I531" s="598" t="s">
        <v>1912</v>
      </c>
      <c r="J531" s="617" t="s">
        <v>1913</v>
      </c>
      <c r="K531" s="598">
        <v>1</v>
      </c>
      <c r="L531" s="598">
        <v>1</v>
      </c>
      <c r="M531" s="621">
        <v>600</v>
      </c>
      <c r="N531" s="598"/>
      <c r="O531" s="598"/>
      <c r="P531" s="618"/>
    </row>
    <row r="532" spans="1:16" s="619" customFormat="1" ht="48" x14ac:dyDescent="0.2">
      <c r="A532" s="598" t="s">
        <v>1907</v>
      </c>
      <c r="B532" s="620" t="s">
        <v>2073</v>
      </c>
      <c r="C532" s="598" t="s">
        <v>2015</v>
      </c>
      <c r="D532" s="598" t="s">
        <v>2354</v>
      </c>
      <c r="E532" s="621">
        <v>1100</v>
      </c>
      <c r="F532" s="599">
        <v>2802053</v>
      </c>
      <c r="G532" s="598" t="s">
        <v>2767</v>
      </c>
      <c r="H532" s="598"/>
      <c r="I532" s="598"/>
      <c r="J532" s="617"/>
      <c r="K532" s="598">
        <v>2</v>
      </c>
      <c r="L532" s="598">
        <v>4</v>
      </c>
      <c r="M532" s="621">
        <v>4400</v>
      </c>
      <c r="N532" s="598"/>
      <c r="O532" s="598"/>
      <c r="P532" s="618"/>
    </row>
    <row r="533" spans="1:16" s="619" customFormat="1" ht="36" x14ac:dyDescent="0.2">
      <c r="A533" s="598" t="s">
        <v>1907</v>
      </c>
      <c r="B533" s="620" t="s">
        <v>1908</v>
      </c>
      <c r="C533" s="598" t="s">
        <v>2015</v>
      </c>
      <c r="D533" s="598" t="s">
        <v>2737</v>
      </c>
      <c r="E533" s="621">
        <v>5000</v>
      </c>
      <c r="F533" s="599">
        <v>40021516</v>
      </c>
      <c r="G533" s="598" t="s">
        <v>2768</v>
      </c>
      <c r="H533" s="598" t="s">
        <v>1911</v>
      </c>
      <c r="I533" s="598" t="s">
        <v>1912</v>
      </c>
      <c r="J533" s="617" t="s">
        <v>1913</v>
      </c>
      <c r="K533" s="598">
        <v>2</v>
      </c>
      <c r="L533" s="598">
        <v>3</v>
      </c>
      <c r="M533" s="621">
        <v>15000</v>
      </c>
      <c r="N533" s="598"/>
      <c r="O533" s="598"/>
      <c r="P533" s="618"/>
    </row>
    <row r="534" spans="1:16" s="619" customFormat="1" ht="36" x14ac:dyDescent="0.2">
      <c r="A534" s="598" t="s">
        <v>1907</v>
      </c>
      <c r="B534" s="620" t="s">
        <v>1908</v>
      </c>
      <c r="C534" s="598" t="s">
        <v>2015</v>
      </c>
      <c r="D534" s="598" t="s">
        <v>2480</v>
      </c>
      <c r="E534" s="621">
        <v>10000</v>
      </c>
      <c r="F534" s="599">
        <v>43183724</v>
      </c>
      <c r="G534" s="598" t="s">
        <v>2769</v>
      </c>
      <c r="H534" s="598" t="s">
        <v>2620</v>
      </c>
      <c r="I534" s="598" t="s">
        <v>1912</v>
      </c>
      <c r="J534" s="617" t="s">
        <v>1913</v>
      </c>
      <c r="K534" s="598">
        <v>1</v>
      </c>
      <c r="L534" s="598">
        <v>2</v>
      </c>
      <c r="M534" s="621">
        <v>20000</v>
      </c>
      <c r="N534" s="598"/>
      <c r="O534" s="598"/>
      <c r="P534" s="618"/>
    </row>
    <row r="535" spans="1:16" s="619" customFormat="1" ht="36" x14ac:dyDescent="0.2">
      <c r="A535" s="598" t="s">
        <v>1907</v>
      </c>
      <c r="B535" s="620" t="s">
        <v>1908</v>
      </c>
      <c r="C535" s="598" t="s">
        <v>2015</v>
      </c>
      <c r="D535" s="598" t="s">
        <v>2139</v>
      </c>
      <c r="E535" s="621">
        <v>5000</v>
      </c>
      <c r="F535" s="599">
        <v>21881984</v>
      </c>
      <c r="G535" s="598" t="s">
        <v>2770</v>
      </c>
      <c r="H535" s="598" t="s">
        <v>1911</v>
      </c>
      <c r="I535" s="598" t="s">
        <v>1912</v>
      </c>
      <c r="J535" s="617" t="s">
        <v>1913</v>
      </c>
      <c r="K535" s="598">
        <v>3</v>
      </c>
      <c r="L535" s="598">
        <v>6</v>
      </c>
      <c r="M535" s="621">
        <v>30000</v>
      </c>
      <c r="N535" s="598"/>
      <c r="O535" s="598"/>
      <c r="P535" s="618"/>
    </row>
    <row r="536" spans="1:16" s="619" customFormat="1" ht="36" x14ac:dyDescent="0.2">
      <c r="A536" s="598" t="s">
        <v>1907</v>
      </c>
      <c r="B536" s="620" t="s">
        <v>1908</v>
      </c>
      <c r="C536" s="598" t="s">
        <v>2015</v>
      </c>
      <c r="D536" s="598" t="s">
        <v>2310</v>
      </c>
      <c r="E536" s="621">
        <v>2000</v>
      </c>
      <c r="F536" s="599">
        <v>46631111</v>
      </c>
      <c r="G536" s="598" t="s">
        <v>2771</v>
      </c>
      <c r="H536" s="598" t="s">
        <v>2772</v>
      </c>
      <c r="I536" s="598" t="s">
        <v>1912</v>
      </c>
      <c r="J536" s="617" t="s">
        <v>1913</v>
      </c>
      <c r="K536" s="598">
        <v>5</v>
      </c>
      <c r="L536" s="598">
        <v>10</v>
      </c>
      <c r="M536" s="621">
        <v>20000</v>
      </c>
      <c r="N536" s="598"/>
      <c r="O536" s="598"/>
      <c r="P536" s="618"/>
    </row>
    <row r="537" spans="1:16" s="619" customFormat="1" ht="36" x14ac:dyDescent="0.2">
      <c r="A537" s="598" t="s">
        <v>1907</v>
      </c>
      <c r="B537" s="620" t="s">
        <v>1908</v>
      </c>
      <c r="C537" s="598" t="s">
        <v>2015</v>
      </c>
      <c r="D537" s="598" t="s">
        <v>2242</v>
      </c>
      <c r="E537" s="621">
        <v>4500</v>
      </c>
      <c r="F537" s="599">
        <v>72498448</v>
      </c>
      <c r="G537" s="598" t="s">
        <v>2773</v>
      </c>
      <c r="H537" s="598" t="s">
        <v>2774</v>
      </c>
      <c r="I537" s="598" t="s">
        <v>1912</v>
      </c>
      <c r="J537" s="617" t="s">
        <v>1913</v>
      </c>
      <c r="K537" s="598">
        <v>4</v>
      </c>
      <c r="L537" s="598">
        <v>4</v>
      </c>
      <c r="M537" s="621">
        <v>18000</v>
      </c>
      <c r="N537" s="598"/>
      <c r="O537" s="598"/>
      <c r="P537" s="618"/>
    </row>
    <row r="538" spans="1:16" s="619" customFormat="1" ht="48" x14ac:dyDescent="0.2">
      <c r="A538" s="598" t="s">
        <v>1907</v>
      </c>
      <c r="B538" s="620" t="s">
        <v>2073</v>
      </c>
      <c r="C538" s="598" t="s">
        <v>2015</v>
      </c>
      <c r="D538" s="598" t="s">
        <v>2354</v>
      </c>
      <c r="E538" s="621">
        <v>2800</v>
      </c>
      <c r="F538" s="599">
        <v>48314170</v>
      </c>
      <c r="G538" s="598" t="s">
        <v>2775</v>
      </c>
      <c r="H538" s="598" t="s">
        <v>2776</v>
      </c>
      <c r="I538" s="598" t="s">
        <v>1912</v>
      </c>
      <c r="J538" s="617" t="s">
        <v>1913</v>
      </c>
      <c r="K538" s="598">
        <v>2</v>
      </c>
      <c r="L538" s="598">
        <v>4</v>
      </c>
      <c r="M538" s="621">
        <v>11200</v>
      </c>
      <c r="N538" s="598"/>
      <c r="O538" s="598"/>
      <c r="P538" s="618"/>
    </row>
    <row r="539" spans="1:16" s="619" customFormat="1" ht="36" x14ac:dyDescent="0.2">
      <c r="A539" s="598" t="s">
        <v>1907</v>
      </c>
      <c r="B539" s="620" t="s">
        <v>1908</v>
      </c>
      <c r="C539" s="598" t="s">
        <v>2015</v>
      </c>
      <c r="D539" s="598" t="s">
        <v>2051</v>
      </c>
      <c r="E539" s="621">
        <v>2000</v>
      </c>
      <c r="F539" s="599">
        <v>45208797</v>
      </c>
      <c r="G539" s="598" t="s">
        <v>2777</v>
      </c>
      <c r="H539" s="598" t="s">
        <v>2778</v>
      </c>
      <c r="I539" s="598" t="s">
        <v>1912</v>
      </c>
      <c r="J539" s="617" t="s">
        <v>1913</v>
      </c>
      <c r="K539" s="598">
        <v>2</v>
      </c>
      <c r="L539" s="598">
        <v>3</v>
      </c>
      <c r="M539" s="621">
        <v>6000</v>
      </c>
      <c r="N539" s="598"/>
      <c r="O539" s="598"/>
      <c r="P539" s="618"/>
    </row>
    <row r="540" spans="1:16" s="619" customFormat="1" ht="36" x14ac:dyDescent="0.2">
      <c r="A540" s="598" t="s">
        <v>1907</v>
      </c>
      <c r="B540" s="620" t="s">
        <v>1908</v>
      </c>
      <c r="C540" s="598" t="s">
        <v>2015</v>
      </c>
      <c r="D540" s="598" t="s">
        <v>2051</v>
      </c>
      <c r="E540" s="621">
        <v>1400</v>
      </c>
      <c r="F540" s="599">
        <v>33738836</v>
      </c>
      <c r="G540" s="598" t="s">
        <v>2779</v>
      </c>
      <c r="H540" s="598" t="s">
        <v>2182</v>
      </c>
      <c r="I540" s="598" t="s">
        <v>1912</v>
      </c>
      <c r="J540" s="617" t="s">
        <v>1913</v>
      </c>
      <c r="K540" s="598">
        <v>2</v>
      </c>
      <c r="L540" s="598">
        <v>3</v>
      </c>
      <c r="M540" s="621">
        <v>4200</v>
      </c>
      <c r="N540" s="598"/>
      <c r="O540" s="598"/>
      <c r="P540" s="618"/>
    </row>
    <row r="541" spans="1:16" s="619" customFormat="1" ht="36" x14ac:dyDescent="0.2">
      <c r="A541" s="598" t="s">
        <v>1907</v>
      </c>
      <c r="B541" s="620" t="s">
        <v>1908</v>
      </c>
      <c r="C541" s="598" t="s">
        <v>2015</v>
      </c>
      <c r="D541" s="598" t="s">
        <v>2134</v>
      </c>
      <c r="E541" s="621">
        <v>3000</v>
      </c>
      <c r="F541" s="599">
        <v>42839208</v>
      </c>
      <c r="G541" s="598" t="s">
        <v>2780</v>
      </c>
      <c r="H541" s="598" t="s">
        <v>1911</v>
      </c>
      <c r="I541" s="598" t="s">
        <v>1912</v>
      </c>
      <c r="J541" s="617" t="s">
        <v>1913</v>
      </c>
      <c r="K541" s="598">
        <v>3</v>
      </c>
      <c r="L541" s="598">
        <v>4</v>
      </c>
      <c r="M541" s="621">
        <v>12000</v>
      </c>
      <c r="N541" s="598"/>
      <c r="O541" s="598"/>
      <c r="P541" s="618"/>
    </row>
    <row r="542" spans="1:16" s="619" customFormat="1" ht="36" x14ac:dyDescent="0.2">
      <c r="A542" s="598" t="s">
        <v>1907</v>
      </c>
      <c r="B542" s="620" t="s">
        <v>1908</v>
      </c>
      <c r="C542" s="598" t="s">
        <v>2015</v>
      </c>
      <c r="D542" s="598" t="s">
        <v>2334</v>
      </c>
      <c r="E542" s="621">
        <v>2500</v>
      </c>
      <c r="F542" s="599">
        <v>73697863</v>
      </c>
      <c r="G542" s="598" t="s">
        <v>2781</v>
      </c>
      <c r="H542" s="598" t="s">
        <v>2137</v>
      </c>
      <c r="I542" s="598" t="s">
        <v>1912</v>
      </c>
      <c r="J542" s="617" t="s">
        <v>1913</v>
      </c>
      <c r="K542" s="598">
        <v>2</v>
      </c>
      <c r="L542" s="598">
        <v>3</v>
      </c>
      <c r="M542" s="621">
        <v>7500</v>
      </c>
      <c r="N542" s="598"/>
      <c r="O542" s="598"/>
      <c r="P542" s="618"/>
    </row>
    <row r="543" spans="1:16" s="619" customFormat="1" ht="36" x14ac:dyDescent="0.2">
      <c r="A543" s="598" t="s">
        <v>1907</v>
      </c>
      <c r="B543" s="620" t="s">
        <v>1908</v>
      </c>
      <c r="C543" s="598" t="s">
        <v>2015</v>
      </c>
      <c r="D543" s="598" t="s">
        <v>2334</v>
      </c>
      <c r="E543" s="621">
        <v>3333.33</v>
      </c>
      <c r="F543" s="599">
        <v>27725296</v>
      </c>
      <c r="G543" s="598" t="s">
        <v>2782</v>
      </c>
      <c r="H543" s="598" t="s">
        <v>1954</v>
      </c>
      <c r="I543" s="598" t="s">
        <v>1912</v>
      </c>
      <c r="J543" s="617" t="s">
        <v>1913</v>
      </c>
      <c r="K543" s="598">
        <v>1</v>
      </c>
      <c r="L543" s="598">
        <v>1</v>
      </c>
      <c r="M543" s="621">
        <v>3333.33</v>
      </c>
      <c r="N543" s="598"/>
      <c r="O543" s="598"/>
      <c r="P543" s="618"/>
    </row>
    <row r="544" spans="1:16" s="619" customFormat="1" ht="24" x14ac:dyDescent="0.2">
      <c r="A544" s="598" t="s">
        <v>1907</v>
      </c>
      <c r="B544" s="620" t="s">
        <v>1908</v>
      </c>
      <c r="C544" s="598" t="s">
        <v>2015</v>
      </c>
      <c r="D544" s="598" t="s">
        <v>2097</v>
      </c>
      <c r="E544" s="621">
        <v>1100</v>
      </c>
      <c r="F544" s="599">
        <v>44453963</v>
      </c>
      <c r="G544" s="598" t="s">
        <v>2783</v>
      </c>
      <c r="H544" s="598"/>
      <c r="I544" s="598"/>
      <c r="J544" s="617"/>
      <c r="K544" s="598">
        <v>2</v>
      </c>
      <c r="L544" s="598">
        <v>3</v>
      </c>
      <c r="M544" s="621">
        <v>3300</v>
      </c>
      <c r="N544" s="598"/>
      <c r="O544" s="598"/>
      <c r="P544" s="618"/>
    </row>
    <row r="545" spans="1:16" s="619" customFormat="1" ht="24" x14ac:dyDescent="0.2">
      <c r="A545" s="598" t="s">
        <v>1907</v>
      </c>
      <c r="B545" s="620" t="s">
        <v>1908</v>
      </c>
      <c r="C545" s="598" t="s">
        <v>2015</v>
      </c>
      <c r="D545" s="598" t="s">
        <v>2051</v>
      </c>
      <c r="E545" s="621">
        <v>2000</v>
      </c>
      <c r="F545" s="599">
        <v>44803915</v>
      </c>
      <c r="G545" s="598" t="s">
        <v>2784</v>
      </c>
      <c r="H545" s="598" t="s">
        <v>2367</v>
      </c>
      <c r="I545" s="598" t="s">
        <v>1912</v>
      </c>
      <c r="J545" s="617" t="s">
        <v>1913</v>
      </c>
      <c r="K545" s="598">
        <v>2</v>
      </c>
      <c r="L545" s="598">
        <v>5</v>
      </c>
      <c r="M545" s="621">
        <v>10000</v>
      </c>
      <c r="N545" s="598"/>
      <c r="O545" s="598"/>
      <c r="P545" s="618"/>
    </row>
    <row r="546" spans="1:16" s="619" customFormat="1" ht="48" x14ac:dyDescent="0.2">
      <c r="A546" s="598" t="s">
        <v>1907</v>
      </c>
      <c r="B546" s="620" t="s">
        <v>1908</v>
      </c>
      <c r="C546" s="598" t="s">
        <v>2015</v>
      </c>
      <c r="D546" s="598" t="s">
        <v>2785</v>
      </c>
      <c r="E546" s="621">
        <v>5000</v>
      </c>
      <c r="F546" s="599">
        <v>44731354</v>
      </c>
      <c r="G546" s="598" t="s">
        <v>2786</v>
      </c>
      <c r="H546" s="598" t="s">
        <v>2787</v>
      </c>
      <c r="I546" s="598" t="s">
        <v>1912</v>
      </c>
      <c r="J546" s="617" t="s">
        <v>1913</v>
      </c>
      <c r="K546" s="598">
        <v>1</v>
      </c>
      <c r="L546" s="598">
        <v>2</v>
      </c>
      <c r="M546" s="621">
        <v>10000</v>
      </c>
      <c r="N546" s="598"/>
      <c r="O546" s="598"/>
      <c r="P546" s="618"/>
    </row>
    <row r="547" spans="1:16" s="619" customFormat="1" ht="36" x14ac:dyDescent="0.2">
      <c r="A547" s="598" t="s">
        <v>1907</v>
      </c>
      <c r="B547" s="620" t="s">
        <v>1908</v>
      </c>
      <c r="C547" s="598" t="s">
        <v>2015</v>
      </c>
      <c r="D547" s="598" t="s">
        <v>2051</v>
      </c>
      <c r="E547" s="621">
        <v>2000</v>
      </c>
      <c r="F547" s="599">
        <v>42403999</v>
      </c>
      <c r="G547" s="598" t="s">
        <v>2788</v>
      </c>
      <c r="H547" s="598" t="s">
        <v>2789</v>
      </c>
      <c r="I547" s="598" t="s">
        <v>1912</v>
      </c>
      <c r="J547" s="617" t="s">
        <v>1913</v>
      </c>
      <c r="K547" s="598">
        <v>1</v>
      </c>
      <c r="L547" s="598">
        <v>2</v>
      </c>
      <c r="M547" s="621">
        <v>4000</v>
      </c>
      <c r="N547" s="598"/>
      <c r="O547" s="598"/>
      <c r="P547" s="618"/>
    </row>
    <row r="548" spans="1:16" s="619" customFormat="1" ht="39.75" customHeight="1" x14ac:dyDescent="0.2">
      <c r="A548" s="598" t="s">
        <v>1907</v>
      </c>
      <c r="B548" s="620" t="s">
        <v>2050</v>
      </c>
      <c r="C548" s="598" t="s">
        <v>2015</v>
      </c>
      <c r="D548" s="598" t="s">
        <v>2051</v>
      </c>
      <c r="E548" s="621">
        <v>3000</v>
      </c>
      <c r="F548" s="599">
        <v>42098184</v>
      </c>
      <c r="G548" s="598" t="s">
        <v>2790</v>
      </c>
      <c r="H548" s="598" t="s">
        <v>2475</v>
      </c>
      <c r="I548" s="598" t="s">
        <v>1912</v>
      </c>
      <c r="J548" s="617" t="s">
        <v>1913</v>
      </c>
      <c r="K548" s="598">
        <v>2</v>
      </c>
      <c r="L548" s="598">
        <v>3</v>
      </c>
      <c r="M548" s="621">
        <v>9000</v>
      </c>
      <c r="N548" s="598"/>
      <c r="O548" s="598"/>
      <c r="P548" s="618"/>
    </row>
    <row r="549" spans="1:16" s="619" customFormat="1" ht="36" x14ac:dyDescent="0.2">
      <c r="A549" s="598" t="s">
        <v>1907</v>
      </c>
      <c r="B549" s="620" t="s">
        <v>1908</v>
      </c>
      <c r="C549" s="598" t="s">
        <v>2015</v>
      </c>
      <c r="D549" s="598" t="s">
        <v>2051</v>
      </c>
      <c r="E549" s="621">
        <v>2000</v>
      </c>
      <c r="F549" s="599">
        <v>72805599</v>
      </c>
      <c r="G549" s="598" t="s">
        <v>2791</v>
      </c>
      <c r="H549" s="598" t="s">
        <v>2182</v>
      </c>
      <c r="I549" s="598" t="s">
        <v>1912</v>
      </c>
      <c r="J549" s="617" t="s">
        <v>1913</v>
      </c>
      <c r="K549" s="598">
        <v>1</v>
      </c>
      <c r="L549" s="598">
        <v>2</v>
      </c>
      <c r="M549" s="621">
        <v>4000</v>
      </c>
      <c r="N549" s="598"/>
      <c r="O549" s="598"/>
      <c r="P549" s="618"/>
    </row>
    <row r="550" spans="1:16" s="619" customFormat="1" ht="24" x14ac:dyDescent="0.2">
      <c r="A550" s="598" t="s">
        <v>1907</v>
      </c>
      <c r="B550" s="620" t="s">
        <v>2050</v>
      </c>
      <c r="C550" s="598" t="s">
        <v>2015</v>
      </c>
      <c r="D550" s="598" t="s">
        <v>2242</v>
      </c>
      <c r="E550" s="621">
        <v>3500</v>
      </c>
      <c r="F550" s="599">
        <v>45593737</v>
      </c>
      <c r="G550" s="598" t="s">
        <v>2792</v>
      </c>
      <c r="H550" s="598" t="s">
        <v>2038</v>
      </c>
      <c r="I550" s="598" t="s">
        <v>1912</v>
      </c>
      <c r="J550" s="617" t="s">
        <v>1913</v>
      </c>
      <c r="K550" s="598">
        <v>2</v>
      </c>
      <c r="L550" s="598">
        <v>5</v>
      </c>
      <c r="M550" s="621">
        <v>17500</v>
      </c>
      <c r="N550" s="598"/>
      <c r="O550" s="598"/>
      <c r="P550" s="618"/>
    </row>
    <row r="551" spans="1:16" s="619" customFormat="1" ht="24" x14ac:dyDescent="0.2">
      <c r="A551" s="598" t="s">
        <v>1907</v>
      </c>
      <c r="B551" s="620" t="s">
        <v>1908</v>
      </c>
      <c r="C551" s="598" t="s">
        <v>2015</v>
      </c>
      <c r="D551" s="598" t="s">
        <v>2257</v>
      </c>
      <c r="E551" s="621">
        <v>4000</v>
      </c>
      <c r="F551" s="599">
        <v>17442279</v>
      </c>
      <c r="G551" s="598" t="s">
        <v>2793</v>
      </c>
      <c r="H551" s="598" t="s">
        <v>1911</v>
      </c>
      <c r="I551" s="598" t="s">
        <v>1912</v>
      </c>
      <c r="J551" s="617" t="s">
        <v>1913</v>
      </c>
      <c r="K551" s="598">
        <v>3</v>
      </c>
      <c r="L551" s="598">
        <v>6</v>
      </c>
      <c r="M551" s="621">
        <v>24000</v>
      </c>
      <c r="N551" s="598"/>
      <c r="O551" s="598"/>
      <c r="P551" s="618"/>
    </row>
    <row r="552" spans="1:16" s="619" customFormat="1" ht="36" x14ac:dyDescent="0.2">
      <c r="A552" s="598" t="s">
        <v>1907</v>
      </c>
      <c r="B552" s="620" t="s">
        <v>1908</v>
      </c>
      <c r="C552" s="598" t="s">
        <v>2015</v>
      </c>
      <c r="D552" s="598" t="s">
        <v>2123</v>
      </c>
      <c r="E552" s="621">
        <v>1200</v>
      </c>
      <c r="F552" s="599">
        <v>72805015</v>
      </c>
      <c r="G552" s="598" t="s">
        <v>2794</v>
      </c>
      <c r="H552" s="598"/>
      <c r="I552" s="598"/>
      <c r="J552" s="617"/>
      <c r="K552" s="598">
        <v>2</v>
      </c>
      <c r="L552" s="598">
        <v>3</v>
      </c>
      <c r="M552" s="621">
        <v>3600</v>
      </c>
      <c r="N552" s="598"/>
      <c r="O552" s="598"/>
      <c r="P552" s="618"/>
    </row>
    <row r="553" spans="1:16" s="619" customFormat="1" ht="24" x14ac:dyDescent="0.2">
      <c r="A553" s="598" t="s">
        <v>1907</v>
      </c>
      <c r="B553" s="620" t="s">
        <v>1908</v>
      </c>
      <c r="C553" s="598" t="s">
        <v>2015</v>
      </c>
      <c r="D553" s="598" t="s">
        <v>2284</v>
      </c>
      <c r="E553" s="621">
        <v>1400</v>
      </c>
      <c r="F553" s="599">
        <v>33408815</v>
      </c>
      <c r="G553" s="598" t="s">
        <v>2795</v>
      </c>
      <c r="H553" s="598" t="s">
        <v>2660</v>
      </c>
      <c r="I553" s="598" t="s">
        <v>1912</v>
      </c>
      <c r="J553" s="617" t="s">
        <v>1931</v>
      </c>
      <c r="K553" s="598">
        <v>2</v>
      </c>
      <c r="L553" s="598">
        <v>4</v>
      </c>
      <c r="M553" s="621">
        <v>5600</v>
      </c>
      <c r="N553" s="598"/>
      <c r="O553" s="598"/>
      <c r="P553" s="618"/>
    </row>
    <row r="554" spans="1:16" s="619" customFormat="1" ht="36" x14ac:dyDescent="0.2">
      <c r="A554" s="598" t="s">
        <v>1907</v>
      </c>
      <c r="B554" s="620" t="s">
        <v>1908</v>
      </c>
      <c r="C554" s="598" t="s">
        <v>2015</v>
      </c>
      <c r="D554" s="598" t="s">
        <v>2117</v>
      </c>
      <c r="E554" s="621">
        <v>1300</v>
      </c>
      <c r="F554" s="599">
        <v>72280566</v>
      </c>
      <c r="G554" s="598" t="s">
        <v>2796</v>
      </c>
      <c r="H554" s="598"/>
      <c r="I554" s="598"/>
      <c r="J554" s="617"/>
      <c r="K554" s="598">
        <v>2</v>
      </c>
      <c r="L554" s="598">
        <v>4</v>
      </c>
      <c r="M554" s="621">
        <v>5200</v>
      </c>
      <c r="N554" s="598"/>
      <c r="O554" s="598"/>
      <c r="P554" s="618"/>
    </row>
    <row r="555" spans="1:16" s="619" customFormat="1" ht="24" x14ac:dyDescent="0.2">
      <c r="A555" s="598" t="s">
        <v>1907</v>
      </c>
      <c r="B555" s="620" t="s">
        <v>2050</v>
      </c>
      <c r="C555" s="598" t="s">
        <v>2015</v>
      </c>
      <c r="D555" s="598" t="s">
        <v>2354</v>
      </c>
      <c r="E555" s="621">
        <v>3500</v>
      </c>
      <c r="F555" s="599">
        <v>33407415</v>
      </c>
      <c r="G555" s="598" t="s">
        <v>2797</v>
      </c>
      <c r="H555" s="598"/>
      <c r="I555" s="598"/>
      <c r="J555" s="617"/>
      <c r="K555" s="598">
        <v>2</v>
      </c>
      <c r="L555" s="598">
        <v>4</v>
      </c>
      <c r="M555" s="621">
        <v>14000</v>
      </c>
      <c r="N555" s="598"/>
      <c r="O555" s="598"/>
      <c r="P555" s="618"/>
    </row>
    <row r="556" spans="1:16" s="619" customFormat="1" ht="36" x14ac:dyDescent="0.2">
      <c r="A556" s="598" t="s">
        <v>1907</v>
      </c>
      <c r="B556" s="620" t="s">
        <v>1908</v>
      </c>
      <c r="C556" s="598" t="s">
        <v>2015</v>
      </c>
      <c r="D556" s="598" t="s">
        <v>2798</v>
      </c>
      <c r="E556" s="621">
        <v>6000</v>
      </c>
      <c r="F556" s="599">
        <v>16699241</v>
      </c>
      <c r="G556" s="598" t="s">
        <v>2799</v>
      </c>
      <c r="H556" s="598" t="s">
        <v>2800</v>
      </c>
      <c r="I556" s="598" t="s">
        <v>1912</v>
      </c>
      <c r="J556" s="617" t="s">
        <v>1913</v>
      </c>
      <c r="K556" s="598">
        <v>3</v>
      </c>
      <c r="L556" s="598">
        <v>4</v>
      </c>
      <c r="M556" s="621">
        <v>24000</v>
      </c>
      <c r="N556" s="598"/>
      <c r="O556" s="598"/>
      <c r="P556" s="618"/>
    </row>
    <row r="557" spans="1:16" s="619" customFormat="1" ht="24" x14ac:dyDescent="0.2">
      <c r="A557" s="598" t="s">
        <v>1907</v>
      </c>
      <c r="B557" s="620" t="s">
        <v>1908</v>
      </c>
      <c r="C557" s="598" t="s">
        <v>2015</v>
      </c>
      <c r="D557" s="598" t="s">
        <v>2427</v>
      </c>
      <c r="E557" s="621">
        <v>4000</v>
      </c>
      <c r="F557" s="599">
        <v>33408684</v>
      </c>
      <c r="G557" s="598" t="s">
        <v>2801</v>
      </c>
      <c r="H557" s="598" t="s">
        <v>2787</v>
      </c>
      <c r="I557" s="598" t="s">
        <v>1912</v>
      </c>
      <c r="J557" s="617" t="s">
        <v>1913</v>
      </c>
      <c r="K557" s="598">
        <v>1</v>
      </c>
      <c r="L557" s="598">
        <v>1</v>
      </c>
      <c r="M557" s="621">
        <v>4000</v>
      </c>
      <c r="N557" s="598"/>
      <c r="O557" s="598"/>
      <c r="P557" s="618"/>
    </row>
    <row r="558" spans="1:16" s="619" customFormat="1" ht="36" x14ac:dyDescent="0.2">
      <c r="A558" s="598" t="s">
        <v>1907</v>
      </c>
      <c r="B558" s="620" t="s">
        <v>1908</v>
      </c>
      <c r="C558" s="598" t="s">
        <v>2015</v>
      </c>
      <c r="D558" s="598" t="s">
        <v>2737</v>
      </c>
      <c r="E558" s="621">
        <v>1500</v>
      </c>
      <c r="F558" s="599">
        <v>75800753</v>
      </c>
      <c r="G558" s="598" t="s">
        <v>2802</v>
      </c>
      <c r="H558" s="598"/>
      <c r="I558" s="598"/>
      <c r="J558" s="617"/>
      <c r="K558" s="598">
        <v>3</v>
      </c>
      <c r="L558" s="598">
        <v>4</v>
      </c>
      <c r="M558" s="621">
        <v>6000</v>
      </c>
      <c r="N558" s="598"/>
      <c r="O558" s="598"/>
      <c r="P558" s="618"/>
    </row>
    <row r="559" spans="1:16" s="619" customFormat="1" ht="36" x14ac:dyDescent="0.2">
      <c r="A559" s="598" t="s">
        <v>1907</v>
      </c>
      <c r="B559" s="620" t="s">
        <v>1908</v>
      </c>
      <c r="C559" s="598" t="s">
        <v>2015</v>
      </c>
      <c r="D559" s="598" t="s">
        <v>2051</v>
      </c>
      <c r="E559" s="621">
        <v>2000</v>
      </c>
      <c r="F559" s="599">
        <v>61662449</v>
      </c>
      <c r="G559" s="598" t="s">
        <v>2803</v>
      </c>
      <c r="H559" s="598"/>
      <c r="I559" s="598"/>
      <c r="J559" s="617"/>
      <c r="K559" s="598">
        <v>1</v>
      </c>
      <c r="L559" s="598">
        <v>2</v>
      </c>
      <c r="M559" s="621">
        <v>4000</v>
      </c>
      <c r="N559" s="598"/>
      <c r="O559" s="598"/>
      <c r="P559" s="618"/>
    </row>
    <row r="560" spans="1:16" s="619" customFormat="1" ht="36" x14ac:dyDescent="0.2">
      <c r="A560" s="598" t="s">
        <v>1907</v>
      </c>
      <c r="B560" s="620" t="s">
        <v>2032</v>
      </c>
      <c r="C560" s="598" t="s">
        <v>2015</v>
      </c>
      <c r="D560" s="598" t="s">
        <v>2480</v>
      </c>
      <c r="E560" s="621">
        <v>5000</v>
      </c>
      <c r="F560" s="599">
        <v>46900665</v>
      </c>
      <c r="G560" s="598" t="s">
        <v>2804</v>
      </c>
      <c r="H560" s="598" t="s">
        <v>1911</v>
      </c>
      <c r="I560" s="598" t="s">
        <v>1912</v>
      </c>
      <c r="J560" s="617" t="s">
        <v>1913</v>
      </c>
      <c r="K560" s="598">
        <v>1</v>
      </c>
      <c r="L560" s="598">
        <v>2</v>
      </c>
      <c r="M560" s="621">
        <v>10000</v>
      </c>
      <c r="N560" s="598"/>
      <c r="O560" s="598"/>
      <c r="P560" s="618"/>
    </row>
    <row r="561" spans="1:16" s="619" customFormat="1" ht="24" x14ac:dyDescent="0.2">
      <c r="A561" s="598" t="s">
        <v>1907</v>
      </c>
      <c r="B561" s="620" t="s">
        <v>1908</v>
      </c>
      <c r="C561" s="598" t="s">
        <v>2015</v>
      </c>
      <c r="D561" s="598" t="s">
        <v>2051</v>
      </c>
      <c r="E561" s="621">
        <v>2000</v>
      </c>
      <c r="F561" s="599">
        <v>72020164</v>
      </c>
      <c r="G561" s="598" t="s">
        <v>2805</v>
      </c>
      <c r="H561" s="598" t="s">
        <v>2778</v>
      </c>
      <c r="I561" s="598" t="s">
        <v>1912</v>
      </c>
      <c r="J561" s="617" t="s">
        <v>1913</v>
      </c>
      <c r="K561" s="598">
        <v>1</v>
      </c>
      <c r="L561" s="598">
        <v>2</v>
      </c>
      <c r="M561" s="621">
        <v>4000</v>
      </c>
      <c r="N561" s="598"/>
      <c r="O561" s="598"/>
      <c r="P561" s="618"/>
    </row>
    <row r="562" spans="1:16" s="619" customFormat="1" ht="36" x14ac:dyDescent="0.2">
      <c r="A562" s="598" t="s">
        <v>1907</v>
      </c>
      <c r="B562" s="620" t="s">
        <v>1908</v>
      </c>
      <c r="C562" s="598" t="s">
        <v>2015</v>
      </c>
      <c r="D562" s="598" t="s">
        <v>2051</v>
      </c>
      <c r="E562" s="621">
        <v>2000</v>
      </c>
      <c r="F562" s="599">
        <v>76397326</v>
      </c>
      <c r="G562" s="598" t="s">
        <v>2806</v>
      </c>
      <c r="H562" s="598" t="s">
        <v>2807</v>
      </c>
      <c r="I562" s="598" t="s">
        <v>1912</v>
      </c>
      <c r="J562" s="617" t="s">
        <v>1913</v>
      </c>
      <c r="K562" s="598">
        <v>2</v>
      </c>
      <c r="L562" s="598">
        <v>4</v>
      </c>
      <c r="M562" s="621">
        <v>4000</v>
      </c>
      <c r="N562" s="598"/>
      <c r="O562" s="598"/>
      <c r="P562" s="618"/>
    </row>
    <row r="563" spans="1:16" s="619" customFormat="1" ht="36" x14ac:dyDescent="0.2">
      <c r="A563" s="598" t="s">
        <v>1907</v>
      </c>
      <c r="B563" s="620" t="s">
        <v>2275</v>
      </c>
      <c r="C563" s="598" t="s">
        <v>2015</v>
      </c>
      <c r="D563" s="598" t="s">
        <v>2711</v>
      </c>
      <c r="E563" s="621">
        <v>1200</v>
      </c>
      <c r="F563" s="599">
        <v>73693410</v>
      </c>
      <c r="G563" s="598" t="s">
        <v>2808</v>
      </c>
      <c r="H563" s="598" t="s">
        <v>1954</v>
      </c>
      <c r="I563" s="598" t="s">
        <v>1912</v>
      </c>
      <c r="J563" s="617" t="s">
        <v>1913</v>
      </c>
      <c r="K563" s="598">
        <v>3</v>
      </c>
      <c r="L563" s="598">
        <v>6</v>
      </c>
      <c r="M563" s="621">
        <v>7200</v>
      </c>
      <c r="N563" s="598"/>
      <c r="O563" s="598"/>
      <c r="P563" s="618"/>
    </row>
    <row r="564" spans="1:16" s="619" customFormat="1" ht="48" x14ac:dyDescent="0.2">
      <c r="A564" s="598" t="s">
        <v>1907</v>
      </c>
      <c r="B564" s="620" t="s">
        <v>1908</v>
      </c>
      <c r="C564" s="598" t="s">
        <v>2015</v>
      </c>
      <c r="D564" s="598" t="s">
        <v>2354</v>
      </c>
      <c r="E564" s="621">
        <v>2000</v>
      </c>
      <c r="F564" s="599">
        <v>74455805</v>
      </c>
      <c r="G564" s="598" t="s">
        <v>2809</v>
      </c>
      <c r="H564" s="598" t="s">
        <v>2620</v>
      </c>
      <c r="I564" s="598" t="s">
        <v>1912</v>
      </c>
      <c r="J564" s="617" t="s">
        <v>1913</v>
      </c>
      <c r="K564" s="598">
        <v>1</v>
      </c>
      <c r="L564" s="598">
        <v>2</v>
      </c>
      <c r="M564" s="621">
        <v>4000</v>
      </c>
      <c r="N564" s="598"/>
      <c r="O564" s="598"/>
      <c r="P564" s="618"/>
    </row>
    <row r="565" spans="1:16" s="619" customFormat="1" ht="36" x14ac:dyDescent="0.2">
      <c r="A565" s="598" t="s">
        <v>1907</v>
      </c>
      <c r="B565" s="620" t="s">
        <v>2032</v>
      </c>
      <c r="C565" s="598" t="s">
        <v>2015</v>
      </c>
      <c r="D565" s="598" t="s">
        <v>2480</v>
      </c>
      <c r="E565" s="621">
        <v>5000</v>
      </c>
      <c r="F565" s="599">
        <v>40226222</v>
      </c>
      <c r="G565" s="598" t="s">
        <v>2810</v>
      </c>
      <c r="H565" s="598" t="s">
        <v>1911</v>
      </c>
      <c r="I565" s="598" t="s">
        <v>1912</v>
      </c>
      <c r="J565" s="617" t="s">
        <v>1913</v>
      </c>
      <c r="K565" s="598">
        <v>2</v>
      </c>
      <c r="L565" s="598">
        <v>7</v>
      </c>
      <c r="M565" s="621">
        <v>35000</v>
      </c>
      <c r="N565" s="598"/>
      <c r="O565" s="598"/>
      <c r="P565" s="618"/>
    </row>
    <row r="566" spans="1:16" s="619" customFormat="1" ht="48" x14ac:dyDescent="0.2">
      <c r="A566" s="598" t="s">
        <v>1907</v>
      </c>
      <c r="B566" s="620" t="s">
        <v>1908</v>
      </c>
      <c r="C566" s="598" t="s">
        <v>2015</v>
      </c>
      <c r="D566" s="598" t="s">
        <v>2114</v>
      </c>
      <c r="E566" s="621">
        <v>5000</v>
      </c>
      <c r="F566" s="599">
        <v>42862116</v>
      </c>
      <c r="G566" s="598" t="s">
        <v>1927</v>
      </c>
      <c r="H566" s="598" t="s">
        <v>2143</v>
      </c>
      <c r="I566" s="598" t="s">
        <v>1912</v>
      </c>
      <c r="J566" s="617" t="s">
        <v>1913</v>
      </c>
      <c r="K566" s="598">
        <v>1</v>
      </c>
      <c r="L566" s="598">
        <v>2</v>
      </c>
      <c r="M566" s="621">
        <v>10000</v>
      </c>
      <c r="N566" s="598"/>
      <c r="O566" s="598"/>
      <c r="P566" s="618"/>
    </row>
    <row r="567" spans="1:16" s="619" customFormat="1" ht="36" x14ac:dyDescent="0.2">
      <c r="A567" s="598" t="s">
        <v>1907</v>
      </c>
      <c r="B567" s="620" t="s">
        <v>1908</v>
      </c>
      <c r="C567" s="598" t="s">
        <v>2015</v>
      </c>
      <c r="D567" s="598" t="s">
        <v>2016</v>
      </c>
      <c r="E567" s="621">
        <v>1200</v>
      </c>
      <c r="F567" s="599">
        <v>70564189</v>
      </c>
      <c r="G567" s="598" t="s">
        <v>2811</v>
      </c>
      <c r="H567" s="598"/>
      <c r="I567" s="598"/>
      <c r="J567" s="617"/>
      <c r="K567" s="598">
        <v>2</v>
      </c>
      <c r="L567" s="598">
        <v>4</v>
      </c>
      <c r="M567" s="621">
        <v>4800</v>
      </c>
      <c r="N567" s="598"/>
      <c r="O567" s="598"/>
      <c r="P567" s="618"/>
    </row>
    <row r="568" spans="1:16" s="619" customFormat="1" ht="48" x14ac:dyDescent="0.2">
      <c r="A568" s="598" t="s">
        <v>1907</v>
      </c>
      <c r="B568" s="620" t="s">
        <v>2073</v>
      </c>
      <c r="C568" s="598" t="s">
        <v>2015</v>
      </c>
      <c r="D568" s="598" t="s">
        <v>2354</v>
      </c>
      <c r="E568" s="621">
        <v>1200</v>
      </c>
      <c r="F568" s="599">
        <v>76148688</v>
      </c>
      <c r="G568" s="598" t="s">
        <v>2812</v>
      </c>
      <c r="H568" s="598"/>
      <c r="I568" s="598"/>
      <c r="J568" s="617"/>
      <c r="K568" s="598">
        <v>2</v>
      </c>
      <c r="L568" s="598">
        <v>5</v>
      </c>
      <c r="M568" s="621">
        <v>6000</v>
      </c>
      <c r="N568" s="598"/>
      <c r="O568" s="598"/>
      <c r="P568" s="618"/>
    </row>
    <row r="569" spans="1:16" s="619" customFormat="1" ht="24" x14ac:dyDescent="0.2">
      <c r="A569" s="598" t="s">
        <v>1907</v>
      </c>
      <c r="B569" s="620" t="s">
        <v>1908</v>
      </c>
      <c r="C569" s="598" t="s">
        <v>2015</v>
      </c>
      <c r="D569" s="598" t="s">
        <v>2354</v>
      </c>
      <c r="E569" s="621">
        <v>1900</v>
      </c>
      <c r="F569" s="599">
        <v>43208716</v>
      </c>
      <c r="G569" s="598" t="s">
        <v>2813</v>
      </c>
      <c r="H569" s="598" t="s">
        <v>2704</v>
      </c>
      <c r="I569" s="598" t="s">
        <v>1912</v>
      </c>
      <c r="J569" s="617" t="s">
        <v>1913</v>
      </c>
      <c r="K569" s="598">
        <v>1</v>
      </c>
      <c r="L569" s="598">
        <v>3</v>
      </c>
      <c r="M569" s="621">
        <v>5700</v>
      </c>
      <c r="N569" s="598"/>
      <c r="O569" s="598"/>
      <c r="P569" s="618"/>
    </row>
    <row r="570" spans="1:16" s="619" customFormat="1" ht="36" x14ac:dyDescent="0.2">
      <c r="A570" s="598" t="s">
        <v>1907</v>
      </c>
      <c r="B570" s="620" t="s">
        <v>1908</v>
      </c>
      <c r="C570" s="598" t="s">
        <v>2015</v>
      </c>
      <c r="D570" s="598" t="s">
        <v>2271</v>
      </c>
      <c r="E570" s="621">
        <v>1800</v>
      </c>
      <c r="F570" s="599">
        <v>72169803</v>
      </c>
      <c r="G570" s="598" t="s">
        <v>2814</v>
      </c>
      <c r="H570" s="598" t="s">
        <v>2704</v>
      </c>
      <c r="I570" s="598" t="s">
        <v>1912</v>
      </c>
      <c r="J570" s="617" t="s">
        <v>1913</v>
      </c>
      <c r="K570" s="598">
        <v>1</v>
      </c>
      <c r="L570" s="598">
        <v>3</v>
      </c>
      <c r="M570" s="621">
        <v>5400</v>
      </c>
      <c r="N570" s="598"/>
      <c r="O570" s="598"/>
      <c r="P570" s="618"/>
    </row>
    <row r="571" spans="1:16" s="619" customFormat="1" ht="24" x14ac:dyDescent="0.2">
      <c r="A571" s="598" t="s">
        <v>1907</v>
      </c>
      <c r="B571" s="620" t="s">
        <v>1908</v>
      </c>
      <c r="C571" s="598" t="s">
        <v>2015</v>
      </c>
      <c r="D571" s="598" t="s">
        <v>2271</v>
      </c>
      <c r="E571" s="621">
        <v>1800</v>
      </c>
      <c r="F571" s="599">
        <v>72719857</v>
      </c>
      <c r="G571" s="598" t="s">
        <v>2815</v>
      </c>
      <c r="H571" s="598"/>
      <c r="I571" s="598"/>
      <c r="J571" s="617"/>
      <c r="K571" s="598">
        <v>2</v>
      </c>
      <c r="L571" s="598">
        <v>4</v>
      </c>
      <c r="M571" s="621">
        <v>7200</v>
      </c>
      <c r="N571" s="598"/>
      <c r="O571" s="598"/>
      <c r="P571" s="618"/>
    </row>
    <row r="572" spans="1:16" s="619" customFormat="1" ht="36" x14ac:dyDescent="0.2">
      <c r="A572" s="598" t="s">
        <v>1907</v>
      </c>
      <c r="B572" s="620" t="s">
        <v>1908</v>
      </c>
      <c r="C572" s="598" t="s">
        <v>2015</v>
      </c>
      <c r="D572" s="598" t="s">
        <v>2354</v>
      </c>
      <c r="E572" s="621">
        <v>2200</v>
      </c>
      <c r="F572" s="599">
        <v>46708731</v>
      </c>
      <c r="G572" s="598" t="s">
        <v>2816</v>
      </c>
      <c r="H572" s="598" t="s">
        <v>2038</v>
      </c>
      <c r="I572" s="598" t="s">
        <v>1912</v>
      </c>
      <c r="J572" s="617" t="s">
        <v>1913</v>
      </c>
      <c r="K572" s="598">
        <v>1</v>
      </c>
      <c r="L572" s="598">
        <v>1</v>
      </c>
      <c r="M572" s="621">
        <v>2200</v>
      </c>
      <c r="N572" s="598"/>
      <c r="O572" s="598"/>
      <c r="P572" s="618"/>
    </row>
    <row r="573" spans="1:16" s="619" customFormat="1" ht="36" x14ac:dyDescent="0.2">
      <c r="A573" s="598" t="s">
        <v>1907</v>
      </c>
      <c r="B573" s="620" t="s">
        <v>1908</v>
      </c>
      <c r="C573" s="598" t="s">
        <v>2015</v>
      </c>
      <c r="D573" s="598" t="s">
        <v>2224</v>
      </c>
      <c r="E573" s="621">
        <v>3500</v>
      </c>
      <c r="F573" s="599">
        <v>16732004</v>
      </c>
      <c r="G573" s="598" t="s">
        <v>2817</v>
      </c>
      <c r="H573" s="598"/>
      <c r="I573" s="598"/>
      <c r="J573" s="617"/>
      <c r="K573" s="598">
        <v>1</v>
      </c>
      <c r="L573" s="598">
        <v>2</v>
      </c>
      <c r="M573" s="621">
        <v>7000</v>
      </c>
      <c r="N573" s="598"/>
      <c r="O573" s="598"/>
      <c r="P573" s="618"/>
    </row>
    <row r="574" spans="1:16" s="619" customFormat="1" ht="48" x14ac:dyDescent="0.2">
      <c r="A574" s="598" t="s">
        <v>1907</v>
      </c>
      <c r="B574" s="620" t="s">
        <v>2073</v>
      </c>
      <c r="C574" s="598" t="s">
        <v>2015</v>
      </c>
      <c r="D574" s="598" t="s">
        <v>2354</v>
      </c>
      <c r="E574" s="621">
        <v>1500</v>
      </c>
      <c r="F574" s="599">
        <v>72183795</v>
      </c>
      <c r="G574" s="598" t="s">
        <v>2818</v>
      </c>
      <c r="H574" s="598"/>
      <c r="I574" s="598"/>
      <c r="J574" s="617"/>
      <c r="K574" s="598">
        <v>2</v>
      </c>
      <c r="L574" s="598">
        <v>4</v>
      </c>
      <c r="M574" s="621">
        <v>6000</v>
      </c>
      <c r="N574" s="598"/>
      <c r="O574" s="598"/>
      <c r="P574" s="618"/>
    </row>
    <row r="575" spans="1:16" s="619" customFormat="1" ht="36" x14ac:dyDescent="0.2">
      <c r="A575" s="598" t="s">
        <v>1907</v>
      </c>
      <c r="B575" s="620" t="s">
        <v>2050</v>
      </c>
      <c r="C575" s="598" t="s">
        <v>2015</v>
      </c>
      <c r="D575" s="598" t="s">
        <v>2341</v>
      </c>
      <c r="E575" s="621">
        <v>2000</v>
      </c>
      <c r="F575" s="599">
        <v>40661906</v>
      </c>
      <c r="G575" s="598" t="s">
        <v>2819</v>
      </c>
      <c r="H575" s="598" t="s">
        <v>2059</v>
      </c>
      <c r="I575" s="598" t="s">
        <v>1912</v>
      </c>
      <c r="J575" s="617" t="s">
        <v>1913</v>
      </c>
      <c r="K575" s="598">
        <v>2</v>
      </c>
      <c r="L575" s="598">
        <v>4</v>
      </c>
      <c r="M575" s="621">
        <v>8000</v>
      </c>
      <c r="N575" s="598"/>
      <c r="O575" s="598"/>
      <c r="P575" s="618"/>
    </row>
    <row r="576" spans="1:16" s="619" customFormat="1" ht="36" x14ac:dyDescent="0.2">
      <c r="A576" s="598" t="s">
        <v>1907</v>
      </c>
      <c r="B576" s="620" t="s">
        <v>2050</v>
      </c>
      <c r="C576" s="598" t="s">
        <v>2015</v>
      </c>
      <c r="D576" s="598" t="s">
        <v>2102</v>
      </c>
      <c r="E576" s="621">
        <v>2000</v>
      </c>
      <c r="F576" s="599">
        <v>71521387</v>
      </c>
      <c r="G576" s="598" t="s">
        <v>2820</v>
      </c>
      <c r="H576" s="598" t="s">
        <v>2038</v>
      </c>
      <c r="I576" s="598" t="s">
        <v>1912</v>
      </c>
      <c r="J576" s="617" t="s">
        <v>1913</v>
      </c>
      <c r="K576" s="598">
        <v>1</v>
      </c>
      <c r="L576" s="598">
        <v>1</v>
      </c>
      <c r="M576" s="621">
        <v>2000</v>
      </c>
      <c r="N576" s="598"/>
      <c r="O576" s="598"/>
      <c r="P576" s="618"/>
    </row>
    <row r="577" spans="1:16" s="619" customFormat="1" ht="36" x14ac:dyDescent="0.2">
      <c r="A577" s="598" t="s">
        <v>1907</v>
      </c>
      <c r="B577" s="620" t="s">
        <v>1908</v>
      </c>
      <c r="C577" s="598" t="s">
        <v>2015</v>
      </c>
      <c r="D577" s="598" t="s">
        <v>2470</v>
      </c>
      <c r="E577" s="621">
        <v>1900</v>
      </c>
      <c r="F577" s="599">
        <v>46449415</v>
      </c>
      <c r="G577" s="598" t="s">
        <v>2821</v>
      </c>
      <c r="H577" s="598" t="s">
        <v>2448</v>
      </c>
      <c r="I577" s="598" t="s">
        <v>1912</v>
      </c>
      <c r="J577" s="617" t="s">
        <v>1913</v>
      </c>
      <c r="K577" s="598">
        <v>1</v>
      </c>
      <c r="L577" s="598">
        <v>2</v>
      </c>
      <c r="M577" s="621">
        <v>3800</v>
      </c>
      <c r="N577" s="598"/>
      <c r="O577" s="598"/>
      <c r="P577" s="618"/>
    </row>
    <row r="578" spans="1:16" s="619" customFormat="1" ht="36" x14ac:dyDescent="0.2">
      <c r="A578" s="598" t="s">
        <v>1907</v>
      </c>
      <c r="B578" s="620" t="s">
        <v>2050</v>
      </c>
      <c r="C578" s="598" t="s">
        <v>2015</v>
      </c>
      <c r="D578" s="598" t="s">
        <v>2242</v>
      </c>
      <c r="E578" s="621">
        <v>3000</v>
      </c>
      <c r="F578" s="599">
        <v>27725881</v>
      </c>
      <c r="G578" s="598" t="s">
        <v>2822</v>
      </c>
      <c r="H578" s="598" t="s">
        <v>1922</v>
      </c>
      <c r="I578" s="598" t="s">
        <v>1912</v>
      </c>
      <c r="J578" s="617" t="s">
        <v>1913</v>
      </c>
      <c r="K578" s="598">
        <v>1</v>
      </c>
      <c r="L578" s="598">
        <v>1</v>
      </c>
      <c r="M578" s="621">
        <v>3000</v>
      </c>
      <c r="N578" s="598"/>
      <c r="O578" s="598"/>
      <c r="P578" s="618"/>
    </row>
    <row r="579" spans="1:16" s="619" customFormat="1" ht="48" x14ac:dyDescent="0.2">
      <c r="A579" s="598" t="s">
        <v>1907</v>
      </c>
      <c r="B579" s="620" t="s">
        <v>2050</v>
      </c>
      <c r="C579" s="598" t="s">
        <v>2015</v>
      </c>
      <c r="D579" s="598" t="s">
        <v>2354</v>
      </c>
      <c r="E579" s="621">
        <v>2500</v>
      </c>
      <c r="F579" s="599">
        <v>72248319</v>
      </c>
      <c r="G579" s="598" t="s">
        <v>2823</v>
      </c>
      <c r="H579" s="598" t="s">
        <v>2448</v>
      </c>
      <c r="I579" s="598" t="s">
        <v>1912</v>
      </c>
      <c r="J579" s="617" t="s">
        <v>1913</v>
      </c>
      <c r="K579" s="598">
        <v>1</v>
      </c>
      <c r="L579" s="598">
        <v>2</v>
      </c>
      <c r="M579" s="621">
        <v>5000</v>
      </c>
      <c r="N579" s="598"/>
      <c r="O579" s="598"/>
      <c r="P579" s="618"/>
    </row>
    <row r="580" spans="1:16" s="619" customFormat="1" ht="24" x14ac:dyDescent="0.2">
      <c r="A580" s="598" t="s">
        <v>1907</v>
      </c>
      <c r="B580" s="620" t="s">
        <v>1908</v>
      </c>
      <c r="C580" s="598" t="s">
        <v>2015</v>
      </c>
      <c r="D580" s="598" t="s">
        <v>2354</v>
      </c>
      <c r="E580" s="621">
        <v>1100</v>
      </c>
      <c r="F580" s="599">
        <v>33962860</v>
      </c>
      <c r="G580" s="598" t="s">
        <v>2824</v>
      </c>
      <c r="H580" s="598"/>
      <c r="I580" s="598"/>
      <c r="J580" s="617"/>
      <c r="K580" s="598">
        <v>1</v>
      </c>
      <c r="L580" s="598">
        <v>4</v>
      </c>
      <c r="M580" s="621">
        <v>4400</v>
      </c>
      <c r="N580" s="598"/>
      <c r="O580" s="598"/>
      <c r="P580" s="618"/>
    </row>
    <row r="581" spans="1:16" s="619" customFormat="1" ht="36" x14ac:dyDescent="0.2">
      <c r="A581" s="598" t="s">
        <v>1907</v>
      </c>
      <c r="B581" s="620" t="s">
        <v>2050</v>
      </c>
      <c r="C581" s="598" t="s">
        <v>2015</v>
      </c>
      <c r="D581" s="598" t="s">
        <v>2341</v>
      </c>
      <c r="E581" s="621">
        <v>2200</v>
      </c>
      <c r="F581" s="599">
        <v>77324642</v>
      </c>
      <c r="G581" s="598" t="s">
        <v>2825</v>
      </c>
      <c r="H581" s="598" t="s">
        <v>2826</v>
      </c>
      <c r="I581" s="598" t="s">
        <v>1912</v>
      </c>
      <c r="J581" s="617" t="s">
        <v>1931</v>
      </c>
      <c r="K581" s="598">
        <v>1</v>
      </c>
      <c r="L581" s="598">
        <v>3</v>
      </c>
      <c r="M581" s="621">
        <v>6600</v>
      </c>
      <c r="N581" s="598"/>
      <c r="O581" s="598"/>
      <c r="P581" s="618"/>
    </row>
    <row r="582" spans="1:16" s="619" customFormat="1" ht="36" x14ac:dyDescent="0.2">
      <c r="A582" s="598" t="s">
        <v>1907</v>
      </c>
      <c r="B582" s="620" t="s">
        <v>2032</v>
      </c>
      <c r="C582" s="598" t="s">
        <v>2015</v>
      </c>
      <c r="D582" s="598" t="s">
        <v>2480</v>
      </c>
      <c r="E582" s="621">
        <v>5000</v>
      </c>
      <c r="F582" s="599">
        <v>41212722</v>
      </c>
      <c r="G582" s="598" t="s">
        <v>2827</v>
      </c>
      <c r="H582" s="598" t="s">
        <v>2549</v>
      </c>
      <c r="I582" s="598" t="s">
        <v>1912</v>
      </c>
      <c r="J582" s="617" t="s">
        <v>1913</v>
      </c>
      <c r="K582" s="598">
        <v>1</v>
      </c>
      <c r="L582" s="598">
        <v>4</v>
      </c>
      <c r="M582" s="621">
        <v>20000</v>
      </c>
      <c r="N582" s="598"/>
      <c r="O582" s="598"/>
      <c r="P582" s="618"/>
    </row>
    <row r="583" spans="1:16" s="619" customFormat="1" ht="24" x14ac:dyDescent="0.2">
      <c r="A583" s="598" t="s">
        <v>1907</v>
      </c>
      <c r="B583" s="620" t="s">
        <v>2050</v>
      </c>
      <c r="C583" s="598" t="s">
        <v>2015</v>
      </c>
      <c r="D583" s="598" t="s">
        <v>2354</v>
      </c>
      <c r="E583" s="621">
        <v>1300</v>
      </c>
      <c r="F583" s="599">
        <v>72559770</v>
      </c>
      <c r="G583" s="598" t="s">
        <v>2828</v>
      </c>
      <c r="H583" s="598"/>
      <c r="I583" s="598"/>
      <c r="J583" s="617"/>
      <c r="K583" s="598">
        <v>1</v>
      </c>
      <c r="L583" s="598">
        <v>2</v>
      </c>
      <c r="M583" s="621">
        <v>2600</v>
      </c>
      <c r="N583" s="598"/>
      <c r="O583" s="598"/>
      <c r="P583" s="618"/>
    </row>
    <row r="584" spans="1:16" s="619" customFormat="1" ht="36" x14ac:dyDescent="0.2">
      <c r="A584" s="598" t="s">
        <v>1907</v>
      </c>
      <c r="B584" s="620" t="s">
        <v>1908</v>
      </c>
      <c r="C584" s="598" t="s">
        <v>2015</v>
      </c>
      <c r="D584" s="598" t="s">
        <v>2284</v>
      </c>
      <c r="E584" s="621">
        <v>2100</v>
      </c>
      <c r="F584" s="599">
        <v>73059323</v>
      </c>
      <c r="G584" s="598" t="s">
        <v>2829</v>
      </c>
      <c r="H584" s="598" t="s">
        <v>1985</v>
      </c>
      <c r="I584" s="598" t="s">
        <v>1912</v>
      </c>
      <c r="J584" s="617" t="s">
        <v>1913</v>
      </c>
      <c r="K584" s="598">
        <v>1</v>
      </c>
      <c r="L584" s="598">
        <v>1</v>
      </c>
      <c r="M584" s="621">
        <v>2100</v>
      </c>
      <c r="N584" s="598"/>
      <c r="O584" s="598"/>
      <c r="P584" s="618"/>
    </row>
    <row r="585" spans="1:16" s="619" customFormat="1" ht="36" x14ac:dyDescent="0.2">
      <c r="A585" s="598" t="s">
        <v>1907</v>
      </c>
      <c r="B585" s="620" t="s">
        <v>1908</v>
      </c>
      <c r="C585" s="598" t="s">
        <v>2015</v>
      </c>
      <c r="D585" s="598" t="s">
        <v>2051</v>
      </c>
      <c r="E585" s="621">
        <v>2000</v>
      </c>
      <c r="F585" s="599">
        <v>44058012</v>
      </c>
      <c r="G585" s="598" t="s">
        <v>2830</v>
      </c>
      <c r="H585" s="598" t="s">
        <v>2831</v>
      </c>
      <c r="I585" s="598" t="s">
        <v>1912</v>
      </c>
      <c r="J585" s="617" t="s">
        <v>1913</v>
      </c>
      <c r="K585" s="598">
        <v>1</v>
      </c>
      <c r="L585" s="598">
        <v>2</v>
      </c>
      <c r="M585" s="621">
        <v>4000</v>
      </c>
      <c r="N585" s="598"/>
      <c r="O585" s="598"/>
      <c r="P585" s="618"/>
    </row>
    <row r="586" spans="1:16" s="619" customFormat="1" ht="24" x14ac:dyDescent="0.2">
      <c r="A586" s="598" t="s">
        <v>1907</v>
      </c>
      <c r="B586" s="620" t="s">
        <v>1908</v>
      </c>
      <c r="C586" s="598" t="s">
        <v>2015</v>
      </c>
      <c r="D586" s="598" t="s">
        <v>2221</v>
      </c>
      <c r="E586" s="621">
        <v>1933.33</v>
      </c>
      <c r="F586" s="599">
        <v>71472622</v>
      </c>
      <c r="G586" s="598" t="s">
        <v>2832</v>
      </c>
      <c r="H586" s="598" t="s">
        <v>2754</v>
      </c>
      <c r="I586" s="598" t="s">
        <v>1912</v>
      </c>
      <c r="J586" s="617" t="s">
        <v>1913</v>
      </c>
      <c r="K586" s="598">
        <v>1</v>
      </c>
      <c r="L586" s="598">
        <v>1</v>
      </c>
      <c r="M586" s="621">
        <v>1933.33</v>
      </c>
      <c r="N586" s="598"/>
      <c r="O586" s="598"/>
      <c r="P586" s="618"/>
    </row>
    <row r="587" spans="1:16" s="619" customFormat="1" ht="36" x14ac:dyDescent="0.2">
      <c r="A587" s="598" t="s">
        <v>1907</v>
      </c>
      <c r="B587" s="620" t="s">
        <v>1908</v>
      </c>
      <c r="C587" s="598" t="s">
        <v>2015</v>
      </c>
      <c r="D587" s="598" t="s">
        <v>2051</v>
      </c>
      <c r="E587" s="621">
        <v>1120</v>
      </c>
      <c r="F587" s="599">
        <v>45351976</v>
      </c>
      <c r="G587" s="598" t="s">
        <v>2833</v>
      </c>
      <c r="H587" s="598"/>
      <c r="I587" s="598"/>
      <c r="J587" s="617"/>
      <c r="K587" s="598">
        <v>1</v>
      </c>
      <c r="L587" s="598">
        <v>2</v>
      </c>
      <c r="M587" s="621">
        <v>2240</v>
      </c>
      <c r="N587" s="598"/>
      <c r="O587" s="598"/>
      <c r="P587" s="618"/>
    </row>
    <row r="588" spans="1:16" s="619" customFormat="1" ht="24" x14ac:dyDescent="0.2">
      <c r="A588" s="598" t="s">
        <v>1907</v>
      </c>
      <c r="B588" s="620" t="s">
        <v>1908</v>
      </c>
      <c r="C588" s="598" t="s">
        <v>2015</v>
      </c>
      <c r="D588" s="598" t="s">
        <v>2834</v>
      </c>
      <c r="E588" s="621">
        <v>1500</v>
      </c>
      <c r="F588" s="599">
        <v>45921178</v>
      </c>
      <c r="G588" s="598" t="s">
        <v>2835</v>
      </c>
      <c r="H588" s="598"/>
      <c r="I588" s="598"/>
      <c r="J588" s="617"/>
      <c r="K588" s="598">
        <v>2</v>
      </c>
      <c r="L588" s="598">
        <v>4</v>
      </c>
      <c r="M588" s="621">
        <v>6000</v>
      </c>
      <c r="N588" s="598"/>
      <c r="O588" s="598"/>
      <c r="P588" s="618"/>
    </row>
    <row r="589" spans="1:16" s="619" customFormat="1" ht="36" x14ac:dyDescent="0.2">
      <c r="A589" s="598" t="s">
        <v>1907</v>
      </c>
      <c r="B589" s="620" t="s">
        <v>1908</v>
      </c>
      <c r="C589" s="598" t="s">
        <v>2015</v>
      </c>
      <c r="D589" s="598" t="s">
        <v>2341</v>
      </c>
      <c r="E589" s="621">
        <v>7000</v>
      </c>
      <c r="F589" s="599">
        <v>41488683</v>
      </c>
      <c r="G589" s="598" t="s">
        <v>2836</v>
      </c>
      <c r="H589" s="598" t="s">
        <v>2079</v>
      </c>
      <c r="I589" s="598" t="s">
        <v>1912</v>
      </c>
      <c r="J589" s="617" t="s">
        <v>1913</v>
      </c>
      <c r="K589" s="598">
        <v>1</v>
      </c>
      <c r="L589" s="598">
        <v>3</v>
      </c>
      <c r="M589" s="621">
        <v>21000</v>
      </c>
      <c r="N589" s="598"/>
      <c r="O589" s="598"/>
      <c r="P589" s="618"/>
    </row>
    <row r="590" spans="1:16" s="619" customFormat="1" ht="24" x14ac:dyDescent="0.2">
      <c r="A590" s="598" t="s">
        <v>1907</v>
      </c>
      <c r="B590" s="620" t="s">
        <v>1908</v>
      </c>
      <c r="C590" s="598" t="s">
        <v>2015</v>
      </c>
      <c r="D590" s="598" t="s">
        <v>2354</v>
      </c>
      <c r="E590" s="621">
        <v>1900</v>
      </c>
      <c r="F590" s="599">
        <v>48307441</v>
      </c>
      <c r="G590" s="598" t="s">
        <v>2837</v>
      </c>
      <c r="H590" s="598" t="s">
        <v>2352</v>
      </c>
      <c r="I590" s="598" t="s">
        <v>1912</v>
      </c>
      <c r="J590" s="617" t="s">
        <v>1913</v>
      </c>
      <c r="K590" s="598">
        <v>1</v>
      </c>
      <c r="L590" s="598">
        <v>2</v>
      </c>
      <c r="M590" s="621">
        <v>38000</v>
      </c>
      <c r="N590" s="598"/>
      <c r="O590" s="598"/>
      <c r="P590" s="618"/>
    </row>
    <row r="591" spans="1:16" s="619" customFormat="1" ht="24" x14ac:dyDescent="0.2">
      <c r="A591" s="598" t="s">
        <v>1907</v>
      </c>
      <c r="B591" s="620" t="s">
        <v>1908</v>
      </c>
      <c r="C591" s="598" t="s">
        <v>2015</v>
      </c>
      <c r="D591" s="598" t="s">
        <v>2418</v>
      </c>
      <c r="E591" s="621">
        <v>1100</v>
      </c>
      <c r="F591" s="599">
        <v>60303825</v>
      </c>
      <c r="G591" s="598" t="s">
        <v>1948</v>
      </c>
      <c r="H591" s="598"/>
      <c r="I591" s="598"/>
      <c r="J591" s="617"/>
      <c r="K591" s="598">
        <v>2</v>
      </c>
      <c r="L591" s="598">
        <v>3</v>
      </c>
      <c r="M591" s="621">
        <v>3300</v>
      </c>
      <c r="N591" s="598"/>
      <c r="O591" s="598"/>
      <c r="P591" s="618"/>
    </row>
    <row r="592" spans="1:16" s="619" customFormat="1" ht="36" x14ac:dyDescent="0.2">
      <c r="A592" s="598" t="s">
        <v>1907</v>
      </c>
      <c r="B592" s="620" t="s">
        <v>2050</v>
      </c>
      <c r="C592" s="598" t="s">
        <v>2015</v>
      </c>
      <c r="D592" s="598" t="s">
        <v>2650</v>
      </c>
      <c r="E592" s="621">
        <v>2000</v>
      </c>
      <c r="F592" s="599">
        <v>72515316</v>
      </c>
      <c r="G592" s="598" t="s">
        <v>2838</v>
      </c>
      <c r="H592" s="598" t="s">
        <v>2839</v>
      </c>
      <c r="I592" s="598" t="s">
        <v>1912</v>
      </c>
      <c r="J592" s="617" t="s">
        <v>1913</v>
      </c>
      <c r="K592" s="598">
        <v>3</v>
      </c>
      <c r="L592" s="598">
        <v>3</v>
      </c>
      <c r="M592" s="621">
        <v>6000</v>
      </c>
      <c r="N592" s="598"/>
      <c r="O592" s="598"/>
      <c r="P592" s="618"/>
    </row>
    <row r="593" spans="1:16" s="619" customFormat="1" ht="36" x14ac:dyDescent="0.2">
      <c r="A593" s="598" t="s">
        <v>1907</v>
      </c>
      <c r="B593" s="620" t="s">
        <v>1908</v>
      </c>
      <c r="C593" s="598" t="s">
        <v>2015</v>
      </c>
      <c r="D593" s="598" t="s">
        <v>2051</v>
      </c>
      <c r="E593" s="621">
        <v>2000</v>
      </c>
      <c r="F593" s="599">
        <v>33656191</v>
      </c>
      <c r="G593" s="598" t="s">
        <v>2840</v>
      </c>
      <c r="H593" s="598" t="s">
        <v>2841</v>
      </c>
      <c r="I593" s="598" t="s">
        <v>1912</v>
      </c>
      <c r="J593" s="617" t="s">
        <v>1931</v>
      </c>
      <c r="K593" s="598">
        <v>1</v>
      </c>
      <c r="L593" s="598">
        <v>2</v>
      </c>
      <c r="M593" s="621">
        <v>4000</v>
      </c>
      <c r="N593" s="598"/>
      <c r="O593" s="598"/>
      <c r="P593" s="618"/>
    </row>
    <row r="594" spans="1:16" s="619" customFormat="1" ht="36" x14ac:dyDescent="0.2">
      <c r="A594" s="598" t="s">
        <v>1907</v>
      </c>
      <c r="B594" s="620" t="s">
        <v>1908</v>
      </c>
      <c r="C594" s="598" t="s">
        <v>2015</v>
      </c>
      <c r="D594" s="598" t="s">
        <v>2248</v>
      </c>
      <c r="E594" s="621">
        <v>2600</v>
      </c>
      <c r="F594" s="599">
        <v>40838470</v>
      </c>
      <c r="G594" s="598" t="s">
        <v>2842</v>
      </c>
      <c r="H594" s="598" t="s">
        <v>2787</v>
      </c>
      <c r="I594" s="598" t="s">
        <v>1912</v>
      </c>
      <c r="J594" s="617" t="s">
        <v>1913</v>
      </c>
      <c r="K594" s="598">
        <v>1</v>
      </c>
      <c r="L594" s="598">
        <v>4</v>
      </c>
      <c r="M594" s="621">
        <v>10400</v>
      </c>
      <c r="N594" s="598"/>
      <c r="O594" s="598"/>
      <c r="P594" s="618"/>
    </row>
    <row r="595" spans="1:16" s="619" customFormat="1" ht="36" x14ac:dyDescent="0.2">
      <c r="A595" s="598" t="s">
        <v>1907</v>
      </c>
      <c r="B595" s="620" t="s">
        <v>1908</v>
      </c>
      <c r="C595" s="598" t="s">
        <v>2015</v>
      </c>
      <c r="D595" s="598" t="s">
        <v>2051</v>
      </c>
      <c r="E595" s="621">
        <v>1000</v>
      </c>
      <c r="F595" s="599">
        <v>76803266</v>
      </c>
      <c r="G595" s="598" t="s">
        <v>2843</v>
      </c>
      <c r="H595" s="598"/>
      <c r="I595" s="598"/>
      <c r="J595" s="617"/>
      <c r="K595" s="598">
        <v>1</v>
      </c>
      <c r="L595" s="598">
        <v>1</v>
      </c>
      <c r="M595" s="621">
        <v>1000</v>
      </c>
      <c r="N595" s="598"/>
      <c r="O595" s="598"/>
      <c r="P595" s="618"/>
    </row>
    <row r="596" spans="1:16" s="619" customFormat="1" ht="36" x14ac:dyDescent="0.2">
      <c r="A596" s="598" t="s">
        <v>1907</v>
      </c>
      <c r="B596" s="620" t="s">
        <v>1908</v>
      </c>
      <c r="C596" s="598" t="s">
        <v>2015</v>
      </c>
      <c r="D596" s="598" t="s">
        <v>2051</v>
      </c>
      <c r="E596" s="621">
        <v>2000</v>
      </c>
      <c r="F596" s="599">
        <v>76803266</v>
      </c>
      <c r="G596" s="598" t="s">
        <v>2843</v>
      </c>
      <c r="H596" s="598"/>
      <c r="I596" s="598"/>
      <c r="J596" s="617"/>
      <c r="K596" s="598">
        <v>1</v>
      </c>
      <c r="L596" s="598">
        <v>4</v>
      </c>
      <c r="M596" s="621">
        <v>8000</v>
      </c>
      <c r="N596" s="598"/>
      <c r="O596" s="598"/>
      <c r="P596" s="618"/>
    </row>
    <row r="597" spans="1:16" s="619" customFormat="1" ht="36" x14ac:dyDescent="0.2">
      <c r="A597" s="598" t="s">
        <v>1907</v>
      </c>
      <c r="B597" s="620" t="s">
        <v>2050</v>
      </c>
      <c r="C597" s="598" t="s">
        <v>2015</v>
      </c>
      <c r="D597" s="598" t="s">
        <v>2242</v>
      </c>
      <c r="E597" s="621">
        <v>1500</v>
      </c>
      <c r="F597" s="599">
        <v>73895351</v>
      </c>
      <c r="G597" s="598" t="s">
        <v>2844</v>
      </c>
      <c r="H597" s="598" t="s">
        <v>2845</v>
      </c>
      <c r="I597" s="598" t="s">
        <v>1912</v>
      </c>
      <c r="J597" s="617" t="s">
        <v>1931</v>
      </c>
      <c r="K597" s="598">
        <v>1</v>
      </c>
      <c r="L597" s="598">
        <v>1</v>
      </c>
      <c r="M597" s="621">
        <v>1500</v>
      </c>
      <c r="N597" s="598"/>
      <c r="O597" s="598"/>
      <c r="P597" s="618"/>
    </row>
    <row r="598" spans="1:16" s="619" customFormat="1" ht="48" x14ac:dyDescent="0.2">
      <c r="A598" s="598" t="s">
        <v>1907</v>
      </c>
      <c r="B598" s="620" t="s">
        <v>2073</v>
      </c>
      <c r="C598" s="598" t="s">
        <v>2015</v>
      </c>
      <c r="D598" s="598" t="s">
        <v>2354</v>
      </c>
      <c r="E598" s="621">
        <v>4000</v>
      </c>
      <c r="F598" s="599">
        <v>46548674</v>
      </c>
      <c r="G598" s="598" t="s">
        <v>2846</v>
      </c>
      <c r="H598" s="598" t="s">
        <v>2079</v>
      </c>
      <c r="I598" s="598" t="s">
        <v>1912</v>
      </c>
      <c r="J598" s="617" t="s">
        <v>1913</v>
      </c>
      <c r="K598" s="598">
        <v>1</v>
      </c>
      <c r="L598" s="598">
        <v>2</v>
      </c>
      <c r="M598" s="621">
        <v>8000</v>
      </c>
      <c r="N598" s="598"/>
      <c r="O598" s="598"/>
      <c r="P598" s="618"/>
    </row>
    <row r="599" spans="1:16" s="619" customFormat="1" ht="48" x14ac:dyDescent="0.2">
      <c r="A599" s="598" t="s">
        <v>1907</v>
      </c>
      <c r="B599" s="620" t="s">
        <v>1908</v>
      </c>
      <c r="C599" s="598" t="s">
        <v>2015</v>
      </c>
      <c r="D599" s="598" t="s">
        <v>2480</v>
      </c>
      <c r="E599" s="621">
        <v>5000</v>
      </c>
      <c r="F599" s="599">
        <v>18011307</v>
      </c>
      <c r="G599" s="598" t="s">
        <v>2847</v>
      </c>
      <c r="H599" s="598" t="s">
        <v>2549</v>
      </c>
      <c r="I599" s="598" t="s">
        <v>1912</v>
      </c>
      <c r="J599" s="617" t="s">
        <v>1913</v>
      </c>
      <c r="K599" s="598">
        <v>2</v>
      </c>
      <c r="L599" s="598">
        <v>8</v>
      </c>
      <c r="M599" s="621">
        <v>40000</v>
      </c>
      <c r="N599" s="598"/>
      <c r="O599" s="598"/>
      <c r="P599" s="618"/>
    </row>
    <row r="600" spans="1:16" s="619" customFormat="1" ht="36" x14ac:dyDescent="0.2">
      <c r="A600" s="598" t="s">
        <v>1907</v>
      </c>
      <c r="B600" s="620" t="s">
        <v>1908</v>
      </c>
      <c r="C600" s="598" t="s">
        <v>2015</v>
      </c>
      <c r="D600" s="598" t="s">
        <v>2134</v>
      </c>
      <c r="E600" s="621">
        <v>1200</v>
      </c>
      <c r="F600" s="599">
        <v>71707192</v>
      </c>
      <c r="G600" s="598" t="s">
        <v>2848</v>
      </c>
      <c r="H600" s="598" t="s">
        <v>2849</v>
      </c>
      <c r="I600" s="598" t="s">
        <v>1912</v>
      </c>
      <c r="J600" s="617" t="s">
        <v>1913</v>
      </c>
      <c r="K600" s="598">
        <v>2</v>
      </c>
      <c r="L600" s="598">
        <v>2</v>
      </c>
      <c r="M600" s="621">
        <v>2400</v>
      </c>
      <c r="N600" s="598"/>
      <c r="O600" s="598"/>
      <c r="P600" s="618"/>
    </row>
    <row r="601" spans="1:16" s="619" customFormat="1" ht="24" x14ac:dyDescent="0.2">
      <c r="A601" s="598" t="s">
        <v>1907</v>
      </c>
      <c r="B601" s="620" t="s">
        <v>1908</v>
      </c>
      <c r="C601" s="598" t="s">
        <v>2015</v>
      </c>
      <c r="D601" s="598" t="s">
        <v>2221</v>
      </c>
      <c r="E601" s="621">
        <v>3799.99</v>
      </c>
      <c r="F601" s="599">
        <v>48756279</v>
      </c>
      <c r="G601" s="598" t="s">
        <v>2850</v>
      </c>
      <c r="H601" s="598"/>
      <c r="I601" s="598"/>
      <c r="J601" s="617"/>
      <c r="K601" s="598">
        <v>1</v>
      </c>
      <c r="L601" s="598">
        <v>2</v>
      </c>
      <c r="M601" s="621">
        <v>7599.98</v>
      </c>
      <c r="N601" s="598"/>
      <c r="O601" s="598"/>
      <c r="P601" s="618"/>
    </row>
    <row r="602" spans="1:16" s="619" customFormat="1" ht="48" x14ac:dyDescent="0.2">
      <c r="A602" s="598" t="s">
        <v>1907</v>
      </c>
      <c r="B602" s="620" t="s">
        <v>1908</v>
      </c>
      <c r="C602" s="598" t="s">
        <v>2015</v>
      </c>
      <c r="D602" s="598" t="s">
        <v>2851</v>
      </c>
      <c r="E602" s="621">
        <v>2500</v>
      </c>
      <c r="F602" s="599">
        <v>46510722</v>
      </c>
      <c r="G602" s="598" t="s">
        <v>2852</v>
      </c>
      <c r="H602" s="598" t="s">
        <v>2853</v>
      </c>
      <c r="I602" s="598"/>
      <c r="J602" s="617"/>
      <c r="K602" s="598">
        <v>2</v>
      </c>
      <c r="L602" s="598">
        <v>4</v>
      </c>
      <c r="M602" s="621">
        <v>10000</v>
      </c>
      <c r="N602" s="598"/>
      <c r="O602" s="598"/>
      <c r="P602" s="618"/>
    </row>
    <row r="603" spans="1:16" s="619" customFormat="1" ht="36" x14ac:dyDescent="0.2">
      <c r="A603" s="598" t="s">
        <v>1907</v>
      </c>
      <c r="B603" s="620" t="s">
        <v>1908</v>
      </c>
      <c r="C603" s="598" t="s">
        <v>2015</v>
      </c>
      <c r="D603" s="598" t="s">
        <v>2237</v>
      </c>
      <c r="E603" s="621">
        <v>750</v>
      </c>
      <c r="F603" s="599">
        <v>44455286</v>
      </c>
      <c r="G603" s="598" t="s">
        <v>2854</v>
      </c>
      <c r="H603" s="598" t="s">
        <v>2845</v>
      </c>
      <c r="I603" s="598" t="s">
        <v>1912</v>
      </c>
      <c r="J603" s="617" t="s">
        <v>1931</v>
      </c>
      <c r="K603" s="598">
        <v>2</v>
      </c>
      <c r="L603" s="598">
        <v>2</v>
      </c>
      <c r="M603" s="621">
        <v>1500</v>
      </c>
      <c r="N603" s="598"/>
      <c r="O603" s="598"/>
      <c r="P603" s="618"/>
    </row>
    <row r="604" spans="1:16" s="619" customFormat="1" ht="24" x14ac:dyDescent="0.2">
      <c r="A604" s="598" t="s">
        <v>1907</v>
      </c>
      <c r="B604" s="620" t="s">
        <v>1908</v>
      </c>
      <c r="C604" s="598" t="s">
        <v>2015</v>
      </c>
      <c r="D604" s="598" t="s">
        <v>2289</v>
      </c>
      <c r="E604" s="621">
        <v>5000</v>
      </c>
      <c r="F604" s="599">
        <v>44588319</v>
      </c>
      <c r="G604" s="598" t="s">
        <v>2855</v>
      </c>
      <c r="H604" s="598" t="s">
        <v>1911</v>
      </c>
      <c r="I604" s="598" t="s">
        <v>1912</v>
      </c>
      <c r="J604" s="617" t="s">
        <v>1913</v>
      </c>
      <c r="K604" s="598">
        <v>1</v>
      </c>
      <c r="L604" s="598">
        <v>2</v>
      </c>
      <c r="M604" s="621">
        <v>10000</v>
      </c>
      <c r="N604" s="598"/>
      <c r="O604" s="598"/>
      <c r="P604" s="618"/>
    </row>
    <row r="605" spans="1:16" s="619" customFormat="1" ht="36" x14ac:dyDescent="0.2">
      <c r="A605" s="598" t="s">
        <v>1907</v>
      </c>
      <c r="B605" s="620" t="s">
        <v>2032</v>
      </c>
      <c r="C605" s="598" t="s">
        <v>2015</v>
      </c>
      <c r="D605" s="598" t="s">
        <v>2480</v>
      </c>
      <c r="E605" s="621">
        <v>5000</v>
      </c>
      <c r="F605" s="599">
        <v>71872344</v>
      </c>
      <c r="G605" s="598" t="s">
        <v>2856</v>
      </c>
      <c r="H605" s="598" t="s">
        <v>2857</v>
      </c>
      <c r="I605" s="598" t="s">
        <v>1912</v>
      </c>
      <c r="J605" s="617" t="s">
        <v>1913</v>
      </c>
      <c r="K605" s="598">
        <v>2</v>
      </c>
      <c r="L605" s="598">
        <v>7</v>
      </c>
      <c r="M605" s="621">
        <v>35000</v>
      </c>
      <c r="N605" s="598"/>
      <c r="O605" s="598"/>
      <c r="P605" s="618"/>
    </row>
    <row r="606" spans="1:16" s="619" customFormat="1" ht="48" x14ac:dyDescent="0.2">
      <c r="A606" s="598" t="s">
        <v>1907</v>
      </c>
      <c r="B606" s="620" t="s">
        <v>2073</v>
      </c>
      <c r="C606" s="598" t="s">
        <v>2015</v>
      </c>
      <c r="D606" s="598" t="s">
        <v>2341</v>
      </c>
      <c r="E606" s="621">
        <v>4000</v>
      </c>
      <c r="F606" s="599">
        <v>46620705</v>
      </c>
      <c r="G606" s="598" t="s">
        <v>2858</v>
      </c>
      <c r="H606" s="598" t="s">
        <v>2079</v>
      </c>
      <c r="I606" s="598" t="s">
        <v>1912</v>
      </c>
      <c r="J606" s="617" t="s">
        <v>1913</v>
      </c>
      <c r="K606" s="598">
        <v>2</v>
      </c>
      <c r="L606" s="598">
        <v>4</v>
      </c>
      <c r="M606" s="621">
        <v>8000</v>
      </c>
      <c r="N606" s="598"/>
      <c r="O606" s="598"/>
      <c r="P606" s="618"/>
    </row>
    <row r="607" spans="1:16" s="619" customFormat="1" ht="36" x14ac:dyDescent="0.2">
      <c r="A607" s="598" t="s">
        <v>1907</v>
      </c>
      <c r="B607" s="620" t="s">
        <v>2050</v>
      </c>
      <c r="C607" s="598" t="s">
        <v>2015</v>
      </c>
      <c r="D607" s="598" t="s">
        <v>2242</v>
      </c>
      <c r="E607" s="621">
        <v>800</v>
      </c>
      <c r="F607" s="599">
        <v>48141788</v>
      </c>
      <c r="G607" s="598" t="s">
        <v>2859</v>
      </c>
      <c r="H607" s="598" t="s">
        <v>1999</v>
      </c>
      <c r="I607" s="598" t="s">
        <v>1912</v>
      </c>
      <c r="J607" s="617" t="s">
        <v>1931</v>
      </c>
      <c r="K607" s="598">
        <v>1</v>
      </c>
      <c r="L607" s="598">
        <v>1</v>
      </c>
      <c r="M607" s="621">
        <v>800</v>
      </c>
      <c r="N607" s="598"/>
      <c r="O607" s="598"/>
      <c r="P607" s="618"/>
    </row>
    <row r="608" spans="1:16" s="619" customFormat="1" ht="36" x14ac:dyDescent="0.2">
      <c r="A608" s="598" t="s">
        <v>1907</v>
      </c>
      <c r="B608" s="620" t="s">
        <v>1908</v>
      </c>
      <c r="C608" s="598" t="s">
        <v>2015</v>
      </c>
      <c r="D608" s="598" t="s">
        <v>2404</v>
      </c>
      <c r="E608" s="621">
        <v>1900</v>
      </c>
      <c r="F608" s="599">
        <v>47715083</v>
      </c>
      <c r="G608" s="598" t="s">
        <v>2860</v>
      </c>
      <c r="H608" s="598" t="s">
        <v>2101</v>
      </c>
      <c r="I608" s="598" t="s">
        <v>1912</v>
      </c>
      <c r="J608" s="617" t="s">
        <v>1913</v>
      </c>
      <c r="K608" s="598">
        <v>1</v>
      </c>
      <c r="L608" s="598">
        <v>2</v>
      </c>
      <c r="M608" s="621">
        <v>3800</v>
      </c>
      <c r="N608" s="598"/>
      <c r="O608" s="598"/>
      <c r="P608" s="618"/>
    </row>
    <row r="609" spans="1:16" s="619" customFormat="1" ht="24" x14ac:dyDescent="0.2">
      <c r="A609" s="598" t="s">
        <v>1907</v>
      </c>
      <c r="B609" s="620" t="s">
        <v>1908</v>
      </c>
      <c r="C609" s="598" t="s">
        <v>2015</v>
      </c>
      <c r="D609" s="598" t="s">
        <v>2354</v>
      </c>
      <c r="E609" s="621">
        <v>2200</v>
      </c>
      <c r="F609" s="599">
        <v>45957962</v>
      </c>
      <c r="G609" s="598" t="s">
        <v>2861</v>
      </c>
      <c r="H609" s="598"/>
      <c r="I609" s="598"/>
      <c r="J609" s="617"/>
      <c r="K609" s="598">
        <v>1</v>
      </c>
      <c r="L609" s="598">
        <v>2</v>
      </c>
      <c r="M609" s="621">
        <v>4400</v>
      </c>
      <c r="N609" s="598"/>
      <c r="O609" s="598"/>
      <c r="P609" s="618"/>
    </row>
    <row r="610" spans="1:16" s="619" customFormat="1" ht="24" x14ac:dyDescent="0.2">
      <c r="A610" s="598" t="s">
        <v>1907</v>
      </c>
      <c r="B610" s="620" t="s">
        <v>1908</v>
      </c>
      <c r="C610" s="598" t="s">
        <v>2015</v>
      </c>
      <c r="D610" s="598" t="s">
        <v>2091</v>
      </c>
      <c r="E610" s="621">
        <v>5000</v>
      </c>
      <c r="F610" s="599">
        <v>41142638</v>
      </c>
      <c r="G610" s="598" t="s">
        <v>2862</v>
      </c>
      <c r="H610" s="598" t="s">
        <v>2038</v>
      </c>
      <c r="I610" s="598" t="s">
        <v>1912</v>
      </c>
      <c r="J610" s="617" t="s">
        <v>1913</v>
      </c>
      <c r="K610" s="598">
        <v>1</v>
      </c>
      <c r="L610" s="598">
        <v>2</v>
      </c>
      <c r="M610" s="621">
        <v>10000</v>
      </c>
      <c r="N610" s="598"/>
      <c r="O610" s="598"/>
      <c r="P610" s="618"/>
    </row>
    <row r="611" spans="1:16" s="619" customFormat="1" ht="24" x14ac:dyDescent="0.2">
      <c r="A611" s="598" t="s">
        <v>1907</v>
      </c>
      <c r="B611" s="620" t="s">
        <v>1908</v>
      </c>
      <c r="C611" s="598" t="s">
        <v>2015</v>
      </c>
      <c r="D611" s="598" t="s">
        <v>2276</v>
      </c>
      <c r="E611" s="621">
        <v>1200</v>
      </c>
      <c r="F611" s="599">
        <v>47200839</v>
      </c>
      <c r="G611" s="598" t="s">
        <v>2863</v>
      </c>
      <c r="H611" s="598"/>
      <c r="I611" s="598" t="s">
        <v>1912</v>
      </c>
      <c r="J611" s="617" t="s">
        <v>1913</v>
      </c>
      <c r="K611" s="598">
        <v>2</v>
      </c>
      <c r="L611" s="598">
        <v>3</v>
      </c>
      <c r="M611" s="621">
        <v>3600</v>
      </c>
      <c r="N611" s="598"/>
      <c r="O611" s="598"/>
      <c r="P611" s="618"/>
    </row>
    <row r="612" spans="1:16" s="619" customFormat="1" ht="24" x14ac:dyDescent="0.2">
      <c r="A612" s="598" t="s">
        <v>1907</v>
      </c>
      <c r="B612" s="620" t="s">
        <v>1908</v>
      </c>
      <c r="C612" s="598" t="s">
        <v>2015</v>
      </c>
      <c r="D612" s="598" t="s">
        <v>2051</v>
      </c>
      <c r="E612" s="621">
        <v>2000</v>
      </c>
      <c r="F612" s="599">
        <v>71521382</v>
      </c>
      <c r="G612" s="598" t="s">
        <v>2864</v>
      </c>
      <c r="H612" s="598" t="s">
        <v>2367</v>
      </c>
      <c r="I612" s="598" t="s">
        <v>1912</v>
      </c>
      <c r="J612" s="617" t="s">
        <v>1913</v>
      </c>
      <c r="K612" s="598">
        <v>1</v>
      </c>
      <c r="L612" s="598">
        <v>3</v>
      </c>
      <c r="M612" s="621">
        <v>6000</v>
      </c>
      <c r="N612" s="598"/>
      <c r="O612" s="598"/>
      <c r="P612" s="618"/>
    </row>
    <row r="613" spans="1:16" s="619" customFormat="1" ht="48" x14ac:dyDescent="0.2">
      <c r="A613" s="598" t="s">
        <v>1907</v>
      </c>
      <c r="B613" s="620" t="s">
        <v>1908</v>
      </c>
      <c r="C613" s="598" t="s">
        <v>2015</v>
      </c>
      <c r="D613" s="598" t="s">
        <v>2242</v>
      </c>
      <c r="E613" s="621">
        <v>4500</v>
      </c>
      <c r="F613" s="599">
        <v>27169035</v>
      </c>
      <c r="G613" s="598" t="s">
        <v>2865</v>
      </c>
      <c r="H613" s="598" t="s">
        <v>1911</v>
      </c>
      <c r="I613" s="598" t="s">
        <v>1912</v>
      </c>
      <c r="J613" s="617" t="s">
        <v>1913</v>
      </c>
      <c r="K613" s="598">
        <v>1</v>
      </c>
      <c r="L613" s="598">
        <v>2</v>
      </c>
      <c r="M613" s="621">
        <v>9000</v>
      </c>
      <c r="N613" s="598"/>
      <c r="O613" s="598"/>
      <c r="P613" s="618"/>
    </row>
    <row r="614" spans="1:16" s="619" customFormat="1" ht="36" x14ac:dyDescent="0.2">
      <c r="A614" s="598" t="s">
        <v>1907</v>
      </c>
      <c r="B614" s="620" t="s">
        <v>1908</v>
      </c>
      <c r="C614" s="598" t="s">
        <v>2015</v>
      </c>
      <c r="D614" s="598" t="s">
        <v>2051</v>
      </c>
      <c r="E614" s="621">
        <v>3000</v>
      </c>
      <c r="F614" s="599">
        <v>46500114</v>
      </c>
      <c r="G614" s="598" t="s">
        <v>2866</v>
      </c>
      <c r="H614" s="598" t="s">
        <v>2306</v>
      </c>
      <c r="I614" s="598" t="s">
        <v>1912</v>
      </c>
      <c r="J614" s="617" t="s">
        <v>1913</v>
      </c>
      <c r="K614" s="598">
        <v>1</v>
      </c>
      <c r="L614" s="598">
        <v>2</v>
      </c>
      <c r="M614" s="621">
        <v>6000</v>
      </c>
      <c r="N614" s="598"/>
      <c r="O614" s="598"/>
      <c r="P614" s="618"/>
    </row>
    <row r="615" spans="1:16" s="619" customFormat="1" ht="24" x14ac:dyDescent="0.2">
      <c r="A615" s="598" t="s">
        <v>1907</v>
      </c>
      <c r="B615" s="620" t="s">
        <v>1908</v>
      </c>
      <c r="C615" s="598" t="s">
        <v>2015</v>
      </c>
      <c r="D615" s="598" t="s">
        <v>2341</v>
      </c>
      <c r="E615" s="621">
        <v>900</v>
      </c>
      <c r="F615" s="599">
        <v>46796706</v>
      </c>
      <c r="G615" s="598" t="s">
        <v>2867</v>
      </c>
      <c r="H615" s="598"/>
      <c r="I615" s="598"/>
      <c r="J615" s="617"/>
      <c r="K615" s="598">
        <v>1</v>
      </c>
      <c r="L615" s="598">
        <v>2</v>
      </c>
      <c r="M615" s="621">
        <v>1800</v>
      </c>
      <c r="N615" s="598"/>
      <c r="O615" s="598"/>
      <c r="P615" s="618"/>
    </row>
    <row r="616" spans="1:16" s="619" customFormat="1" ht="48" x14ac:dyDescent="0.2">
      <c r="A616" s="598" t="s">
        <v>1907</v>
      </c>
      <c r="B616" s="620" t="s">
        <v>1908</v>
      </c>
      <c r="C616" s="598" t="s">
        <v>2015</v>
      </c>
      <c r="D616" s="598" t="s">
        <v>2868</v>
      </c>
      <c r="E616" s="621">
        <v>1200</v>
      </c>
      <c r="F616" s="599">
        <v>47576440</v>
      </c>
      <c r="G616" s="598" t="s">
        <v>2869</v>
      </c>
      <c r="H616" s="598" t="s">
        <v>2870</v>
      </c>
      <c r="I616" s="598" t="s">
        <v>1912</v>
      </c>
      <c r="J616" s="617" t="s">
        <v>1913</v>
      </c>
      <c r="K616" s="598">
        <v>1</v>
      </c>
      <c r="L616" s="598">
        <v>1</v>
      </c>
      <c r="M616" s="621">
        <v>1200</v>
      </c>
      <c r="N616" s="598"/>
      <c r="O616" s="598"/>
      <c r="P616" s="618"/>
    </row>
    <row r="617" spans="1:16" s="619" customFormat="1" ht="48" x14ac:dyDescent="0.2">
      <c r="A617" s="598" t="s">
        <v>1907</v>
      </c>
      <c r="B617" s="620" t="s">
        <v>1908</v>
      </c>
      <c r="C617" s="598" t="s">
        <v>2015</v>
      </c>
      <c r="D617" s="598" t="s">
        <v>2737</v>
      </c>
      <c r="E617" s="621">
        <v>1500</v>
      </c>
      <c r="F617" s="599">
        <v>73475567</v>
      </c>
      <c r="G617" s="598" t="s">
        <v>2871</v>
      </c>
      <c r="H617" s="598" t="s">
        <v>2143</v>
      </c>
      <c r="I617" s="598" t="s">
        <v>1912</v>
      </c>
      <c r="J617" s="617" t="s">
        <v>1913</v>
      </c>
      <c r="K617" s="598">
        <v>1</v>
      </c>
      <c r="L617" s="598">
        <v>1</v>
      </c>
      <c r="M617" s="621">
        <v>1500</v>
      </c>
      <c r="N617" s="598"/>
      <c r="O617" s="598"/>
      <c r="P617" s="618"/>
    </row>
    <row r="618" spans="1:16" s="619" customFormat="1" ht="24" x14ac:dyDescent="0.2">
      <c r="A618" s="598" t="s">
        <v>1907</v>
      </c>
      <c r="B618" s="620" t="s">
        <v>1908</v>
      </c>
      <c r="C618" s="598" t="s">
        <v>2015</v>
      </c>
      <c r="D618" s="598" t="s">
        <v>2872</v>
      </c>
      <c r="E618" s="621">
        <v>1500</v>
      </c>
      <c r="F618" s="599">
        <v>70079386</v>
      </c>
      <c r="G618" s="598" t="s">
        <v>2873</v>
      </c>
      <c r="H618" s="598" t="s">
        <v>2754</v>
      </c>
      <c r="I618" s="598" t="s">
        <v>1912</v>
      </c>
      <c r="J618" s="617" t="s">
        <v>1913</v>
      </c>
      <c r="K618" s="598">
        <v>1</v>
      </c>
      <c r="L618" s="598">
        <v>2</v>
      </c>
      <c r="M618" s="621">
        <v>3000</v>
      </c>
      <c r="N618" s="598"/>
      <c r="O618" s="598"/>
      <c r="P618" s="618"/>
    </row>
    <row r="619" spans="1:16" s="619" customFormat="1" ht="36" x14ac:dyDescent="0.2">
      <c r="A619" s="598" t="s">
        <v>1907</v>
      </c>
      <c r="B619" s="620" t="s">
        <v>2050</v>
      </c>
      <c r="C619" s="598" t="s">
        <v>2015</v>
      </c>
      <c r="D619" s="598" t="s">
        <v>2354</v>
      </c>
      <c r="E619" s="621">
        <v>1200</v>
      </c>
      <c r="F619" s="599">
        <v>75934910</v>
      </c>
      <c r="G619" s="598" t="s">
        <v>2874</v>
      </c>
      <c r="H619" s="598"/>
      <c r="I619" s="598"/>
      <c r="J619" s="617"/>
      <c r="K619" s="598">
        <v>1</v>
      </c>
      <c r="L619" s="598">
        <v>2</v>
      </c>
      <c r="M619" s="621">
        <v>2400</v>
      </c>
      <c r="N619" s="598"/>
      <c r="O619" s="598"/>
      <c r="P619" s="618"/>
    </row>
    <row r="620" spans="1:16" s="619" customFormat="1" ht="24" x14ac:dyDescent="0.2">
      <c r="A620" s="598" t="s">
        <v>1907</v>
      </c>
      <c r="B620" s="620" t="s">
        <v>1908</v>
      </c>
      <c r="C620" s="598" t="s">
        <v>2015</v>
      </c>
      <c r="D620" s="598" t="s">
        <v>2051</v>
      </c>
      <c r="E620" s="621">
        <v>2000</v>
      </c>
      <c r="F620" s="599">
        <v>76620839</v>
      </c>
      <c r="G620" s="598" t="s">
        <v>2875</v>
      </c>
      <c r="H620" s="598" t="s">
        <v>2327</v>
      </c>
      <c r="I620" s="598" t="s">
        <v>1912</v>
      </c>
      <c r="J620" s="617" t="s">
        <v>1913</v>
      </c>
      <c r="K620" s="598">
        <v>1</v>
      </c>
      <c r="L620" s="598">
        <v>3</v>
      </c>
      <c r="M620" s="621">
        <v>6000</v>
      </c>
      <c r="N620" s="598"/>
      <c r="O620" s="598"/>
      <c r="P620" s="618"/>
    </row>
    <row r="621" spans="1:16" s="619" customFormat="1" ht="24" x14ac:dyDescent="0.2">
      <c r="A621" s="598" t="s">
        <v>1907</v>
      </c>
      <c r="B621" s="620" t="s">
        <v>1908</v>
      </c>
      <c r="C621" s="598" t="s">
        <v>2015</v>
      </c>
      <c r="D621" s="598" t="s">
        <v>2051</v>
      </c>
      <c r="E621" s="621">
        <v>2000</v>
      </c>
      <c r="F621" s="599">
        <v>70858468</v>
      </c>
      <c r="G621" s="598" t="s">
        <v>2876</v>
      </c>
      <c r="H621" s="598" t="s">
        <v>2327</v>
      </c>
      <c r="I621" s="598" t="s">
        <v>1912</v>
      </c>
      <c r="J621" s="617" t="s">
        <v>1913</v>
      </c>
      <c r="K621" s="598">
        <v>1</v>
      </c>
      <c r="L621" s="598">
        <v>2</v>
      </c>
      <c r="M621" s="621">
        <v>4000</v>
      </c>
      <c r="N621" s="598"/>
      <c r="O621" s="598"/>
      <c r="P621" s="618"/>
    </row>
    <row r="622" spans="1:16" s="619" customFormat="1" ht="24" x14ac:dyDescent="0.2">
      <c r="A622" s="598" t="s">
        <v>1907</v>
      </c>
      <c r="B622" s="620" t="s">
        <v>1908</v>
      </c>
      <c r="C622" s="598" t="s">
        <v>2015</v>
      </c>
      <c r="D622" s="598" t="s">
        <v>2051</v>
      </c>
      <c r="E622" s="621">
        <v>2000</v>
      </c>
      <c r="F622" s="599">
        <v>46238551</v>
      </c>
      <c r="G622" s="598" t="s">
        <v>2877</v>
      </c>
      <c r="H622" s="598"/>
      <c r="I622" s="598"/>
      <c r="J622" s="617"/>
      <c r="K622" s="598">
        <v>1</v>
      </c>
      <c r="L622" s="598">
        <v>2</v>
      </c>
      <c r="M622" s="621">
        <v>4000</v>
      </c>
      <c r="N622" s="598"/>
      <c r="O622" s="598"/>
      <c r="P622" s="618"/>
    </row>
    <row r="623" spans="1:16" s="619" customFormat="1" ht="24" x14ac:dyDescent="0.2">
      <c r="A623" s="598" t="s">
        <v>1907</v>
      </c>
      <c r="B623" s="620" t="s">
        <v>1908</v>
      </c>
      <c r="C623" s="598" t="s">
        <v>2015</v>
      </c>
      <c r="D623" s="598" t="s">
        <v>2051</v>
      </c>
      <c r="E623" s="621">
        <v>2000</v>
      </c>
      <c r="F623" s="599">
        <v>70198440</v>
      </c>
      <c r="G623" s="598" t="s">
        <v>2878</v>
      </c>
      <c r="H623" s="598" t="s">
        <v>1985</v>
      </c>
      <c r="I623" s="598" t="s">
        <v>1912</v>
      </c>
      <c r="J623" s="617" t="s">
        <v>1913</v>
      </c>
      <c r="K623" s="598">
        <v>1</v>
      </c>
      <c r="L623" s="598">
        <v>2</v>
      </c>
      <c r="M623" s="621">
        <v>4000</v>
      </c>
      <c r="N623" s="598"/>
      <c r="O623" s="598"/>
      <c r="P623" s="618"/>
    </row>
    <row r="624" spans="1:16" s="619" customFormat="1" ht="36" x14ac:dyDescent="0.2">
      <c r="A624" s="598" t="s">
        <v>1907</v>
      </c>
      <c r="B624" s="620" t="s">
        <v>2050</v>
      </c>
      <c r="C624" s="598" t="s">
        <v>2015</v>
      </c>
      <c r="D624" s="598" t="s">
        <v>2051</v>
      </c>
      <c r="E624" s="621">
        <v>2000</v>
      </c>
      <c r="F624" s="599">
        <v>46133592</v>
      </c>
      <c r="G624" s="598" t="s">
        <v>2879</v>
      </c>
      <c r="H624" s="598" t="s">
        <v>2880</v>
      </c>
      <c r="I624" s="598" t="s">
        <v>1912</v>
      </c>
      <c r="J624" s="617" t="s">
        <v>1913</v>
      </c>
      <c r="K624" s="598">
        <v>1</v>
      </c>
      <c r="L624" s="598">
        <v>3</v>
      </c>
      <c r="M624" s="621">
        <v>6000</v>
      </c>
      <c r="N624" s="598"/>
      <c r="O624" s="598"/>
      <c r="P624" s="618"/>
    </row>
    <row r="625" spans="1:16" s="619" customFormat="1" ht="36" x14ac:dyDescent="0.2">
      <c r="A625" s="598" t="s">
        <v>1907</v>
      </c>
      <c r="B625" s="620" t="s">
        <v>1908</v>
      </c>
      <c r="C625" s="598" t="s">
        <v>2015</v>
      </c>
      <c r="D625" s="598" t="s">
        <v>2354</v>
      </c>
      <c r="E625" s="621">
        <v>2800</v>
      </c>
      <c r="F625" s="599">
        <v>45286116</v>
      </c>
      <c r="G625" s="598" t="s">
        <v>2881</v>
      </c>
      <c r="H625" s="598" t="s">
        <v>2004</v>
      </c>
      <c r="I625" s="598" t="s">
        <v>1912</v>
      </c>
      <c r="J625" s="617" t="s">
        <v>1931</v>
      </c>
      <c r="K625" s="598">
        <v>1</v>
      </c>
      <c r="L625" s="598">
        <v>2</v>
      </c>
      <c r="M625" s="621">
        <v>5600</v>
      </c>
      <c r="N625" s="598"/>
      <c r="O625" s="598"/>
      <c r="P625" s="618"/>
    </row>
    <row r="626" spans="1:16" s="619" customFormat="1" ht="36" x14ac:dyDescent="0.2">
      <c r="A626" s="598" t="s">
        <v>1907</v>
      </c>
      <c r="B626" s="620" t="s">
        <v>1908</v>
      </c>
      <c r="C626" s="598" t="s">
        <v>2015</v>
      </c>
      <c r="D626" s="598" t="s">
        <v>2276</v>
      </c>
      <c r="E626" s="621">
        <v>1000</v>
      </c>
      <c r="F626" s="599">
        <v>73749187</v>
      </c>
      <c r="G626" s="598" t="s">
        <v>2882</v>
      </c>
      <c r="H626" s="598"/>
      <c r="I626" s="598"/>
      <c r="J626" s="617"/>
      <c r="K626" s="598">
        <v>1</v>
      </c>
      <c r="L626" s="598">
        <v>1</v>
      </c>
      <c r="M626" s="621">
        <v>1000</v>
      </c>
      <c r="N626" s="598"/>
      <c r="O626" s="598"/>
      <c r="P626" s="618"/>
    </row>
    <row r="627" spans="1:16" s="619" customFormat="1" ht="24" x14ac:dyDescent="0.2">
      <c r="A627" s="598" t="s">
        <v>1907</v>
      </c>
      <c r="B627" s="620" t="s">
        <v>1908</v>
      </c>
      <c r="C627" s="598" t="s">
        <v>2015</v>
      </c>
      <c r="D627" s="598" t="s">
        <v>2250</v>
      </c>
      <c r="E627" s="621">
        <v>1000</v>
      </c>
      <c r="F627" s="599">
        <v>80293107</v>
      </c>
      <c r="G627" s="598" t="s">
        <v>2883</v>
      </c>
      <c r="H627" s="598"/>
      <c r="I627" s="598"/>
      <c r="J627" s="617"/>
      <c r="K627" s="598">
        <v>1</v>
      </c>
      <c r="L627" s="598">
        <v>3</v>
      </c>
      <c r="M627" s="621">
        <v>3000</v>
      </c>
      <c r="N627" s="598"/>
      <c r="O627" s="598"/>
      <c r="P627" s="618"/>
    </row>
    <row r="628" spans="1:16" s="619" customFormat="1" ht="24" x14ac:dyDescent="0.2">
      <c r="A628" s="598" t="s">
        <v>1907</v>
      </c>
      <c r="B628" s="620" t="s">
        <v>1908</v>
      </c>
      <c r="C628" s="598" t="s">
        <v>2015</v>
      </c>
      <c r="D628" s="598" t="s">
        <v>2134</v>
      </c>
      <c r="E628" s="621">
        <v>3500</v>
      </c>
      <c r="F628" s="599">
        <v>42662481</v>
      </c>
      <c r="G628" s="598" t="s">
        <v>2884</v>
      </c>
      <c r="H628" s="598" t="s">
        <v>1911</v>
      </c>
      <c r="I628" s="598" t="s">
        <v>1912</v>
      </c>
      <c r="J628" s="617" t="s">
        <v>1913</v>
      </c>
      <c r="K628" s="598">
        <v>2</v>
      </c>
      <c r="L628" s="598">
        <v>2</v>
      </c>
      <c r="M628" s="621">
        <v>7000</v>
      </c>
      <c r="N628" s="598"/>
      <c r="O628" s="598"/>
      <c r="P628" s="618"/>
    </row>
    <row r="629" spans="1:16" s="619" customFormat="1" ht="24" x14ac:dyDescent="0.2">
      <c r="A629" s="598" t="s">
        <v>1907</v>
      </c>
      <c r="B629" s="620" t="s">
        <v>1908</v>
      </c>
      <c r="C629" s="598" t="s">
        <v>2015</v>
      </c>
      <c r="D629" s="598" t="s">
        <v>2404</v>
      </c>
      <c r="E629" s="621">
        <v>1000</v>
      </c>
      <c r="F629" s="599">
        <v>44341177</v>
      </c>
      <c r="G629" s="598" t="s">
        <v>2885</v>
      </c>
      <c r="H629" s="598"/>
      <c r="I629" s="598"/>
      <c r="J629" s="617"/>
      <c r="K629" s="598">
        <v>1</v>
      </c>
      <c r="L629" s="598">
        <v>3</v>
      </c>
      <c r="M629" s="621">
        <v>3000</v>
      </c>
      <c r="N629" s="598"/>
      <c r="O629" s="598"/>
      <c r="P629" s="618"/>
    </row>
    <row r="630" spans="1:16" s="619" customFormat="1" ht="24" x14ac:dyDescent="0.2">
      <c r="A630" s="598" t="s">
        <v>1907</v>
      </c>
      <c r="B630" s="620" t="s">
        <v>1908</v>
      </c>
      <c r="C630" s="598" t="s">
        <v>2015</v>
      </c>
      <c r="D630" s="598" t="s">
        <v>2289</v>
      </c>
      <c r="E630" s="621">
        <v>5000</v>
      </c>
      <c r="F630" s="599">
        <v>9276648</v>
      </c>
      <c r="G630" s="598" t="s">
        <v>1916</v>
      </c>
      <c r="H630" s="598" t="s">
        <v>1911</v>
      </c>
      <c r="I630" s="598" t="s">
        <v>1912</v>
      </c>
      <c r="J630" s="617" t="s">
        <v>1913</v>
      </c>
      <c r="K630" s="598">
        <v>1</v>
      </c>
      <c r="L630" s="598">
        <v>2</v>
      </c>
      <c r="M630" s="621">
        <v>10000</v>
      </c>
      <c r="N630" s="598"/>
      <c r="O630" s="598"/>
      <c r="P630" s="618"/>
    </row>
    <row r="631" spans="1:16" s="619" customFormat="1" ht="36" x14ac:dyDescent="0.2">
      <c r="A631" s="598" t="s">
        <v>1907</v>
      </c>
      <c r="B631" s="620" t="s">
        <v>1908</v>
      </c>
      <c r="C631" s="598" t="s">
        <v>2015</v>
      </c>
      <c r="D631" s="598" t="s">
        <v>2341</v>
      </c>
      <c r="E631" s="621">
        <v>4000</v>
      </c>
      <c r="F631" s="599">
        <v>47920316</v>
      </c>
      <c r="G631" s="598" t="s">
        <v>2886</v>
      </c>
      <c r="H631" s="598" t="s">
        <v>1954</v>
      </c>
      <c r="I631" s="598" t="s">
        <v>1912</v>
      </c>
      <c r="J631" s="617" t="s">
        <v>1913</v>
      </c>
      <c r="K631" s="598">
        <v>1</v>
      </c>
      <c r="L631" s="598">
        <v>3</v>
      </c>
      <c r="M631" s="621">
        <v>12000</v>
      </c>
      <c r="N631" s="598"/>
      <c r="O631" s="598"/>
      <c r="P631" s="618"/>
    </row>
    <row r="632" spans="1:16" s="619" customFormat="1" ht="36" x14ac:dyDescent="0.2">
      <c r="A632" s="598" t="s">
        <v>1907</v>
      </c>
      <c r="B632" s="620" t="s">
        <v>2275</v>
      </c>
      <c r="C632" s="598" t="s">
        <v>2015</v>
      </c>
      <c r="D632" s="598" t="s">
        <v>2276</v>
      </c>
      <c r="E632" s="621">
        <v>1200</v>
      </c>
      <c r="F632" s="599">
        <v>42841256</v>
      </c>
      <c r="G632" s="598" t="s">
        <v>2887</v>
      </c>
      <c r="H632" s="598"/>
      <c r="I632" s="598"/>
      <c r="J632" s="617"/>
      <c r="K632" s="598">
        <v>1</v>
      </c>
      <c r="L632" s="598">
        <v>1</v>
      </c>
      <c r="M632" s="621">
        <v>1200</v>
      </c>
      <c r="N632" s="598"/>
      <c r="O632" s="598"/>
      <c r="P632" s="618"/>
    </row>
    <row r="633" spans="1:16" s="619" customFormat="1" ht="48" x14ac:dyDescent="0.2">
      <c r="A633" s="598" t="s">
        <v>1907</v>
      </c>
      <c r="B633" s="620" t="s">
        <v>1908</v>
      </c>
      <c r="C633" s="598" t="s">
        <v>2015</v>
      </c>
      <c r="D633" s="598" t="s">
        <v>2242</v>
      </c>
      <c r="E633" s="621">
        <v>1500</v>
      </c>
      <c r="F633" s="599">
        <v>45071331</v>
      </c>
      <c r="G633" s="598" t="s">
        <v>2888</v>
      </c>
      <c r="H633" s="598"/>
      <c r="I633" s="598"/>
      <c r="J633" s="617"/>
      <c r="K633" s="598">
        <v>1</v>
      </c>
      <c r="L633" s="598">
        <v>3</v>
      </c>
      <c r="M633" s="621">
        <v>4500</v>
      </c>
      <c r="N633" s="598"/>
      <c r="O633" s="598"/>
      <c r="P633" s="618"/>
    </row>
    <row r="634" spans="1:16" s="619" customFormat="1" ht="36" x14ac:dyDescent="0.2">
      <c r="A634" s="598" t="s">
        <v>1907</v>
      </c>
      <c r="B634" s="620" t="s">
        <v>1908</v>
      </c>
      <c r="C634" s="598" t="s">
        <v>2015</v>
      </c>
      <c r="D634" s="598" t="s">
        <v>2242</v>
      </c>
      <c r="E634" s="621">
        <v>3500</v>
      </c>
      <c r="F634" s="599">
        <v>43752720</v>
      </c>
      <c r="G634" s="598" t="s">
        <v>2889</v>
      </c>
      <c r="H634" s="598" t="s">
        <v>1985</v>
      </c>
      <c r="I634" s="598" t="s">
        <v>1912</v>
      </c>
      <c r="J634" s="617" t="s">
        <v>1913</v>
      </c>
      <c r="K634" s="598">
        <v>1</v>
      </c>
      <c r="L634" s="598">
        <v>4</v>
      </c>
      <c r="M634" s="621">
        <v>14000</v>
      </c>
      <c r="N634" s="598"/>
      <c r="O634" s="598"/>
      <c r="P634" s="618"/>
    </row>
    <row r="635" spans="1:16" s="619" customFormat="1" ht="24" x14ac:dyDescent="0.2">
      <c r="A635" s="598" t="s">
        <v>1907</v>
      </c>
      <c r="B635" s="620" t="s">
        <v>1908</v>
      </c>
      <c r="C635" s="598" t="s">
        <v>2015</v>
      </c>
      <c r="D635" s="598" t="s">
        <v>2416</v>
      </c>
      <c r="E635" s="621">
        <v>5500</v>
      </c>
      <c r="F635" s="599">
        <v>42292585</v>
      </c>
      <c r="G635" s="598" t="s">
        <v>2890</v>
      </c>
      <c r="H635" s="598" t="s">
        <v>1922</v>
      </c>
      <c r="I635" s="598" t="s">
        <v>1912</v>
      </c>
      <c r="J635" s="617" t="s">
        <v>1913</v>
      </c>
      <c r="K635" s="598">
        <v>1</v>
      </c>
      <c r="L635" s="598">
        <v>2</v>
      </c>
      <c r="M635" s="621">
        <v>11000</v>
      </c>
      <c r="N635" s="598"/>
      <c r="O635" s="598"/>
      <c r="P635" s="618"/>
    </row>
    <row r="636" spans="1:16" s="619" customFormat="1" ht="36" x14ac:dyDescent="0.2">
      <c r="A636" s="598" t="s">
        <v>1907</v>
      </c>
      <c r="B636" s="620" t="s">
        <v>1908</v>
      </c>
      <c r="C636" s="598" t="s">
        <v>2015</v>
      </c>
      <c r="D636" s="598" t="s">
        <v>2650</v>
      </c>
      <c r="E636" s="621">
        <v>3500</v>
      </c>
      <c r="F636" s="599">
        <v>44886731</v>
      </c>
      <c r="G636" s="598" t="s">
        <v>2891</v>
      </c>
      <c r="H636" s="598" t="s">
        <v>1985</v>
      </c>
      <c r="I636" s="598" t="s">
        <v>1912</v>
      </c>
      <c r="J636" s="617" t="s">
        <v>1913</v>
      </c>
      <c r="K636" s="598">
        <v>2</v>
      </c>
      <c r="L636" s="598">
        <v>3</v>
      </c>
      <c r="M636" s="621">
        <v>10500</v>
      </c>
      <c r="N636" s="598"/>
      <c r="O636" s="598"/>
      <c r="P636" s="618"/>
    </row>
    <row r="637" spans="1:16" s="619" customFormat="1" ht="48" x14ac:dyDescent="0.2">
      <c r="A637" s="598" t="s">
        <v>1907</v>
      </c>
      <c r="B637" s="620" t="s">
        <v>1908</v>
      </c>
      <c r="C637" s="598" t="s">
        <v>2015</v>
      </c>
      <c r="D637" s="598" t="s">
        <v>2737</v>
      </c>
      <c r="E637" s="621">
        <v>950</v>
      </c>
      <c r="F637" s="599">
        <v>71997734</v>
      </c>
      <c r="G637" s="598" t="s">
        <v>2892</v>
      </c>
      <c r="H637" s="598" t="s">
        <v>2143</v>
      </c>
      <c r="I637" s="598" t="s">
        <v>1912</v>
      </c>
      <c r="J637" s="617" t="s">
        <v>1913</v>
      </c>
      <c r="K637" s="598">
        <v>1</v>
      </c>
      <c r="L637" s="598">
        <v>1</v>
      </c>
      <c r="M637" s="621">
        <v>950</v>
      </c>
      <c r="N637" s="598"/>
      <c r="O637" s="598"/>
      <c r="P637" s="618"/>
    </row>
    <row r="638" spans="1:16" s="619" customFormat="1" ht="36" x14ac:dyDescent="0.2">
      <c r="A638" s="598" t="s">
        <v>1907</v>
      </c>
      <c r="B638" s="620" t="s">
        <v>1908</v>
      </c>
      <c r="C638" s="598" t="s">
        <v>2015</v>
      </c>
      <c r="D638" s="598" t="s">
        <v>2289</v>
      </c>
      <c r="E638" s="621">
        <v>5000</v>
      </c>
      <c r="F638" s="599">
        <v>41610443</v>
      </c>
      <c r="G638" s="598" t="s">
        <v>2893</v>
      </c>
      <c r="H638" s="598" t="s">
        <v>1911</v>
      </c>
      <c r="I638" s="598" t="s">
        <v>1912</v>
      </c>
      <c r="J638" s="617" t="s">
        <v>1913</v>
      </c>
      <c r="K638" s="598">
        <v>1</v>
      </c>
      <c r="L638" s="598">
        <v>2</v>
      </c>
      <c r="M638" s="621">
        <v>10000</v>
      </c>
      <c r="N638" s="598"/>
      <c r="O638" s="598"/>
      <c r="P638" s="618"/>
    </row>
    <row r="639" spans="1:16" s="619" customFormat="1" ht="36" x14ac:dyDescent="0.2">
      <c r="A639" s="598" t="s">
        <v>1907</v>
      </c>
      <c r="B639" s="620" t="s">
        <v>1908</v>
      </c>
      <c r="C639" s="598" t="s">
        <v>2015</v>
      </c>
      <c r="D639" s="598" t="s">
        <v>2242</v>
      </c>
      <c r="E639" s="621">
        <v>4000</v>
      </c>
      <c r="F639" s="599">
        <v>19249964</v>
      </c>
      <c r="G639" s="598" t="s">
        <v>2894</v>
      </c>
      <c r="H639" s="598" t="s">
        <v>1911</v>
      </c>
      <c r="I639" s="598" t="s">
        <v>1912</v>
      </c>
      <c r="J639" s="617" t="s">
        <v>1913</v>
      </c>
      <c r="K639" s="598">
        <v>2</v>
      </c>
      <c r="L639" s="598">
        <v>4</v>
      </c>
      <c r="M639" s="621">
        <v>8000</v>
      </c>
      <c r="N639" s="598"/>
      <c r="O639" s="598"/>
      <c r="P639" s="618"/>
    </row>
    <row r="640" spans="1:16" s="619" customFormat="1" ht="36" x14ac:dyDescent="0.2">
      <c r="A640" s="598" t="s">
        <v>1907</v>
      </c>
      <c r="B640" s="620" t="s">
        <v>1908</v>
      </c>
      <c r="C640" s="598" t="s">
        <v>2015</v>
      </c>
      <c r="D640" s="598" t="s">
        <v>2737</v>
      </c>
      <c r="E640" s="621">
        <v>3166</v>
      </c>
      <c r="F640" s="599">
        <v>43026578</v>
      </c>
      <c r="G640" s="598" t="s">
        <v>2895</v>
      </c>
      <c r="H640" s="598" t="s">
        <v>1911</v>
      </c>
      <c r="I640" s="598" t="s">
        <v>1912</v>
      </c>
      <c r="J640" s="617" t="s">
        <v>1913</v>
      </c>
      <c r="K640" s="598">
        <v>1</v>
      </c>
      <c r="L640" s="598">
        <v>1</v>
      </c>
      <c r="M640" s="621">
        <v>3166</v>
      </c>
      <c r="N640" s="598"/>
      <c r="O640" s="598"/>
      <c r="P640" s="618"/>
    </row>
    <row r="641" spans="1:16" s="619" customFormat="1" ht="36" x14ac:dyDescent="0.2">
      <c r="A641" s="598" t="s">
        <v>1907</v>
      </c>
      <c r="B641" s="620" t="s">
        <v>1908</v>
      </c>
      <c r="C641" s="598" t="s">
        <v>2015</v>
      </c>
      <c r="D641" s="598" t="s">
        <v>2242</v>
      </c>
      <c r="E641" s="621">
        <v>1100</v>
      </c>
      <c r="F641" s="599">
        <v>80303204</v>
      </c>
      <c r="G641" s="598" t="s">
        <v>2896</v>
      </c>
      <c r="H641" s="598"/>
      <c r="I641" s="598"/>
      <c r="J641" s="617"/>
      <c r="K641" s="598">
        <v>1</v>
      </c>
      <c r="L641" s="598">
        <v>3</v>
      </c>
      <c r="M641" s="621">
        <v>3300</v>
      </c>
      <c r="N641" s="598"/>
      <c r="O641" s="598"/>
      <c r="P641" s="618"/>
    </row>
    <row r="642" spans="1:16" s="619" customFormat="1" ht="24" x14ac:dyDescent="0.2">
      <c r="A642" s="598" t="s">
        <v>1907</v>
      </c>
      <c r="B642" s="620" t="s">
        <v>1908</v>
      </c>
      <c r="C642" s="598" t="s">
        <v>2015</v>
      </c>
      <c r="D642" s="598" t="s">
        <v>2480</v>
      </c>
      <c r="E642" s="621">
        <v>5000</v>
      </c>
      <c r="F642" s="599">
        <v>17595929</v>
      </c>
      <c r="G642" s="598" t="s">
        <v>2897</v>
      </c>
      <c r="H642" s="598" t="s">
        <v>2620</v>
      </c>
      <c r="I642" s="598" t="s">
        <v>1912</v>
      </c>
      <c r="J642" s="617" t="s">
        <v>1913</v>
      </c>
      <c r="K642" s="598">
        <v>1</v>
      </c>
      <c r="L642" s="598">
        <v>2</v>
      </c>
      <c r="M642" s="621">
        <v>10000</v>
      </c>
      <c r="N642" s="598"/>
      <c r="O642" s="598"/>
      <c r="P642" s="618"/>
    </row>
    <row r="643" spans="1:16" s="619" customFormat="1" ht="36" x14ac:dyDescent="0.2">
      <c r="A643" s="598" t="s">
        <v>1907</v>
      </c>
      <c r="B643" s="620" t="s">
        <v>2275</v>
      </c>
      <c r="C643" s="598" t="s">
        <v>2015</v>
      </c>
      <c r="D643" s="598" t="s">
        <v>2250</v>
      </c>
      <c r="E643" s="621">
        <v>1200</v>
      </c>
      <c r="F643" s="599">
        <v>70035781</v>
      </c>
      <c r="G643" s="598" t="s">
        <v>2898</v>
      </c>
      <c r="H643" s="598" t="s">
        <v>2899</v>
      </c>
      <c r="I643" s="598" t="s">
        <v>1912</v>
      </c>
      <c r="J643" s="617" t="s">
        <v>1931</v>
      </c>
      <c r="K643" s="598">
        <v>1</v>
      </c>
      <c r="L643" s="598">
        <v>3</v>
      </c>
      <c r="M643" s="621">
        <v>3600</v>
      </c>
      <c r="N643" s="598"/>
      <c r="O643" s="598"/>
      <c r="P643" s="618"/>
    </row>
    <row r="644" spans="1:16" s="619" customFormat="1" ht="36" x14ac:dyDescent="0.2">
      <c r="A644" s="598" t="s">
        <v>1907</v>
      </c>
      <c r="B644" s="620" t="s">
        <v>1908</v>
      </c>
      <c r="C644" s="598" t="s">
        <v>2015</v>
      </c>
      <c r="D644" s="598" t="s">
        <v>2097</v>
      </c>
      <c r="E644" s="621">
        <v>1200</v>
      </c>
      <c r="F644" s="599">
        <v>43768799</v>
      </c>
      <c r="G644" s="598" t="s">
        <v>2900</v>
      </c>
      <c r="H644" s="598"/>
      <c r="I644" s="598"/>
      <c r="J644" s="617"/>
      <c r="K644" s="598">
        <v>1</v>
      </c>
      <c r="L644" s="598">
        <v>2</v>
      </c>
      <c r="M644" s="621">
        <v>2400</v>
      </c>
      <c r="N644" s="598"/>
      <c r="O644" s="598"/>
      <c r="P644" s="618"/>
    </row>
    <row r="645" spans="1:16" s="619" customFormat="1" ht="48" x14ac:dyDescent="0.2">
      <c r="A645" s="598" t="s">
        <v>1907</v>
      </c>
      <c r="B645" s="620" t="s">
        <v>1908</v>
      </c>
      <c r="C645" s="598" t="s">
        <v>2015</v>
      </c>
      <c r="D645" s="598" t="s">
        <v>2480</v>
      </c>
      <c r="E645" s="621">
        <v>5000</v>
      </c>
      <c r="F645" s="599">
        <v>40576718</v>
      </c>
      <c r="G645" s="598" t="s">
        <v>2901</v>
      </c>
      <c r="H645" s="598" t="s">
        <v>2620</v>
      </c>
      <c r="I645" s="598" t="s">
        <v>1912</v>
      </c>
      <c r="J645" s="617" t="s">
        <v>1913</v>
      </c>
      <c r="K645" s="598">
        <v>1</v>
      </c>
      <c r="L645" s="598">
        <v>3</v>
      </c>
      <c r="M645" s="621">
        <v>15000</v>
      </c>
      <c r="N645" s="598"/>
      <c r="O645" s="598"/>
      <c r="P645" s="618"/>
    </row>
    <row r="646" spans="1:16" s="619" customFormat="1" ht="24" x14ac:dyDescent="0.2">
      <c r="A646" s="598" t="s">
        <v>1907</v>
      </c>
      <c r="B646" s="620" t="s">
        <v>1908</v>
      </c>
      <c r="C646" s="598" t="s">
        <v>2015</v>
      </c>
      <c r="D646" s="598" t="s">
        <v>2114</v>
      </c>
      <c r="E646" s="621">
        <v>4000</v>
      </c>
      <c r="F646" s="599">
        <v>46248336</v>
      </c>
      <c r="G646" s="598" t="s">
        <v>2902</v>
      </c>
      <c r="H646" s="598" t="s">
        <v>1911</v>
      </c>
      <c r="I646" s="598" t="s">
        <v>1912</v>
      </c>
      <c r="J646" s="617" t="s">
        <v>1913</v>
      </c>
      <c r="K646" s="598">
        <v>1</v>
      </c>
      <c r="L646" s="598">
        <v>2</v>
      </c>
      <c r="M646" s="621">
        <v>8000</v>
      </c>
      <c r="N646" s="598"/>
      <c r="O646" s="598"/>
      <c r="P646" s="618"/>
    </row>
    <row r="647" spans="1:16" s="619" customFormat="1" ht="36" x14ac:dyDescent="0.2">
      <c r="A647" s="598" t="s">
        <v>1907</v>
      </c>
      <c r="B647" s="620" t="s">
        <v>1908</v>
      </c>
      <c r="C647" s="598" t="s">
        <v>2015</v>
      </c>
      <c r="D647" s="598" t="s">
        <v>2242</v>
      </c>
      <c r="E647" s="621">
        <v>1500</v>
      </c>
      <c r="F647" s="599">
        <v>73219684</v>
      </c>
      <c r="G647" s="598" t="s">
        <v>2903</v>
      </c>
      <c r="H647" s="598" t="s">
        <v>2904</v>
      </c>
      <c r="I647" s="598" t="s">
        <v>1912</v>
      </c>
      <c r="J647" s="617" t="s">
        <v>1913</v>
      </c>
      <c r="K647" s="598">
        <v>1</v>
      </c>
      <c r="L647" s="598">
        <v>2</v>
      </c>
      <c r="M647" s="621">
        <v>3000</v>
      </c>
      <c r="N647" s="598"/>
      <c r="O647" s="598"/>
      <c r="P647" s="618"/>
    </row>
    <row r="648" spans="1:16" s="619" customFormat="1" ht="48" x14ac:dyDescent="0.2">
      <c r="A648" s="598" t="s">
        <v>1907</v>
      </c>
      <c r="B648" s="620" t="s">
        <v>2050</v>
      </c>
      <c r="C648" s="598" t="s">
        <v>2015</v>
      </c>
      <c r="D648" s="598" t="s">
        <v>2242</v>
      </c>
      <c r="E648" s="621">
        <v>3000</v>
      </c>
      <c r="F648" s="599">
        <v>41752099</v>
      </c>
      <c r="G648" s="598" t="s">
        <v>2905</v>
      </c>
      <c r="H648" s="598" t="s">
        <v>1922</v>
      </c>
      <c r="I648" s="598" t="s">
        <v>1912</v>
      </c>
      <c r="J648" s="617" t="s">
        <v>1913</v>
      </c>
      <c r="K648" s="598">
        <v>1</v>
      </c>
      <c r="L648" s="598">
        <v>1</v>
      </c>
      <c r="M648" s="621">
        <v>3000</v>
      </c>
      <c r="N648" s="598"/>
      <c r="O648" s="598"/>
      <c r="P648" s="618"/>
    </row>
    <row r="649" spans="1:16" s="619" customFormat="1" ht="36" x14ac:dyDescent="0.2">
      <c r="A649" s="598" t="s">
        <v>1907</v>
      </c>
      <c r="B649" s="620" t="s">
        <v>1908</v>
      </c>
      <c r="C649" s="598" t="s">
        <v>2015</v>
      </c>
      <c r="D649" s="598" t="s">
        <v>2318</v>
      </c>
      <c r="E649" s="621">
        <v>1900</v>
      </c>
      <c r="F649" s="599">
        <v>72462080</v>
      </c>
      <c r="G649" s="598" t="s">
        <v>2906</v>
      </c>
      <c r="H649" s="598" t="s">
        <v>2907</v>
      </c>
      <c r="I649" s="598" t="s">
        <v>1912</v>
      </c>
      <c r="J649" s="617" t="s">
        <v>1913</v>
      </c>
      <c r="K649" s="598">
        <v>1</v>
      </c>
      <c r="L649" s="598">
        <v>1</v>
      </c>
      <c r="M649" s="621">
        <v>1900</v>
      </c>
      <c r="N649" s="598"/>
      <c r="O649" s="598"/>
      <c r="P649" s="618"/>
    </row>
    <row r="650" spans="1:16" s="619" customFormat="1" ht="48" x14ac:dyDescent="0.2">
      <c r="A650" s="598" t="s">
        <v>1907</v>
      </c>
      <c r="B650" s="620" t="s">
        <v>2050</v>
      </c>
      <c r="C650" s="598" t="s">
        <v>2015</v>
      </c>
      <c r="D650" s="598" t="s">
        <v>2908</v>
      </c>
      <c r="E650" s="621">
        <v>3200</v>
      </c>
      <c r="F650" s="599">
        <v>45561710</v>
      </c>
      <c r="G650" s="598" t="s">
        <v>2909</v>
      </c>
      <c r="H650" s="598" t="s">
        <v>2472</v>
      </c>
      <c r="I650" s="598" t="s">
        <v>1912</v>
      </c>
      <c r="J650" s="617" t="s">
        <v>1913</v>
      </c>
      <c r="K650" s="598">
        <v>1</v>
      </c>
      <c r="L650" s="598">
        <v>1</v>
      </c>
      <c r="M650" s="621">
        <v>3200</v>
      </c>
      <c r="N650" s="598"/>
      <c r="O650" s="598"/>
      <c r="P650" s="618"/>
    </row>
    <row r="651" spans="1:16" s="619" customFormat="1" ht="36" x14ac:dyDescent="0.2">
      <c r="A651" s="598" t="s">
        <v>1907</v>
      </c>
      <c r="B651" s="620" t="s">
        <v>1908</v>
      </c>
      <c r="C651" s="598" t="s">
        <v>2015</v>
      </c>
      <c r="D651" s="598" t="s">
        <v>2470</v>
      </c>
      <c r="E651" s="621">
        <v>3000</v>
      </c>
      <c r="F651" s="599">
        <v>41515447</v>
      </c>
      <c r="G651" s="598" t="s">
        <v>2910</v>
      </c>
      <c r="H651" s="598" t="s">
        <v>2551</v>
      </c>
      <c r="I651" s="598" t="s">
        <v>1912</v>
      </c>
      <c r="J651" s="617" t="s">
        <v>1913</v>
      </c>
      <c r="K651" s="598">
        <v>1</v>
      </c>
      <c r="L651" s="598">
        <v>1</v>
      </c>
      <c r="M651" s="621">
        <v>3000</v>
      </c>
      <c r="N651" s="598"/>
      <c r="O651" s="598"/>
      <c r="P651" s="618"/>
    </row>
    <row r="652" spans="1:16" s="619" customFormat="1" ht="36" x14ac:dyDescent="0.2">
      <c r="A652" s="598" t="s">
        <v>1907</v>
      </c>
      <c r="B652" s="620" t="s">
        <v>2050</v>
      </c>
      <c r="C652" s="598" t="s">
        <v>2015</v>
      </c>
      <c r="D652" s="598" t="s">
        <v>2354</v>
      </c>
      <c r="E652" s="621">
        <v>4166.66</v>
      </c>
      <c r="F652" s="599">
        <v>17538708</v>
      </c>
      <c r="G652" s="598" t="s">
        <v>2911</v>
      </c>
      <c r="H652" s="598" t="s">
        <v>2912</v>
      </c>
      <c r="I652" s="598" t="s">
        <v>1912</v>
      </c>
      <c r="J652" s="617" t="s">
        <v>1913</v>
      </c>
      <c r="K652" s="598">
        <v>1</v>
      </c>
      <c r="L652" s="598">
        <v>1</v>
      </c>
      <c r="M652" s="621">
        <v>4166.66</v>
      </c>
      <c r="N652" s="598"/>
      <c r="O652" s="598"/>
      <c r="P652" s="618"/>
    </row>
    <row r="653" spans="1:16" s="619" customFormat="1" ht="48" x14ac:dyDescent="0.2">
      <c r="A653" s="598" t="s">
        <v>1907</v>
      </c>
      <c r="B653" s="620" t="s">
        <v>1908</v>
      </c>
      <c r="C653" s="598" t="s">
        <v>2015</v>
      </c>
      <c r="D653" s="598" t="s">
        <v>2246</v>
      </c>
      <c r="E653" s="621">
        <v>1900</v>
      </c>
      <c r="F653" s="599">
        <v>42585409</v>
      </c>
      <c r="G653" s="598" t="s">
        <v>2913</v>
      </c>
      <c r="H653" s="598" t="s">
        <v>2143</v>
      </c>
      <c r="I653" s="598" t="s">
        <v>1912</v>
      </c>
      <c r="J653" s="617" t="s">
        <v>1913</v>
      </c>
      <c r="K653" s="598">
        <v>1</v>
      </c>
      <c r="L653" s="598">
        <v>1</v>
      </c>
      <c r="M653" s="621">
        <v>1900</v>
      </c>
      <c r="N653" s="598"/>
      <c r="O653" s="598"/>
      <c r="P653" s="618"/>
    </row>
    <row r="654" spans="1:16" s="619" customFormat="1" ht="24" x14ac:dyDescent="0.2">
      <c r="A654" s="598" t="s">
        <v>1907</v>
      </c>
      <c r="B654" s="620" t="s">
        <v>1908</v>
      </c>
      <c r="C654" s="598" t="s">
        <v>2015</v>
      </c>
      <c r="D654" s="598" t="s">
        <v>2404</v>
      </c>
      <c r="E654" s="621">
        <v>4000</v>
      </c>
      <c r="F654" s="599">
        <v>43735429</v>
      </c>
      <c r="G654" s="598" t="s">
        <v>2914</v>
      </c>
      <c r="H654" s="598" t="s">
        <v>1985</v>
      </c>
      <c r="I654" s="598" t="s">
        <v>1912</v>
      </c>
      <c r="J654" s="617" t="s">
        <v>1913</v>
      </c>
      <c r="K654" s="598">
        <v>1</v>
      </c>
      <c r="L654" s="598">
        <v>1</v>
      </c>
      <c r="M654" s="621"/>
      <c r="N654" s="598"/>
      <c r="O654" s="598"/>
      <c r="P654" s="618"/>
    </row>
    <row r="655" spans="1:16" s="619" customFormat="1" ht="36" x14ac:dyDescent="0.2">
      <c r="A655" s="598" t="s">
        <v>1907</v>
      </c>
      <c r="B655" s="620" t="s">
        <v>1908</v>
      </c>
      <c r="C655" s="598" t="s">
        <v>2015</v>
      </c>
      <c r="D655" s="598" t="s">
        <v>2299</v>
      </c>
      <c r="E655" s="621">
        <v>3000</v>
      </c>
      <c r="F655" s="599">
        <v>46124966</v>
      </c>
      <c r="G655" s="598" t="s">
        <v>2915</v>
      </c>
      <c r="H655" s="598" t="s">
        <v>1416</v>
      </c>
      <c r="I655" s="598" t="s">
        <v>1912</v>
      </c>
      <c r="J655" s="617" t="s">
        <v>1913</v>
      </c>
      <c r="K655" s="598"/>
      <c r="L655" s="598"/>
      <c r="M655" s="621"/>
      <c r="N655" s="598">
        <v>4</v>
      </c>
      <c r="O655" s="598">
        <v>6</v>
      </c>
      <c r="P655" s="618">
        <v>18000</v>
      </c>
    </row>
    <row r="656" spans="1:16" s="619" customFormat="1" ht="36" x14ac:dyDescent="0.2">
      <c r="A656" s="598" t="s">
        <v>1907</v>
      </c>
      <c r="B656" s="620" t="s">
        <v>1908</v>
      </c>
      <c r="C656" s="598" t="s">
        <v>2015</v>
      </c>
      <c r="D656" s="598" t="s">
        <v>2299</v>
      </c>
      <c r="E656" s="621">
        <v>1200</v>
      </c>
      <c r="F656" s="599">
        <v>48135298</v>
      </c>
      <c r="G656" s="598" t="s">
        <v>2916</v>
      </c>
      <c r="H656" s="598" t="s">
        <v>1931</v>
      </c>
      <c r="I656" s="598" t="s">
        <v>1912</v>
      </c>
      <c r="J656" s="617" t="s">
        <v>1931</v>
      </c>
      <c r="K656" s="598"/>
      <c r="L656" s="598"/>
      <c r="M656" s="621"/>
      <c r="N656" s="598">
        <v>4</v>
      </c>
      <c r="O656" s="598">
        <v>6</v>
      </c>
      <c r="P656" s="618">
        <v>7200</v>
      </c>
    </row>
    <row r="657" spans="1:16" s="619" customFormat="1" ht="36" x14ac:dyDescent="0.2">
      <c r="A657" s="598" t="s">
        <v>1907</v>
      </c>
      <c r="B657" s="620" t="s">
        <v>1908</v>
      </c>
      <c r="C657" s="598" t="s">
        <v>2015</v>
      </c>
      <c r="D657" s="598" t="s">
        <v>2917</v>
      </c>
      <c r="E657" s="621">
        <v>1500</v>
      </c>
      <c r="F657" s="599">
        <v>46452029</v>
      </c>
      <c r="G657" s="598" t="s">
        <v>2918</v>
      </c>
      <c r="H657" s="598" t="s">
        <v>2919</v>
      </c>
      <c r="I657" s="598" t="s">
        <v>1912</v>
      </c>
      <c r="J657" s="617" t="s">
        <v>1931</v>
      </c>
      <c r="K657" s="598"/>
      <c r="L657" s="598"/>
      <c r="M657" s="621"/>
      <c r="N657" s="598">
        <v>1</v>
      </c>
      <c r="O657" s="598">
        <v>1</v>
      </c>
      <c r="P657" s="618">
        <v>1500</v>
      </c>
    </row>
    <row r="658" spans="1:16" s="619" customFormat="1" ht="36" x14ac:dyDescent="0.2">
      <c r="A658" s="598" t="s">
        <v>1907</v>
      </c>
      <c r="B658" s="620" t="s">
        <v>1908</v>
      </c>
      <c r="C658" s="598" t="s">
        <v>2015</v>
      </c>
      <c r="D658" s="598" t="s">
        <v>2299</v>
      </c>
      <c r="E658" s="621">
        <v>7000</v>
      </c>
      <c r="F658" s="599">
        <v>16410540</v>
      </c>
      <c r="G658" s="598" t="s">
        <v>2920</v>
      </c>
      <c r="H658" s="598" t="s">
        <v>2921</v>
      </c>
      <c r="I658" s="598" t="s">
        <v>1912</v>
      </c>
      <c r="J658" s="617" t="s">
        <v>1913</v>
      </c>
      <c r="K658" s="598"/>
      <c r="L658" s="598"/>
      <c r="M658" s="621"/>
      <c r="N658" s="598">
        <v>4</v>
      </c>
      <c r="O658" s="598">
        <v>6</v>
      </c>
      <c r="P658" s="618">
        <v>42000</v>
      </c>
    </row>
    <row r="659" spans="1:16" s="619" customFormat="1" ht="24" x14ac:dyDescent="0.2">
      <c r="A659" s="598" t="s">
        <v>1907</v>
      </c>
      <c r="B659" s="620" t="s">
        <v>1908</v>
      </c>
      <c r="C659" s="598" t="s">
        <v>2015</v>
      </c>
      <c r="D659" s="598" t="s">
        <v>2922</v>
      </c>
      <c r="E659" s="621">
        <v>4000</v>
      </c>
      <c r="F659" s="599">
        <v>43530254</v>
      </c>
      <c r="G659" s="598" t="s">
        <v>2923</v>
      </c>
      <c r="H659" s="598" t="s">
        <v>2232</v>
      </c>
      <c r="I659" s="598" t="s">
        <v>1912</v>
      </c>
      <c r="J659" s="617" t="s">
        <v>1913</v>
      </c>
      <c r="K659" s="598"/>
      <c r="L659" s="598"/>
      <c r="M659" s="621"/>
      <c r="N659" s="598">
        <v>4</v>
      </c>
      <c r="O659" s="598">
        <v>6</v>
      </c>
      <c r="P659" s="618">
        <v>24000</v>
      </c>
    </row>
    <row r="660" spans="1:16" s="619" customFormat="1" ht="24" x14ac:dyDescent="0.2">
      <c r="A660" s="598" t="s">
        <v>1907</v>
      </c>
      <c r="B660" s="620" t="s">
        <v>1908</v>
      </c>
      <c r="C660" s="598" t="s">
        <v>2015</v>
      </c>
      <c r="D660" s="598" t="s">
        <v>2924</v>
      </c>
      <c r="E660" s="621">
        <v>1600</v>
      </c>
      <c r="F660" s="599">
        <v>47233594</v>
      </c>
      <c r="G660" s="598" t="s">
        <v>2925</v>
      </c>
      <c r="H660" s="598" t="s">
        <v>1931</v>
      </c>
      <c r="I660" s="598" t="s">
        <v>1912</v>
      </c>
      <c r="J660" s="617" t="s">
        <v>1931</v>
      </c>
      <c r="K660" s="598"/>
      <c r="L660" s="598"/>
      <c r="M660" s="621"/>
      <c r="N660" s="598">
        <v>3</v>
      </c>
      <c r="O660" s="598">
        <v>5</v>
      </c>
      <c r="P660" s="618">
        <v>8000</v>
      </c>
    </row>
    <row r="661" spans="1:16" s="619" customFormat="1" ht="48" x14ac:dyDescent="0.2">
      <c r="A661" s="598" t="s">
        <v>1907</v>
      </c>
      <c r="B661" s="620" t="s">
        <v>1908</v>
      </c>
      <c r="C661" s="598" t="s">
        <v>2015</v>
      </c>
      <c r="D661" s="598" t="s">
        <v>2926</v>
      </c>
      <c r="E661" s="621">
        <v>1100</v>
      </c>
      <c r="F661" s="599">
        <v>44205148</v>
      </c>
      <c r="G661" s="598" t="s">
        <v>2927</v>
      </c>
      <c r="H661" s="598" t="s">
        <v>1919</v>
      </c>
      <c r="I661" s="598"/>
      <c r="J661" s="617"/>
      <c r="K661" s="598"/>
      <c r="L661" s="598"/>
      <c r="M661" s="621"/>
      <c r="N661" s="598">
        <v>2</v>
      </c>
      <c r="O661" s="598">
        <v>3</v>
      </c>
      <c r="P661" s="618">
        <v>3300</v>
      </c>
    </row>
    <row r="662" spans="1:16" s="619" customFormat="1" ht="36" x14ac:dyDescent="0.2">
      <c r="A662" s="598" t="s">
        <v>1907</v>
      </c>
      <c r="B662" s="620" t="s">
        <v>1908</v>
      </c>
      <c r="C662" s="598" t="s">
        <v>2015</v>
      </c>
      <c r="D662" s="598" t="s">
        <v>2926</v>
      </c>
      <c r="E662" s="621">
        <v>1600</v>
      </c>
      <c r="F662" s="599">
        <v>42443158</v>
      </c>
      <c r="G662" s="598" t="s">
        <v>2928</v>
      </c>
      <c r="H662" s="598" t="s">
        <v>1931</v>
      </c>
      <c r="I662" s="598" t="s">
        <v>1912</v>
      </c>
      <c r="J662" s="617" t="s">
        <v>1931</v>
      </c>
      <c r="K662" s="598"/>
      <c r="L662" s="598"/>
      <c r="M662" s="621"/>
      <c r="N662" s="598">
        <v>4</v>
      </c>
      <c r="O662" s="598">
        <v>6</v>
      </c>
      <c r="P662" s="618">
        <v>9600</v>
      </c>
    </row>
    <row r="663" spans="1:16" s="619" customFormat="1" ht="24" x14ac:dyDescent="0.2">
      <c r="A663" s="598" t="s">
        <v>1907</v>
      </c>
      <c r="B663" s="620" t="s">
        <v>1908</v>
      </c>
      <c r="C663" s="598" t="s">
        <v>2015</v>
      </c>
      <c r="D663" s="598" t="s">
        <v>2926</v>
      </c>
      <c r="E663" s="621">
        <v>1400</v>
      </c>
      <c r="F663" s="599">
        <v>44195076</v>
      </c>
      <c r="G663" s="598" t="s">
        <v>2929</v>
      </c>
      <c r="H663" s="598" t="s">
        <v>1931</v>
      </c>
      <c r="I663" s="598" t="s">
        <v>1912</v>
      </c>
      <c r="J663" s="617" t="s">
        <v>1931</v>
      </c>
      <c r="K663" s="598"/>
      <c r="L663" s="598"/>
      <c r="M663" s="621"/>
      <c r="N663" s="598">
        <v>1</v>
      </c>
      <c r="O663" s="598">
        <v>2</v>
      </c>
      <c r="P663" s="618">
        <v>2800</v>
      </c>
    </row>
    <row r="664" spans="1:16" s="619" customFormat="1" ht="36" x14ac:dyDescent="0.2">
      <c r="A664" s="598" t="s">
        <v>1907</v>
      </c>
      <c r="B664" s="620" t="s">
        <v>1908</v>
      </c>
      <c r="C664" s="598" t="s">
        <v>2015</v>
      </c>
      <c r="D664" s="598" t="s">
        <v>2926</v>
      </c>
      <c r="E664" s="621">
        <v>1300</v>
      </c>
      <c r="F664" s="599">
        <v>43983408</v>
      </c>
      <c r="G664" s="598" t="s">
        <v>2930</v>
      </c>
      <c r="H664" s="598" t="s">
        <v>1931</v>
      </c>
      <c r="I664" s="598" t="s">
        <v>1912</v>
      </c>
      <c r="J664" s="617" t="s">
        <v>1931</v>
      </c>
      <c r="K664" s="598"/>
      <c r="L664" s="598"/>
      <c r="M664" s="621"/>
      <c r="N664" s="598">
        <v>1</v>
      </c>
      <c r="O664" s="598">
        <v>2</v>
      </c>
      <c r="P664" s="618">
        <v>2600</v>
      </c>
    </row>
    <row r="665" spans="1:16" s="619" customFormat="1" ht="24" x14ac:dyDescent="0.2">
      <c r="A665" s="598" t="s">
        <v>1907</v>
      </c>
      <c r="B665" s="620" t="s">
        <v>1908</v>
      </c>
      <c r="C665" s="598" t="s">
        <v>2015</v>
      </c>
      <c r="D665" s="598" t="s">
        <v>2924</v>
      </c>
      <c r="E665" s="621">
        <v>5000</v>
      </c>
      <c r="F665" s="599">
        <v>46449288</v>
      </c>
      <c r="G665" s="598" t="s">
        <v>2931</v>
      </c>
      <c r="H665" s="598" t="s">
        <v>1911</v>
      </c>
      <c r="I665" s="598" t="s">
        <v>1912</v>
      </c>
      <c r="J665" s="617" t="s">
        <v>1913</v>
      </c>
      <c r="K665" s="598"/>
      <c r="L665" s="598"/>
      <c r="M665" s="621"/>
      <c r="N665" s="598">
        <v>1</v>
      </c>
      <c r="O665" s="598">
        <v>3</v>
      </c>
      <c r="P665" s="618">
        <v>15000</v>
      </c>
    </row>
    <row r="666" spans="1:16" s="619" customFormat="1" ht="24" x14ac:dyDescent="0.2">
      <c r="A666" s="598" t="s">
        <v>1907</v>
      </c>
      <c r="B666" s="620" t="s">
        <v>1908</v>
      </c>
      <c r="C666" s="598" t="s">
        <v>2015</v>
      </c>
      <c r="D666" s="598" t="s">
        <v>2924</v>
      </c>
      <c r="E666" s="621">
        <v>1500</v>
      </c>
      <c r="F666" s="599">
        <v>47828232</v>
      </c>
      <c r="G666" s="598" t="s">
        <v>2932</v>
      </c>
      <c r="H666" s="598" t="s">
        <v>1931</v>
      </c>
      <c r="I666" s="598" t="s">
        <v>1912</v>
      </c>
      <c r="J666" s="617" t="s">
        <v>1931</v>
      </c>
      <c r="K666" s="598"/>
      <c r="L666" s="598"/>
      <c r="M666" s="621"/>
      <c r="N666" s="598">
        <v>1</v>
      </c>
      <c r="O666" s="598">
        <v>3</v>
      </c>
      <c r="P666" s="618">
        <v>4500</v>
      </c>
    </row>
    <row r="667" spans="1:16" s="619" customFormat="1" ht="24" x14ac:dyDescent="0.2">
      <c r="A667" s="598" t="s">
        <v>1907</v>
      </c>
      <c r="B667" s="620" t="s">
        <v>1908</v>
      </c>
      <c r="C667" s="598" t="s">
        <v>2015</v>
      </c>
      <c r="D667" s="598" t="s">
        <v>2926</v>
      </c>
      <c r="E667" s="621">
        <v>1700</v>
      </c>
      <c r="F667" s="599">
        <v>46843585</v>
      </c>
      <c r="G667" s="598" t="s">
        <v>2933</v>
      </c>
      <c r="H667" s="598" t="s">
        <v>1931</v>
      </c>
      <c r="I667" s="598" t="s">
        <v>1912</v>
      </c>
      <c r="J667" s="617" t="s">
        <v>1931</v>
      </c>
      <c r="K667" s="598"/>
      <c r="L667" s="598"/>
      <c r="M667" s="621"/>
      <c r="N667" s="598">
        <v>1</v>
      </c>
      <c r="O667" s="598">
        <v>2</v>
      </c>
      <c r="P667" s="618">
        <v>3400</v>
      </c>
    </row>
    <row r="668" spans="1:16" s="619" customFormat="1" ht="36" x14ac:dyDescent="0.2">
      <c r="A668" s="598" t="s">
        <v>1907</v>
      </c>
      <c r="B668" s="620" t="s">
        <v>1908</v>
      </c>
      <c r="C668" s="598" t="s">
        <v>2015</v>
      </c>
      <c r="D668" s="598" t="s">
        <v>2934</v>
      </c>
      <c r="E668" s="621">
        <v>2000</v>
      </c>
      <c r="F668" s="599">
        <v>45963670</v>
      </c>
      <c r="G668" s="598" t="s">
        <v>2935</v>
      </c>
      <c r="H668" s="598" t="s">
        <v>2936</v>
      </c>
      <c r="I668" s="598" t="s">
        <v>1912</v>
      </c>
      <c r="J668" s="617" t="s">
        <v>1913</v>
      </c>
      <c r="K668" s="598"/>
      <c r="L668" s="598"/>
      <c r="M668" s="621"/>
      <c r="N668" s="598">
        <v>4</v>
      </c>
      <c r="O668" s="598">
        <v>6</v>
      </c>
      <c r="P668" s="618">
        <v>12000</v>
      </c>
    </row>
    <row r="669" spans="1:16" s="619" customFormat="1" ht="36" x14ac:dyDescent="0.2">
      <c r="A669" s="598" t="s">
        <v>1907</v>
      </c>
      <c r="B669" s="620" t="s">
        <v>1908</v>
      </c>
      <c r="C669" s="598" t="s">
        <v>2015</v>
      </c>
      <c r="D669" s="598" t="s">
        <v>2937</v>
      </c>
      <c r="E669" s="621">
        <v>2000</v>
      </c>
      <c r="F669" s="599">
        <v>44740215</v>
      </c>
      <c r="G669" s="598" t="s">
        <v>2938</v>
      </c>
      <c r="H669" s="598" t="s">
        <v>2939</v>
      </c>
      <c r="I669" s="598" t="s">
        <v>1912</v>
      </c>
      <c r="J669" s="617" t="s">
        <v>1913</v>
      </c>
      <c r="K669" s="598"/>
      <c r="L669" s="598"/>
      <c r="M669" s="621"/>
      <c r="N669" s="598">
        <v>4</v>
      </c>
      <c r="O669" s="598">
        <v>6</v>
      </c>
      <c r="P669" s="618">
        <v>12000</v>
      </c>
    </row>
    <row r="670" spans="1:16" s="619" customFormat="1" ht="36" x14ac:dyDescent="0.2">
      <c r="A670" s="598" t="s">
        <v>1907</v>
      </c>
      <c r="B670" s="620" t="s">
        <v>1908</v>
      </c>
      <c r="C670" s="598" t="s">
        <v>2015</v>
      </c>
      <c r="D670" s="598" t="s">
        <v>2937</v>
      </c>
      <c r="E670" s="621">
        <v>6000</v>
      </c>
      <c r="F670" s="599">
        <v>16699241</v>
      </c>
      <c r="G670" s="598" t="s">
        <v>2940</v>
      </c>
      <c r="H670" s="598" t="s">
        <v>2939</v>
      </c>
      <c r="I670" s="598" t="s">
        <v>1912</v>
      </c>
      <c r="J670" s="617" t="s">
        <v>1913</v>
      </c>
      <c r="K670" s="598"/>
      <c r="L670" s="598"/>
      <c r="M670" s="621"/>
      <c r="N670" s="598">
        <v>2</v>
      </c>
      <c r="O670" s="598">
        <v>3</v>
      </c>
      <c r="P670" s="618">
        <v>18000</v>
      </c>
    </row>
    <row r="671" spans="1:16" s="619" customFormat="1" ht="48" x14ac:dyDescent="0.2">
      <c r="A671" s="598" t="s">
        <v>1907</v>
      </c>
      <c r="B671" s="620" t="s">
        <v>1908</v>
      </c>
      <c r="C671" s="598" t="s">
        <v>2015</v>
      </c>
      <c r="D671" s="598" t="s">
        <v>2934</v>
      </c>
      <c r="E671" s="621">
        <v>1800</v>
      </c>
      <c r="F671" s="599">
        <v>46045862</v>
      </c>
      <c r="G671" s="598" t="s">
        <v>2941</v>
      </c>
      <c r="H671" s="598"/>
      <c r="I671" s="598"/>
      <c r="J671" s="617"/>
      <c r="K671" s="598"/>
      <c r="L671" s="598"/>
      <c r="M671" s="621"/>
      <c r="N671" s="598">
        <v>4</v>
      </c>
      <c r="O671" s="598">
        <v>6</v>
      </c>
      <c r="P671" s="618">
        <v>10800</v>
      </c>
    </row>
    <row r="672" spans="1:16" s="619" customFormat="1" ht="24" x14ac:dyDescent="0.2">
      <c r="A672" s="598" t="s">
        <v>1907</v>
      </c>
      <c r="B672" s="620" t="s">
        <v>1908</v>
      </c>
      <c r="C672" s="598" t="s">
        <v>2015</v>
      </c>
      <c r="D672" s="598" t="s">
        <v>2942</v>
      </c>
      <c r="E672" s="621">
        <v>5000</v>
      </c>
      <c r="F672" s="599">
        <v>27752422</v>
      </c>
      <c r="G672" s="598" t="s">
        <v>2943</v>
      </c>
      <c r="H672" s="598" t="s">
        <v>2944</v>
      </c>
      <c r="I672" s="598" t="s">
        <v>1912</v>
      </c>
      <c r="J672" s="617" t="s">
        <v>1913</v>
      </c>
      <c r="K672" s="598"/>
      <c r="L672" s="598"/>
      <c r="M672" s="621"/>
      <c r="N672" s="598">
        <v>2</v>
      </c>
      <c r="O672" s="598">
        <v>3</v>
      </c>
      <c r="P672" s="618">
        <v>15000</v>
      </c>
    </row>
    <row r="673" spans="1:16" s="619" customFormat="1" ht="36" x14ac:dyDescent="0.2">
      <c r="A673" s="598" t="s">
        <v>1907</v>
      </c>
      <c r="B673" s="620" t="s">
        <v>1908</v>
      </c>
      <c r="C673" s="598" t="s">
        <v>2015</v>
      </c>
      <c r="D673" s="598" t="s">
        <v>2937</v>
      </c>
      <c r="E673" s="621">
        <v>6000</v>
      </c>
      <c r="F673" s="599">
        <v>40443597</v>
      </c>
      <c r="G673" s="598" t="s">
        <v>2945</v>
      </c>
      <c r="H673" s="598" t="s">
        <v>2946</v>
      </c>
      <c r="I673" s="598" t="s">
        <v>1912</v>
      </c>
      <c r="J673" s="617" t="s">
        <v>1913</v>
      </c>
      <c r="K673" s="598"/>
      <c r="L673" s="598"/>
      <c r="M673" s="621"/>
      <c r="N673" s="598">
        <v>2</v>
      </c>
      <c r="O673" s="598">
        <v>3</v>
      </c>
      <c r="P673" s="618">
        <v>18000</v>
      </c>
    </row>
    <row r="674" spans="1:16" s="619" customFormat="1" ht="36" x14ac:dyDescent="0.2">
      <c r="A674" s="598" t="s">
        <v>1907</v>
      </c>
      <c r="B674" s="620" t="s">
        <v>1908</v>
      </c>
      <c r="C674" s="598" t="s">
        <v>2015</v>
      </c>
      <c r="D674" s="598" t="s">
        <v>2937</v>
      </c>
      <c r="E674" s="621">
        <v>8000</v>
      </c>
      <c r="F674" s="622" t="s">
        <v>2203</v>
      </c>
      <c r="G674" s="598" t="s">
        <v>2947</v>
      </c>
      <c r="H674" s="598" t="s">
        <v>2921</v>
      </c>
      <c r="I674" s="598" t="s">
        <v>1912</v>
      </c>
      <c r="J674" s="617" t="s">
        <v>1913</v>
      </c>
      <c r="K674" s="598"/>
      <c r="L674" s="598"/>
      <c r="M674" s="621"/>
      <c r="N674" s="598">
        <v>3</v>
      </c>
      <c r="O674" s="598">
        <v>4</v>
      </c>
      <c r="P674" s="618">
        <v>32000</v>
      </c>
    </row>
    <row r="675" spans="1:16" s="619" customFormat="1" ht="36" x14ac:dyDescent="0.2">
      <c r="A675" s="598" t="s">
        <v>1907</v>
      </c>
      <c r="B675" s="620" t="s">
        <v>1908</v>
      </c>
      <c r="C675" s="598" t="s">
        <v>2015</v>
      </c>
      <c r="D675" s="598" t="s">
        <v>2934</v>
      </c>
      <c r="E675" s="621">
        <v>1800</v>
      </c>
      <c r="F675" s="599" t="s">
        <v>2948</v>
      </c>
      <c r="G675" s="598" t="s">
        <v>2949</v>
      </c>
      <c r="H675" s="598" t="s">
        <v>2950</v>
      </c>
      <c r="I675" s="598" t="s">
        <v>1912</v>
      </c>
      <c r="J675" s="617" t="s">
        <v>1913</v>
      </c>
      <c r="K675" s="598"/>
      <c r="L675" s="598"/>
      <c r="M675" s="621"/>
      <c r="N675" s="598">
        <v>2</v>
      </c>
      <c r="O675" s="598">
        <v>3</v>
      </c>
      <c r="P675" s="618">
        <v>5400</v>
      </c>
    </row>
    <row r="676" spans="1:16" s="619" customFormat="1" ht="36" x14ac:dyDescent="0.2">
      <c r="A676" s="598" t="s">
        <v>1907</v>
      </c>
      <c r="B676" s="620" t="s">
        <v>1908</v>
      </c>
      <c r="C676" s="598" t="s">
        <v>2015</v>
      </c>
      <c r="D676" s="598" t="s">
        <v>2951</v>
      </c>
      <c r="E676" s="621">
        <v>1500</v>
      </c>
      <c r="F676" s="599">
        <v>18898078</v>
      </c>
      <c r="G676" s="598" t="s">
        <v>2952</v>
      </c>
      <c r="H676" s="598" t="s">
        <v>1931</v>
      </c>
      <c r="I676" s="598" t="s">
        <v>1912</v>
      </c>
      <c r="J676" s="617" t="s">
        <v>1931</v>
      </c>
      <c r="K676" s="598"/>
      <c r="L676" s="598"/>
      <c r="M676" s="621"/>
      <c r="N676" s="598">
        <v>4</v>
      </c>
      <c r="O676" s="598">
        <v>6</v>
      </c>
      <c r="P676" s="618">
        <v>9000</v>
      </c>
    </row>
    <row r="677" spans="1:16" s="619" customFormat="1" ht="24" x14ac:dyDescent="0.2">
      <c r="A677" s="598" t="s">
        <v>1907</v>
      </c>
      <c r="B677" s="620" t="s">
        <v>1908</v>
      </c>
      <c r="C677" s="598" t="s">
        <v>2015</v>
      </c>
      <c r="D677" s="598" t="s">
        <v>2951</v>
      </c>
      <c r="E677" s="621">
        <v>1500</v>
      </c>
      <c r="F677" s="622" t="s">
        <v>2331</v>
      </c>
      <c r="G677" s="598" t="s">
        <v>2953</v>
      </c>
      <c r="H677" s="598" t="s">
        <v>1931</v>
      </c>
      <c r="I677" s="598" t="s">
        <v>1912</v>
      </c>
      <c r="J677" s="617" t="s">
        <v>1931</v>
      </c>
      <c r="K677" s="598"/>
      <c r="L677" s="598"/>
      <c r="M677" s="621"/>
      <c r="N677" s="598">
        <v>4</v>
      </c>
      <c r="O677" s="598">
        <v>6</v>
      </c>
      <c r="P677" s="618">
        <v>9000</v>
      </c>
    </row>
    <row r="678" spans="1:16" s="619" customFormat="1" ht="36" x14ac:dyDescent="0.2">
      <c r="A678" s="598" t="s">
        <v>1907</v>
      </c>
      <c r="B678" s="620" t="s">
        <v>1908</v>
      </c>
      <c r="C678" s="598" t="s">
        <v>2015</v>
      </c>
      <c r="D678" s="598" t="s">
        <v>2951</v>
      </c>
      <c r="E678" s="621">
        <v>2000</v>
      </c>
      <c r="F678" s="599" t="s">
        <v>2954</v>
      </c>
      <c r="G678" s="598" t="s">
        <v>2955</v>
      </c>
      <c r="H678" s="598" t="s">
        <v>2956</v>
      </c>
      <c r="I678" s="598" t="s">
        <v>1912</v>
      </c>
      <c r="J678" s="617" t="s">
        <v>1913</v>
      </c>
      <c r="K678" s="598"/>
      <c r="L678" s="598"/>
      <c r="M678" s="621"/>
      <c r="N678" s="598">
        <v>4</v>
      </c>
      <c r="O678" s="598">
        <v>6</v>
      </c>
      <c r="P678" s="618">
        <v>12000</v>
      </c>
    </row>
    <row r="679" spans="1:16" s="619" customFormat="1" ht="36" x14ac:dyDescent="0.2">
      <c r="A679" s="598" t="s">
        <v>1907</v>
      </c>
      <c r="B679" s="620" t="s">
        <v>1908</v>
      </c>
      <c r="C679" s="598" t="s">
        <v>2015</v>
      </c>
      <c r="D679" s="598" t="s">
        <v>2957</v>
      </c>
      <c r="E679" s="621">
        <v>1400</v>
      </c>
      <c r="F679" s="599">
        <v>44168301</v>
      </c>
      <c r="G679" s="598" t="s">
        <v>2958</v>
      </c>
      <c r="H679" s="598" t="s">
        <v>1931</v>
      </c>
      <c r="I679" s="598" t="s">
        <v>1912</v>
      </c>
      <c r="J679" s="617" t="s">
        <v>1931</v>
      </c>
      <c r="K679" s="598"/>
      <c r="L679" s="598"/>
      <c r="M679" s="621"/>
      <c r="N679" s="598">
        <v>4</v>
      </c>
      <c r="O679" s="598">
        <v>6</v>
      </c>
      <c r="P679" s="618">
        <v>8400</v>
      </c>
    </row>
    <row r="680" spans="1:16" s="619" customFormat="1" ht="48" x14ac:dyDescent="0.2">
      <c r="A680" s="598" t="s">
        <v>1907</v>
      </c>
      <c r="B680" s="620" t="s">
        <v>1908</v>
      </c>
      <c r="C680" s="598" t="s">
        <v>2015</v>
      </c>
      <c r="D680" s="598" t="s">
        <v>2957</v>
      </c>
      <c r="E680" s="621">
        <v>1800</v>
      </c>
      <c r="F680" s="622">
        <v>44786811</v>
      </c>
      <c r="G680" s="598" t="s">
        <v>2959</v>
      </c>
      <c r="H680" s="598" t="s">
        <v>1931</v>
      </c>
      <c r="I680" s="598" t="s">
        <v>1912</v>
      </c>
      <c r="J680" s="617" t="s">
        <v>1931</v>
      </c>
      <c r="K680" s="598"/>
      <c r="L680" s="598"/>
      <c r="M680" s="621"/>
      <c r="N680" s="598">
        <v>4</v>
      </c>
      <c r="O680" s="598">
        <v>6</v>
      </c>
      <c r="P680" s="618">
        <v>10800</v>
      </c>
    </row>
    <row r="681" spans="1:16" s="619" customFormat="1" ht="36" x14ac:dyDescent="0.2">
      <c r="A681" s="598" t="s">
        <v>1907</v>
      </c>
      <c r="B681" s="620" t="s">
        <v>1908</v>
      </c>
      <c r="C681" s="598" t="s">
        <v>2015</v>
      </c>
      <c r="D681" s="598" t="s">
        <v>2957</v>
      </c>
      <c r="E681" s="621">
        <v>1800</v>
      </c>
      <c r="F681" s="599">
        <v>48134316</v>
      </c>
      <c r="G681" s="598" t="s">
        <v>2960</v>
      </c>
      <c r="H681" s="598" t="s">
        <v>1931</v>
      </c>
      <c r="I681" s="598" t="s">
        <v>1912</v>
      </c>
      <c r="J681" s="617" t="s">
        <v>1931</v>
      </c>
      <c r="K681" s="598"/>
      <c r="L681" s="598"/>
      <c r="M681" s="621"/>
      <c r="N681" s="598">
        <v>4</v>
      </c>
      <c r="O681" s="598">
        <v>6</v>
      </c>
      <c r="P681" s="618">
        <v>10800</v>
      </c>
    </row>
    <row r="682" spans="1:16" s="619" customFormat="1" ht="36" x14ac:dyDescent="0.2">
      <c r="A682" s="598" t="s">
        <v>1907</v>
      </c>
      <c r="B682" s="620" t="s">
        <v>1908</v>
      </c>
      <c r="C682" s="598" t="s">
        <v>2015</v>
      </c>
      <c r="D682" s="598" t="s">
        <v>2961</v>
      </c>
      <c r="E682" s="621">
        <v>1200</v>
      </c>
      <c r="F682" s="622">
        <v>73902092</v>
      </c>
      <c r="G682" s="598" t="s">
        <v>2962</v>
      </c>
      <c r="H682" s="598" t="s">
        <v>2963</v>
      </c>
      <c r="I682" s="598" t="s">
        <v>1912</v>
      </c>
      <c r="J682" s="617" t="s">
        <v>1931</v>
      </c>
      <c r="K682" s="598"/>
      <c r="L682" s="598"/>
      <c r="M682" s="621"/>
      <c r="N682" s="598">
        <v>4</v>
      </c>
      <c r="O682" s="598">
        <v>6</v>
      </c>
      <c r="P682" s="618">
        <v>7200</v>
      </c>
    </row>
    <row r="683" spans="1:16" s="619" customFormat="1" ht="36" x14ac:dyDescent="0.2">
      <c r="A683" s="598" t="s">
        <v>1907</v>
      </c>
      <c r="B683" s="620" t="s">
        <v>1908</v>
      </c>
      <c r="C683" s="598" t="s">
        <v>2015</v>
      </c>
      <c r="D683" s="598" t="s">
        <v>2961</v>
      </c>
      <c r="E683" s="621">
        <v>3500</v>
      </c>
      <c r="F683" s="599">
        <v>44037223</v>
      </c>
      <c r="G683" s="598" t="s">
        <v>2964</v>
      </c>
      <c r="H683" s="598" t="s">
        <v>2965</v>
      </c>
      <c r="I683" s="598" t="s">
        <v>1912</v>
      </c>
      <c r="J683" s="617" t="s">
        <v>1913</v>
      </c>
      <c r="K683" s="598"/>
      <c r="L683" s="598"/>
      <c r="M683" s="621"/>
      <c r="N683" s="598">
        <v>3</v>
      </c>
      <c r="O683" s="598">
        <v>5</v>
      </c>
      <c r="P683" s="618">
        <v>17500</v>
      </c>
    </row>
    <row r="684" spans="1:16" s="619" customFormat="1" ht="48" x14ac:dyDescent="0.2">
      <c r="A684" s="598" t="s">
        <v>1907</v>
      </c>
      <c r="B684" s="620" t="s">
        <v>1908</v>
      </c>
      <c r="C684" s="598" t="s">
        <v>2015</v>
      </c>
      <c r="D684" s="598" t="s">
        <v>2966</v>
      </c>
      <c r="E684" s="621">
        <v>1800</v>
      </c>
      <c r="F684" s="622">
        <v>41241203</v>
      </c>
      <c r="G684" s="598" t="s">
        <v>2967</v>
      </c>
      <c r="H684" s="598" t="s">
        <v>1931</v>
      </c>
      <c r="I684" s="598" t="s">
        <v>1912</v>
      </c>
      <c r="J684" s="617" t="s">
        <v>1931</v>
      </c>
      <c r="K684" s="598"/>
      <c r="L684" s="598"/>
      <c r="M684" s="621"/>
      <c r="N684" s="598">
        <v>4</v>
      </c>
      <c r="O684" s="598">
        <v>6</v>
      </c>
      <c r="P684" s="618">
        <v>10800</v>
      </c>
    </row>
    <row r="685" spans="1:16" s="619" customFormat="1" ht="24" x14ac:dyDescent="0.2">
      <c r="A685" s="598" t="s">
        <v>1907</v>
      </c>
      <c r="B685" s="620" t="s">
        <v>1908</v>
      </c>
      <c r="C685" s="598" t="s">
        <v>2015</v>
      </c>
      <c r="D685" s="598" t="s">
        <v>2966</v>
      </c>
      <c r="E685" s="621">
        <v>2500</v>
      </c>
      <c r="F685" s="599">
        <v>43272642</v>
      </c>
      <c r="G685" s="598" t="s">
        <v>2968</v>
      </c>
      <c r="H685" s="598" t="s">
        <v>1931</v>
      </c>
      <c r="I685" s="598" t="s">
        <v>1912</v>
      </c>
      <c r="J685" s="617" t="s">
        <v>1931</v>
      </c>
      <c r="K685" s="598"/>
      <c r="L685" s="598"/>
      <c r="M685" s="621"/>
      <c r="N685" s="598">
        <v>4</v>
      </c>
      <c r="O685" s="598">
        <v>6</v>
      </c>
      <c r="P685" s="618">
        <v>15000</v>
      </c>
    </row>
    <row r="686" spans="1:16" s="619" customFormat="1" ht="36" x14ac:dyDescent="0.2">
      <c r="A686" s="598" t="s">
        <v>1907</v>
      </c>
      <c r="B686" s="620" t="s">
        <v>1908</v>
      </c>
      <c r="C686" s="598" t="s">
        <v>2015</v>
      </c>
      <c r="D686" s="598" t="s">
        <v>2966</v>
      </c>
      <c r="E686" s="621">
        <v>1800</v>
      </c>
      <c r="F686" s="622">
        <v>33425692</v>
      </c>
      <c r="G686" s="598" t="s">
        <v>2969</v>
      </c>
      <c r="H686" s="598" t="s">
        <v>1931</v>
      </c>
      <c r="I686" s="598" t="s">
        <v>1912</v>
      </c>
      <c r="J686" s="617" t="s">
        <v>1931</v>
      </c>
      <c r="K686" s="598"/>
      <c r="L686" s="598"/>
      <c r="M686" s="621"/>
      <c r="N686" s="598">
        <v>4</v>
      </c>
      <c r="O686" s="598">
        <v>6</v>
      </c>
      <c r="P686" s="618">
        <v>10800</v>
      </c>
    </row>
    <row r="687" spans="1:16" s="619" customFormat="1" ht="36" x14ac:dyDescent="0.2">
      <c r="A687" s="598" t="s">
        <v>1907</v>
      </c>
      <c r="B687" s="620" t="s">
        <v>1908</v>
      </c>
      <c r="C687" s="598" t="s">
        <v>2015</v>
      </c>
      <c r="D687" s="598" t="s">
        <v>2966</v>
      </c>
      <c r="E687" s="621">
        <v>1200</v>
      </c>
      <c r="F687" s="599">
        <v>72805015</v>
      </c>
      <c r="G687" s="598" t="s">
        <v>2970</v>
      </c>
      <c r="H687" s="598" t="s">
        <v>2971</v>
      </c>
      <c r="I687" s="598"/>
      <c r="J687" s="617"/>
      <c r="K687" s="598"/>
      <c r="L687" s="598"/>
      <c r="M687" s="621"/>
      <c r="N687" s="598">
        <v>2</v>
      </c>
      <c r="O687" s="598">
        <v>3</v>
      </c>
      <c r="P687" s="618">
        <v>3600</v>
      </c>
    </row>
    <row r="688" spans="1:16" s="619" customFormat="1" ht="24" x14ac:dyDescent="0.2">
      <c r="A688" s="598" t="s">
        <v>1907</v>
      </c>
      <c r="B688" s="620" t="s">
        <v>1908</v>
      </c>
      <c r="C688" s="598" t="s">
        <v>2015</v>
      </c>
      <c r="D688" s="598" t="s">
        <v>2972</v>
      </c>
      <c r="E688" s="621">
        <v>1400</v>
      </c>
      <c r="F688" s="622">
        <v>44640409</v>
      </c>
      <c r="G688" s="598" t="s">
        <v>2973</v>
      </c>
      <c r="H688" s="598" t="s">
        <v>1931</v>
      </c>
      <c r="I688" s="598" t="s">
        <v>1912</v>
      </c>
      <c r="J688" s="617" t="s">
        <v>1931</v>
      </c>
      <c r="K688" s="598"/>
      <c r="L688" s="598"/>
      <c r="M688" s="621"/>
      <c r="N688" s="598">
        <v>4</v>
      </c>
      <c r="O688" s="598">
        <v>6</v>
      </c>
      <c r="P688" s="618">
        <v>8400</v>
      </c>
    </row>
    <row r="689" spans="1:16" s="619" customFormat="1" ht="36" x14ac:dyDescent="0.2">
      <c r="A689" s="598" t="s">
        <v>1907</v>
      </c>
      <c r="B689" s="620" t="s">
        <v>1908</v>
      </c>
      <c r="C689" s="598" t="s">
        <v>2015</v>
      </c>
      <c r="D689" s="598" t="s">
        <v>2972</v>
      </c>
      <c r="E689" s="621">
        <v>1600</v>
      </c>
      <c r="F689" s="599">
        <v>48156569</v>
      </c>
      <c r="G689" s="598" t="s">
        <v>2974</v>
      </c>
      <c r="H689" s="598" t="s">
        <v>1931</v>
      </c>
      <c r="I689" s="598" t="s">
        <v>1912</v>
      </c>
      <c r="J689" s="617" t="s">
        <v>1931</v>
      </c>
      <c r="K689" s="598"/>
      <c r="L689" s="598"/>
      <c r="M689" s="621"/>
      <c r="N689" s="598">
        <v>4</v>
      </c>
      <c r="O689" s="598">
        <v>6</v>
      </c>
      <c r="P689" s="618">
        <v>9600</v>
      </c>
    </row>
    <row r="690" spans="1:16" s="619" customFormat="1" ht="24" x14ac:dyDescent="0.2">
      <c r="A690" s="598" t="s">
        <v>1907</v>
      </c>
      <c r="B690" s="620" t="s">
        <v>1908</v>
      </c>
      <c r="C690" s="598" t="s">
        <v>2015</v>
      </c>
      <c r="D690" s="598" t="s">
        <v>2975</v>
      </c>
      <c r="E690" s="621">
        <v>1200</v>
      </c>
      <c r="F690" s="622">
        <v>73692054</v>
      </c>
      <c r="G690" s="598" t="s">
        <v>2976</v>
      </c>
      <c r="H690" s="598" t="s">
        <v>1931</v>
      </c>
      <c r="I690" s="598" t="s">
        <v>1912</v>
      </c>
      <c r="J690" s="617" t="s">
        <v>1931</v>
      </c>
      <c r="K690" s="598"/>
      <c r="L690" s="598"/>
      <c r="M690" s="621"/>
      <c r="N690" s="598">
        <v>2</v>
      </c>
      <c r="O690" s="598">
        <v>3</v>
      </c>
      <c r="P690" s="618">
        <v>3600</v>
      </c>
    </row>
    <row r="691" spans="1:16" s="619" customFormat="1" ht="36" x14ac:dyDescent="0.2">
      <c r="A691" s="598" t="s">
        <v>1907</v>
      </c>
      <c r="B691" s="620" t="s">
        <v>1908</v>
      </c>
      <c r="C691" s="598" t="s">
        <v>2015</v>
      </c>
      <c r="D691" s="598" t="s">
        <v>2975</v>
      </c>
      <c r="E691" s="621">
        <v>1800</v>
      </c>
      <c r="F691" s="599">
        <v>40549352</v>
      </c>
      <c r="G691" s="598" t="s">
        <v>2977</v>
      </c>
      <c r="H691" s="598" t="s">
        <v>1931</v>
      </c>
      <c r="I691" s="598" t="s">
        <v>1912</v>
      </c>
      <c r="J691" s="617" t="s">
        <v>1931</v>
      </c>
      <c r="K691" s="598"/>
      <c r="L691" s="598"/>
      <c r="M691" s="621"/>
      <c r="N691" s="598">
        <v>4</v>
      </c>
      <c r="O691" s="598">
        <v>6</v>
      </c>
      <c r="P691" s="618">
        <v>10800</v>
      </c>
    </row>
    <row r="692" spans="1:16" s="619" customFormat="1" ht="48" x14ac:dyDescent="0.2">
      <c r="A692" s="598" t="s">
        <v>1907</v>
      </c>
      <c r="B692" s="620" t="s">
        <v>1908</v>
      </c>
      <c r="C692" s="598" t="s">
        <v>2015</v>
      </c>
      <c r="D692" s="598" t="s">
        <v>2975</v>
      </c>
      <c r="E692" s="621">
        <v>2100</v>
      </c>
      <c r="F692" s="622">
        <v>72228456</v>
      </c>
      <c r="G692" s="598" t="s">
        <v>2978</v>
      </c>
      <c r="H692" s="598" t="s">
        <v>2979</v>
      </c>
      <c r="I692" s="598" t="s">
        <v>1912</v>
      </c>
      <c r="J692" s="617" t="s">
        <v>1913</v>
      </c>
      <c r="K692" s="598"/>
      <c r="L692" s="598"/>
      <c r="M692" s="621"/>
      <c r="N692" s="598">
        <v>4</v>
      </c>
      <c r="O692" s="598">
        <v>6</v>
      </c>
      <c r="P692" s="618">
        <v>12600</v>
      </c>
    </row>
    <row r="693" spans="1:16" s="619" customFormat="1" ht="36" x14ac:dyDescent="0.2">
      <c r="A693" s="598" t="s">
        <v>1907</v>
      </c>
      <c r="B693" s="620" t="s">
        <v>1908</v>
      </c>
      <c r="C693" s="598" t="s">
        <v>2015</v>
      </c>
      <c r="D693" s="598" t="s">
        <v>2975</v>
      </c>
      <c r="E693" s="621">
        <v>1800</v>
      </c>
      <c r="F693" s="599">
        <v>33432445</v>
      </c>
      <c r="G693" s="598" t="s">
        <v>2980</v>
      </c>
      <c r="H693" s="598" t="s">
        <v>1931</v>
      </c>
      <c r="I693" s="598" t="s">
        <v>1912</v>
      </c>
      <c r="J693" s="617" t="s">
        <v>1931</v>
      </c>
      <c r="K693" s="598"/>
      <c r="L693" s="598"/>
      <c r="M693" s="621"/>
      <c r="N693" s="598">
        <v>4</v>
      </c>
      <c r="O693" s="598">
        <v>6</v>
      </c>
      <c r="P693" s="618">
        <v>10800</v>
      </c>
    </row>
    <row r="694" spans="1:16" s="619" customFormat="1" ht="36" x14ac:dyDescent="0.2">
      <c r="A694" s="598" t="s">
        <v>1907</v>
      </c>
      <c r="B694" s="620" t="s">
        <v>1908</v>
      </c>
      <c r="C694" s="598" t="s">
        <v>2015</v>
      </c>
      <c r="D694" s="598" t="s">
        <v>2975</v>
      </c>
      <c r="E694" s="621">
        <v>2700</v>
      </c>
      <c r="F694" s="622">
        <v>42149277</v>
      </c>
      <c r="G694" s="598" t="s">
        <v>2981</v>
      </c>
      <c r="H694" s="598" t="s">
        <v>2946</v>
      </c>
      <c r="I694" s="598" t="s">
        <v>1912</v>
      </c>
      <c r="J694" s="617" t="s">
        <v>1913</v>
      </c>
      <c r="K694" s="598"/>
      <c r="L694" s="598"/>
      <c r="M694" s="621"/>
      <c r="N694" s="598">
        <v>4</v>
      </c>
      <c r="O694" s="598">
        <v>6</v>
      </c>
      <c r="P694" s="618">
        <v>16200</v>
      </c>
    </row>
    <row r="695" spans="1:16" s="619" customFormat="1" ht="24" x14ac:dyDescent="0.2">
      <c r="A695" s="598" t="s">
        <v>1907</v>
      </c>
      <c r="B695" s="620" t="s">
        <v>1908</v>
      </c>
      <c r="C695" s="598" t="s">
        <v>2015</v>
      </c>
      <c r="D695" s="598" t="s">
        <v>2975</v>
      </c>
      <c r="E695" s="621">
        <v>2000</v>
      </c>
      <c r="F695" s="599">
        <v>71521387</v>
      </c>
      <c r="G695" s="598" t="s">
        <v>2982</v>
      </c>
      <c r="H695" s="598" t="s">
        <v>2946</v>
      </c>
      <c r="I695" s="598" t="s">
        <v>1912</v>
      </c>
      <c r="J695" s="617" t="s">
        <v>1913</v>
      </c>
      <c r="K695" s="598"/>
      <c r="L695" s="598"/>
      <c r="M695" s="621"/>
      <c r="N695" s="598">
        <v>2</v>
      </c>
      <c r="O695" s="598">
        <v>3</v>
      </c>
      <c r="P695" s="618">
        <v>6000</v>
      </c>
    </row>
    <row r="696" spans="1:16" s="619" customFormat="1" ht="24" x14ac:dyDescent="0.2">
      <c r="A696" s="598" t="s">
        <v>1907</v>
      </c>
      <c r="B696" s="620" t="s">
        <v>1908</v>
      </c>
      <c r="C696" s="598" t="s">
        <v>2015</v>
      </c>
      <c r="D696" s="598" t="s">
        <v>2975</v>
      </c>
      <c r="E696" s="621">
        <v>2500</v>
      </c>
      <c r="F696" s="622">
        <v>43605433</v>
      </c>
      <c r="G696" s="598" t="s">
        <v>2983</v>
      </c>
      <c r="H696" s="598" t="s">
        <v>2946</v>
      </c>
      <c r="I696" s="598" t="s">
        <v>1912</v>
      </c>
      <c r="J696" s="617" t="s">
        <v>1913</v>
      </c>
      <c r="K696" s="598"/>
      <c r="L696" s="598"/>
      <c r="M696" s="621"/>
      <c r="N696" s="598">
        <v>3</v>
      </c>
      <c r="O696" s="598">
        <v>5</v>
      </c>
      <c r="P696" s="618">
        <v>12500</v>
      </c>
    </row>
    <row r="697" spans="1:16" s="619" customFormat="1" ht="48" x14ac:dyDescent="0.2">
      <c r="A697" s="598" t="s">
        <v>1907</v>
      </c>
      <c r="B697" s="620" t="s">
        <v>1908</v>
      </c>
      <c r="C697" s="598" t="s">
        <v>2015</v>
      </c>
      <c r="D697" s="598" t="s">
        <v>2975</v>
      </c>
      <c r="E697" s="621">
        <v>2500</v>
      </c>
      <c r="F697" s="622">
        <v>16484806</v>
      </c>
      <c r="G697" s="598" t="s">
        <v>2984</v>
      </c>
      <c r="H697" s="598" t="s">
        <v>2946</v>
      </c>
      <c r="I697" s="598" t="s">
        <v>1912</v>
      </c>
      <c r="J697" s="617" t="s">
        <v>1913</v>
      </c>
      <c r="K697" s="598"/>
      <c r="L697" s="598"/>
      <c r="M697" s="621"/>
      <c r="N697" s="598">
        <v>3</v>
      </c>
      <c r="O697" s="598">
        <v>5</v>
      </c>
      <c r="P697" s="618">
        <v>12500</v>
      </c>
    </row>
    <row r="698" spans="1:16" s="619" customFormat="1" ht="24" x14ac:dyDescent="0.2">
      <c r="A698" s="598" t="s">
        <v>1907</v>
      </c>
      <c r="B698" s="620" t="s">
        <v>1908</v>
      </c>
      <c r="C698" s="598" t="s">
        <v>2015</v>
      </c>
      <c r="D698" s="598" t="s">
        <v>2975</v>
      </c>
      <c r="E698" s="621">
        <v>1400</v>
      </c>
      <c r="F698" s="599">
        <v>76732944</v>
      </c>
      <c r="G698" s="598" t="s">
        <v>2985</v>
      </c>
      <c r="H698" s="598"/>
      <c r="I698" s="598"/>
      <c r="J698" s="617"/>
      <c r="K698" s="598"/>
      <c r="L698" s="598"/>
      <c r="M698" s="621"/>
      <c r="N698" s="598">
        <v>3</v>
      </c>
      <c r="O698" s="598">
        <v>4</v>
      </c>
      <c r="P698" s="618">
        <v>5600</v>
      </c>
    </row>
    <row r="699" spans="1:16" s="619" customFormat="1" ht="24" x14ac:dyDescent="0.2">
      <c r="A699" s="598" t="s">
        <v>1907</v>
      </c>
      <c r="B699" s="620" t="s">
        <v>1908</v>
      </c>
      <c r="C699" s="598" t="s">
        <v>2015</v>
      </c>
      <c r="D699" s="598" t="s">
        <v>2986</v>
      </c>
      <c r="E699" s="621">
        <v>2500</v>
      </c>
      <c r="F699" s="622">
        <v>44590529</v>
      </c>
      <c r="G699" s="598" t="s">
        <v>2987</v>
      </c>
      <c r="H699" s="598" t="s">
        <v>2939</v>
      </c>
      <c r="I699" s="598" t="s">
        <v>1912</v>
      </c>
      <c r="J699" s="617" t="s">
        <v>1913</v>
      </c>
      <c r="K699" s="598"/>
      <c r="L699" s="598"/>
      <c r="M699" s="621"/>
      <c r="N699" s="598">
        <v>4</v>
      </c>
      <c r="O699" s="598">
        <v>6</v>
      </c>
      <c r="P699" s="618">
        <v>15000</v>
      </c>
    </row>
    <row r="700" spans="1:16" s="619" customFormat="1" ht="48" x14ac:dyDescent="0.2">
      <c r="A700" s="598" t="s">
        <v>1907</v>
      </c>
      <c r="B700" s="620" t="s">
        <v>1908</v>
      </c>
      <c r="C700" s="598" t="s">
        <v>2015</v>
      </c>
      <c r="D700" s="598" t="s">
        <v>2988</v>
      </c>
      <c r="E700" s="621">
        <v>1900</v>
      </c>
      <c r="F700" s="599">
        <v>41798776</v>
      </c>
      <c r="G700" s="598" t="s">
        <v>2989</v>
      </c>
      <c r="H700" s="598" t="s">
        <v>2939</v>
      </c>
      <c r="I700" s="598" t="s">
        <v>1912</v>
      </c>
      <c r="J700" s="617" t="s">
        <v>1913</v>
      </c>
      <c r="K700" s="598"/>
      <c r="L700" s="598"/>
      <c r="M700" s="621"/>
      <c r="N700" s="598">
        <v>4</v>
      </c>
      <c r="O700" s="598">
        <v>6</v>
      </c>
      <c r="P700" s="618">
        <v>11400</v>
      </c>
    </row>
    <row r="701" spans="1:16" s="619" customFormat="1" ht="36" x14ac:dyDescent="0.2">
      <c r="A701" s="598" t="s">
        <v>1907</v>
      </c>
      <c r="B701" s="620" t="s">
        <v>1908</v>
      </c>
      <c r="C701" s="598" t="s">
        <v>2015</v>
      </c>
      <c r="D701" s="598" t="s">
        <v>2990</v>
      </c>
      <c r="E701" s="621">
        <v>950</v>
      </c>
      <c r="F701" s="622">
        <v>73749187</v>
      </c>
      <c r="G701" s="598" t="s">
        <v>2991</v>
      </c>
      <c r="H701" s="598" t="s">
        <v>2992</v>
      </c>
      <c r="I701" s="598"/>
      <c r="J701" s="617"/>
      <c r="K701" s="598"/>
      <c r="L701" s="598"/>
      <c r="M701" s="621"/>
      <c r="N701" s="598">
        <v>3</v>
      </c>
      <c r="O701" s="598">
        <v>5</v>
      </c>
      <c r="P701" s="618">
        <v>4750</v>
      </c>
    </row>
    <row r="702" spans="1:16" s="619" customFormat="1" ht="24" x14ac:dyDescent="0.2">
      <c r="A702" s="598" t="s">
        <v>1907</v>
      </c>
      <c r="B702" s="620" t="s">
        <v>1908</v>
      </c>
      <c r="C702" s="598" t="s">
        <v>2015</v>
      </c>
      <c r="D702" s="598" t="s">
        <v>2988</v>
      </c>
      <c r="E702" s="621">
        <v>950</v>
      </c>
      <c r="F702" s="599">
        <v>73748510</v>
      </c>
      <c r="G702" s="598" t="s">
        <v>2993</v>
      </c>
      <c r="H702" s="598" t="s">
        <v>2992</v>
      </c>
      <c r="I702" s="598"/>
      <c r="J702" s="617"/>
      <c r="K702" s="598"/>
      <c r="L702" s="598"/>
      <c r="M702" s="621"/>
      <c r="N702" s="598">
        <v>4</v>
      </c>
      <c r="O702" s="598">
        <v>6</v>
      </c>
      <c r="P702" s="618">
        <v>5700</v>
      </c>
    </row>
    <row r="703" spans="1:16" s="619" customFormat="1" ht="24" x14ac:dyDescent="0.2">
      <c r="A703" s="598" t="s">
        <v>1907</v>
      </c>
      <c r="B703" s="620" t="s">
        <v>1908</v>
      </c>
      <c r="C703" s="598" t="s">
        <v>2015</v>
      </c>
      <c r="D703" s="598" t="s">
        <v>2994</v>
      </c>
      <c r="E703" s="621">
        <v>4000</v>
      </c>
      <c r="F703" s="622">
        <v>74205925</v>
      </c>
      <c r="G703" s="598" t="s">
        <v>2995</v>
      </c>
      <c r="H703" s="598" t="s">
        <v>2939</v>
      </c>
      <c r="I703" s="598" t="s">
        <v>1912</v>
      </c>
      <c r="J703" s="617" t="s">
        <v>1913</v>
      </c>
      <c r="K703" s="598"/>
      <c r="L703" s="598"/>
      <c r="M703" s="621"/>
      <c r="N703" s="598">
        <v>4</v>
      </c>
      <c r="O703" s="598">
        <v>6</v>
      </c>
      <c r="P703" s="618">
        <v>24000</v>
      </c>
    </row>
    <row r="704" spans="1:16" s="619" customFormat="1" ht="24" x14ac:dyDescent="0.2">
      <c r="A704" s="598" t="s">
        <v>1907</v>
      </c>
      <c r="B704" s="620" t="s">
        <v>1908</v>
      </c>
      <c r="C704" s="598" t="s">
        <v>2015</v>
      </c>
      <c r="D704" s="598" t="s">
        <v>2994</v>
      </c>
      <c r="E704" s="621">
        <v>5000</v>
      </c>
      <c r="F704" s="599">
        <v>42625434</v>
      </c>
      <c r="G704" s="598" t="s">
        <v>2996</v>
      </c>
      <c r="H704" s="598" t="s">
        <v>2921</v>
      </c>
      <c r="I704" s="598" t="s">
        <v>1912</v>
      </c>
      <c r="J704" s="617" t="s">
        <v>1913</v>
      </c>
      <c r="K704" s="598"/>
      <c r="L704" s="598"/>
      <c r="M704" s="621"/>
      <c r="N704" s="598">
        <v>4</v>
      </c>
      <c r="O704" s="598">
        <v>6</v>
      </c>
      <c r="P704" s="618">
        <v>30000</v>
      </c>
    </row>
    <row r="705" spans="1:16" s="619" customFormat="1" ht="48" x14ac:dyDescent="0.2">
      <c r="A705" s="598" t="s">
        <v>1907</v>
      </c>
      <c r="B705" s="620" t="s">
        <v>1908</v>
      </c>
      <c r="C705" s="598" t="s">
        <v>2015</v>
      </c>
      <c r="D705" s="598" t="s">
        <v>2994</v>
      </c>
      <c r="E705" s="621">
        <v>5000</v>
      </c>
      <c r="F705" s="622">
        <v>33425752</v>
      </c>
      <c r="G705" s="598" t="s">
        <v>2997</v>
      </c>
      <c r="H705" s="598" t="s">
        <v>2232</v>
      </c>
      <c r="I705" s="598" t="s">
        <v>1912</v>
      </c>
      <c r="J705" s="617" t="s">
        <v>1913</v>
      </c>
      <c r="K705" s="598"/>
      <c r="L705" s="598"/>
      <c r="M705" s="621"/>
      <c r="N705" s="598">
        <v>4</v>
      </c>
      <c r="O705" s="598">
        <v>6</v>
      </c>
      <c r="P705" s="618">
        <v>30000</v>
      </c>
    </row>
    <row r="706" spans="1:16" s="619" customFormat="1" ht="36" x14ac:dyDescent="0.2">
      <c r="A706" s="598" t="s">
        <v>1907</v>
      </c>
      <c r="B706" s="620" t="s">
        <v>1908</v>
      </c>
      <c r="C706" s="598" t="s">
        <v>2015</v>
      </c>
      <c r="D706" s="598" t="s">
        <v>2998</v>
      </c>
      <c r="E706" s="621">
        <v>5000</v>
      </c>
      <c r="F706" s="599">
        <v>46008422</v>
      </c>
      <c r="G706" s="598" t="s">
        <v>2999</v>
      </c>
      <c r="H706" s="598" t="s">
        <v>1911</v>
      </c>
      <c r="I706" s="598" t="s">
        <v>1912</v>
      </c>
      <c r="J706" s="617" t="s">
        <v>1913</v>
      </c>
      <c r="K706" s="598"/>
      <c r="L706" s="598"/>
      <c r="M706" s="621"/>
      <c r="N706" s="598">
        <v>2</v>
      </c>
      <c r="O706" s="598">
        <v>3</v>
      </c>
      <c r="P706" s="618">
        <v>15000</v>
      </c>
    </row>
    <row r="707" spans="1:16" s="619" customFormat="1" ht="36" x14ac:dyDescent="0.2">
      <c r="A707" s="598" t="s">
        <v>1907</v>
      </c>
      <c r="B707" s="620" t="s">
        <v>1908</v>
      </c>
      <c r="C707" s="598" t="s">
        <v>2015</v>
      </c>
      <c r="D707" s="598" t="s">
        <v>2998</v>
      </c>
      <c r="E707" s="621">
        <v>2200</v>
      </c>
      <c r="F707" s="622">
        <v>71215471</v>
      </c>
      <c r="G707" s="598" t="s">
        <v>3000</v>
      </c>
      <c r="H707" s="598" t="s">
        <v>2936</v>
      </c>
      <c r="I707" s="598" t="s">
        <v>1912</v>
      </c>
      <c r="J707" s="617" t="s">
        <v>1913</v>
      </c>
      <c r="K707" s="598"/>
      <c r="L707" s="598"/>
      <c r="M707" s="621"/>
      <c r="N707" s="598">
        <v>4</v>
      </c>
      <c r="O707" s="598">
        <v>6</v>
      </c>
      <c r="P707" s="618">
        <v>13200</v>
      </c>
    </row>
    <row r="708" spans="1:16" s="619" customFormat="1" ht="36" x14ac:dyDescent="0.2">
      <c r="A708" s="598" t="s">
        <v>1907</v>
      </c>
      <c r="B708" s="620" t="s">
        <v>1908</v>
      </c>
      <c r="C708" s="598" t="s">
        <v>2015</v>
      </c>
      <c r="D708" s="598" t="s">
        <v>3001</v>
      </c>
      <c r="E708" s="621">
        <v>1900</v>
      </c>
      <c r="F708" s="599">
        <v>42585409</v>
      </c>
      <c r="G708" s="598" t="s">
        <v>3002</v>
      </c>
      <c r="H708" s="598" t="s">
        <v>2936</v>
      </c>
      <c r="I708" s="598" t="s">
        <v>1912</v>
      </c>
      <c r="J708" s="617" t="s">
        <v>1913</v>
      </c>
      <c r="K708" s="598"/>
      <c r="L708" s="598"/>
      <c r="M708" s="621"/>
      <c r="N708" s="598">
        <v>4</v>
      </c>
      <c r="O708" s="598">
        <v>6</v>
      </c>
      <c r="P708" s="618">
        <v>11400</v>
      </c>
    </row>
    <row r="709" spans="1:16" s="619" customFormat="1" ht="24" x14ac:dyDescent="0.2">
      <c r="A709" s="598" t="s">
        <v>1907</v>
      </c>
      <c r="B709" s="620" t="s">
        <v>1908</v>
      </c>
      <c r="C709" s="598" t="s">
        <v>2015</v>
      </c>
      <c r="D709" s="598" t="s">
        <v>3003</v>
      </c>
      <c r="E709" s="621">
        <v>2200</v>
      </c>
      <c r="F709" s="622">
        <v>46859668</v>
      </c>
      <c r="G709" s="598" t="s">
        <v>3004</v>
      </c>
      <c r="H709" s="598" t="s">
        <v>2946</v>
      </c>
      <c r="I709" s="598" t="s">
        <v>1912</v>
      </c>
      <c r="J709" s="617" t="s">
        <v>1913</v>
      </c>
      <c r="K709" s="598"/>
      <c r="L709" s="598"/>
      <c r="M709" s="621"/>
      <c r="N709" s="598">
        <v>4</v>
      </c>
      <c r="O709" s="598">
        <v>6</v>
      </c>
      <c r="P709" s="618">
        <v>13200</v>
      </c>
    </row>
    <row r="710" spans="1:16" s="619" customFormat="1" ht="24" x14ac:dyDescent="0.2">
      <c r="A710" s="598" t="s">
        <v>1907</v>
      </c>
      <c r="B710" s="620" t="s">
        <v>1908</v>
      </c>
      <c r="C710" s="598" t="s">
        <v>2015</v>
      </c>
      <c r="D710" s="598" t="s">
        <v>3005</v>
      </c>
      <c r="E710" s="621">
        <v>2000</v>
      </c>
      <c r="F710" s="599">
        <v>48445974</v>
      </c>
      <c r="G710" s="598" t="s">
        <v>3006</v>
      </c>
      <c r="H710" s="598" t="s">
        <v>2956</v>
      </c>
      <c r="I710" s="598" t="s">
        <v>1912</v>
      </c>
      <c r="J710" s="617" t="s">
        <v>1913</v>
      </c>
      <c r="K710" s="598"/>
      <c r="L710" s="598"/>
      <c r="M710" s="621"/>
      <c r="N710" s="598">
        <v>4</v>
      </c>
      <c r="O710" s="598">
        <v>6</v>
      </c>
      <c r="P710" s="618">
        <v>12000</v>
      </c>
    </row>
    <row r="711" spans="1:16" s="619" customFormat="1" ht="24" x14ac:dyDescent="0.2">
      <c r="A711" s="598" t="s">
        <v>1907</v>
      </c>
      <c r="B711" s="620" t="s">
        <v>1908</v>
      </c>
      <c r="C711" s="598" t="s">
        <v>2015</v>
      </c>
      <c r="D711" s="598" t="s">
        <v>3007</v>
      </c>
      <c r="E711" s="621">
        <v>1500</v>
      </c>
      <c r="F711" s="622">
        <v>33436127</v>
      </c>
      <c r="G711" s="598" t="s">
        <v>3008</v>
      </c>
      <c r="H711" s="598" t="s">
        <v>3009</v>
      </c>
      <c r="I711" s="598" t="s">
        <v>1912</v>
      </c>
      <c r="J711" s="617" t="s">
        <v>1913</v>
      </c>
      <c r="K711" s="598"/>
      <c r="L711" s="598"/>
      <c r="M711" s="621"/>
      <c r="N711" s="598">
        <v>4</v>
      </c>
      <c r="O711" s="598">
        <v>6</v>
      </c>
      <c r="P711" s="618">
        <v>4500</v>
      </c>
    </row>
    <row r="712" spans="1:16" s="619" customFormat="1" ht="24" x14ac:dyDescent="0.2">
      <c r="A712" s="598" t="s">
        <v>1907</v>
      </c>
      <c r="B712" s="620" t="s">
        <v>1908</v>
      </c>
      <c r="C712" s="598" t="s">
        <v>2015</v>
      </c>
      <c r="D712" s="598" t="s">
        <v>3007</v>
      </c>
      <c r="E712" s="621">
        <v>3000</v>
      </c>
      <c r="F712" s="599">
        <v>71351477</v>
      </c>
      <c r="G712" s="598" t="s">
        <v>3010</v>
      </c>
      <c r="H712" s="598" t="s">
        <v>1911</v>
      </c>
      <c r="I712" s="598" t="s">
        <v>1912</v>
      </c>
      <c r="J712" s="617" t="s">
        <v>1913</v>
      </c>
      <c r="K712" s="598"/>
      <c r="L712" s="598"/>
      <c r="M712" s="621"/>
      <c r="N712" s="598">
        <v>1</v>
      </c>
      <c r="O712" s="598">
        <v>2</v>
      </c>
      <c r="P712" s="618">
        <v>6000</v>
      </c>
    </row>
    <row r="713" spans="1:16" s="619" customFormat="1" ht="48" x14ac:dyDescent="0.2">
      <c r="A713" s="598" t="s">
        <v>1907</v>
      </c>
      <c r="B713" s="620" t="s">
        <v>1908</v>
      </c>
      <c r="C713" s="598" t="s">
        <v>2015</v>
      </c>
      <c r="D713" s="598" t="s">
        <v>3003</v>
      </c>
      <c r="E713" s="621">
        <v>1900</v>
      </c>
      <c r="F713" s="622">
        <v>46190309</v>
      </c>
      <c r="G713" s="598" t="s">
        <v>3011</v>
      </c>
      <c r="H713" s="598" t="s">
        <v>3009</v>
      </c>
      <c r="I713" s="598" t="s">
        <v>1912</v>
      </c>
      <c r="J713" s="617" t="s">
        <v>1913</v>
      </c>
      <c r="K713" s="598"/>
      <c r="L713" s="598"/>
      <c r="M713" s="621"/>
      <c r="N713" s="598">
        <v>4</v>
      </c>
      <c r="O713" s="598">
        <v>6</v>
      </c>
      <c r="P713" s="618">
        <v>11400</v>
      </c>
    </row>
    <row r="714" spans="1:16" s="619" customFormat="1" ht="36" x14ac:dyDescent="0.2">
      <c r="A714" s="598" t="s">
        <v>1907</v>
      </c>
      <c r="B714" s="620" t="s">
        <v>1908</v>
      </c>
      <c r="C714" s="598" t="s">
        <v>2015</v>
      </c>
      <c r="D714" s="598" t="s">
        <v>3003</v>
      </c>
      <c r="E714" s="621">
        <v>3500</v>
      </c>
      <c r="F714" s="599">
        <v>16732004</v>
      </c>
      <c r="G714" s="598" t="s">
        <v>3012</v>
      </c>
      <c r="H714" s="598" t="s">
        <v>2946</v>
      </c>
      <c r="I714" s="598" t="s">
        <v>1912</v>
      </c>
      <c r="J714" s="617" t="s">
        <v>1913</v>
      </c>
      <c r="K714" s="598"/>
      <c r="L714" s="598"/>
      <c r="M714" s="621"/>
      <c r="N714" s="598">
        <v>3</v>
      </c>
      <c r="O714" s="598">
        <v>5</v>
      </c>
      <c r="P714" s="618">
        <v>17500</v>
      </c>
    </row>
    <row r="715" spans="1:16" s="619" customFormat="1" ht="24" x14ac:dyDescent="0.2">
      <c r="A715" s="598" t="s">
        <v>1907</v>
      </c>
      <c r="B715" s="620" t="s">
        <v>1908</v>
      </c>
      <c r="C715" s="598" t="s">
        <v>2015</v>
      </c>
      <c r="D715" s="598" t="s">
        <v>3013</v>
      </c>
      <c r="E715" s="621">
        <v>1800</v>
      </c>
      <c r="F715" s="622">
        <v>16756237</v>
      </c>
      <c r="G715" s="598" t="s">
        <v>3014</v>
      </c>
      <c r="H715" s="598" t="s">
        <v>1931</v>
      </c>
      <c r="I715" s="598" t="s">
        <v>1912</v>
      </c>
      <c r="J715" s="617" t="s">
        <v>1931</v>
      </c>
      <c r="K715" s="598"/>
      <c r="L715" s="598"/>
      <c r="M715" s="621"/>
      <c r="N715" s="598">
        <v>4</v>
      </c>
      <c r="O715" s="598">
        <v>6</v>
      </c>
      <c r="P715" s="618">
        <v>10800</v>
      </c>
    </row>
    <row r="716" spans="1:16" s="619" customFormat="1" ht="36" x14ac:dyDescent="0.2">
      <c r="A716" s="598" t="s">
        <v>1907</v>
      </c>
      <c r="B716" s="620" t="s">
        <v>1908</v>
      </c>
      <c r="C716" s="598" t="s">
        <v>2015</v>
      </c>
      <c r="D716" s="598" t="s">
        <v>3015</v>
      </c>
      <c r="E716" s="621">
        <v>1200</v>
      </c>
      <c r="F716" s="599">
        <v>33816914</v>
      </c>
      <c r="G716" s="598" t="s">
        <v>3016</v>
      </c>
      <c r="H716" s="598" t="s">
        <v>1919</v>
      </c>
      <c r="I716" s="598"/>
      <c r="J716" s="617"/>
      <c r="K716" s="598"/>
      <c r="L716" s="598"/>
      <c r="M716" s="621"/>
      <c r="N716" s="598">
        <v>4</v>
      </c>
      <c r="O716" s="598">
        <v>6</v>
      </c>
      <c r="P716" s="618">
        <v>7200</v>
      </c>
    </row>
    <row r="717" spans="1:16" s="619" customFormat="1" ht="36" x14ac:dyDescent="0.2">
      <c r="A717" s="598" t="s">
        <v>1907</v>
      </c>
      <c r="B717" s="620" t="s">
        <v>1908</v>
      </c>
      <c r="C717" s="598" t="s">
        <v>2015</v>
      </c>
      <c r="D717" s="598" t="s">
        <v>3017</v>
      </c>
      <c r="E717" s="621">
        <v>2500</v>
      </c>
      <c r="F717" s="622">
        <v>71069931</v>
      </c>
      <c r="G717" s="598" t="s">
        <v>3018</v>
      </c>
      <c r="H717" s="598" t="s">
        <v>3009</v>
      </c>
      <c r="I717" s="598" t="s">
        <v>1912</v>
      </c>
      <c r="J717" s="617" t="s">
        <v>1913</v>
      </c>
      <c r="K717" s="598"/>
      <c r="L717" s="598"/>
      <c r="M717" s="621"/>
      <c r="N717" s="598">
        <v>4</v>
      </c>
      <c r="O717" s="598">
        <v>6</v>
      </c>
      <c r="P717" s="618">
        <v>15000</v>
      </c>
    </row>
    <row r="718" spans="1:16" s="619" customFormat="1" ht="48" x14ac:dyDescent="0.2">
      <c r="A718" s="598" t="s">
        <v>1907</v>
      </c>
      <c r="B718" s="620" t="s">
        <v>1908</v>
      </c>
      <c r="C718" s="598" t="s">
        <v>2015</v>
      </c>
      <c r="D718" s="598" t="s">
        <v>3017</v>
      </c>
      <c r="E718" s="621">
        <v>2500</v>
      </c>
      <c r="F718" s="599">
        <v>46345036</v>
      </c>
      <c r="G718" s="598" t="s">
        <v>3019</v>
      </c>
      <c r="H718" s="598" t="s">
        <v>3009</v>
      </c>
      <c r="I718" s="598" t="s">
        <v>1912</v>
      </c>
      <c r="J718" s="617" t="s">
        <v>1913</v>
      </c>
      <c r="K718" s="598"/>
      <c r="L718" s="598"/>
      <c r="M718" s="621"/>
      <c r="N718" s="598">
        <v>3</v>
      </c>
      <c r="O718" s="598">
        <v>5</v>
      </c>
      <c r="P718" s="618">
        <v>12500</v>
      </c>
    </row>
    <row r="719" spans="1:16" s="619" customFormat="1" ht="48" x14ac:dyDescent="0.2">
      <c r="A719" s="598" t="s">
        <v>1907</v>
      </c>
      <c r="B719" s="620" t="s">
        <v>1908</v>
      </c>
      <c r="C719" s="598" t="s">
        <v>2015</v>
      </c>
      <c r="D719" s="598" t="s">
        <v>2988</v>
      </c>
      <c r="E719" s="621">
        <v>2200</v>
      </c>
      <c r="F719" s="622">
        <v>46345036</v>
      </c>
      <c r="G719" s="598" t="s">
        <v>3019</v>
      </c>
      <c r="H719" s="598" t="s">
        <v>3020</v>
      </c>
      <c r="I719" s="598" t="s">
        <v>1912</v>
      </c>
      <c r="J719" s="617" t="s">
        <v>1913</v>
      </c>
      <c r="K719" s="598"/>
      <c r="L719" s="598"/>
      <c r="M719" s="621"/>
      <c r="N719" s="598">
        <v>2</v>
      </c>
      <c r="O719" s="598">
        <v>3</v>
      </c>
      <c r="P719" s="618">
        <v>6600</v>
      </c>
    </row>
    <row r="720" spans="1:16" s="619" customFormat="1" ht="36" x14ac:dyDescent="0.2">
      <c r="A720" s="598" t="s">
        <v>1907</v>
      </c>
      <c r="B720" s="620" t="s">
        <v>1908</v>
      </c>
      <c r="C720" s="598" t="s">
        <v>2015</v>
      </c>
      <c r="D720" s="598" t="s">
        <v>3017</v>
      </c>
      <c r="E720" s="621">
        <v>1300</v>
      </c>
      <c r="F720" s="599">
        <v>77383517</v>
      </c>
      <c r="G720" s="598" t="s">
        <v>3021</v>
      </c>
      <c r="H720" s="598" t="s">
        <v>3022</v>
      </c>
      <c r="I720" s="598" t="s">
        <v>1912</v>
      </c>
      <c r="J720" s="617" t="s">
        <v>1913</v>
      </c>
      <c r="K720" s="598"/>
      <c r="L720" s="598"/>
      <c r="M720" s="621"/>
      <c r="N720" s="598">
        <v>1</v>
      </c>
      <c r="O720" s="598">
        <v>2</v>
      </c>
      <c r="P720" s="618">
        <v>2600</v>
      </c>
    </row>
    <row r="721" spans="1:16" s="619" customFormat="1" ht="24" x14ac:dyDescent="0.2">
      <c r="A721" s="598" t="s">
        <v>1907</v>
      </c>
      <c r="B721" s="620" t="s">
        <v>1908</v>
      </c>
      <c r="C721" s="598" t="s">
        <v>2015</v>
      </c>
      <c r="D721" s="598" t="s">
        <v>3023</v>
      </c>
      <c r="E721" s="621">
        <v>1600</v>
      </c>
      <c r="F721" s="622">
        <v>41402419</v>
      </c>
      <c r="G721" s="598" t="s">
        <v>3024</v>
      </c>
      <c r="H721" s="598" t="s">
        <v>1931</v>
      </c>
      <c r="I721" s="598" t="s">
        <v>1912</v>
      </c>
      <c r="J721" s="617" t="s">
        <v>1931</v>
      </c>
      <c r="K721" s="598"/>
      <c r="L721" s="598"/>
      <c r="M721" s="621"/>
      <c r="N721" s="598">
        <v>4</v>
      </c>
      <c r="O721" s="598">
        <v>6</v>
      </c>
      <c r="P721" s="618">
        <v>9600</v>
      </c>
    </row>
    <row r="722" spans="1:16" s="619" customFormat="1" ht="24" x14ac:dyDescent="0.2">
      <c r="A722" s="598" t="s">
        <v>1907</v>
      </c>
      <c r="B722" s="620" t="s">
        <v>1908</v>
      </c>
      <c r="C722" s="598" t="s">
        <v>2015</v>
      </c>
      <c r="D722" s="598" t="s">
        <v>3025</v>
      </c>
      <c r="E722" s="621">
        <v>4000</v>
      </c>
      <c r="F722" s="599">
        <v>41761119</v>
      </c>
      <c r="G722" s="598" t="s">
        <v>3026</v>
      </c>
      <c r="H722" s="598" t="s">
        <v>2946</v>
      </c>
      <c r="I722" s="598" t="s">
        <v>1912</v>
      </c>
      <c r="J722" s="617" t="s">
        <v>1913</v>
      </c>
      <c r="K722" s="598"/>
      <c r="L722" s="598"/>
      <c r="M722" s="621"/>
      <c r="N722" s="598">
        <v>4</v>
      </c>
      <c r="O722" s="598">
        <v>6</v>
      </c>
      <c r="P722" s="618">
        <v>24000</v>
      </c>
    </row>
    <row r="723" spans="1:16" s="619" customFormat="1" ht="36" x14ac:dyDescent="0.2">
      <c r="A723" s="598" t="s">
        <v>1907</v>
      </c>
      <c r="B723" s="620" t="s">
        <v>1908</v>
      </c>
      <c r="C723" s="598" t="s">
        <v>2015</v>
      </c>
      <c r="D723" s="598" t="s">
        <v>3023</v>
      </c>
      <c r="E723" s="621">
        <v>1700</v>
      </c>
      <c r="F723" s="622">
        <v>47507900</v>
      </c>
      <c r="G723" s="598" t="s">
        <v>3027</v>
      </c>
      <c r="H723" s="598" t="s">
        <v>3028</v>
      </c>
      <c r="I723" s="598" t="s">
        <v>1912</v>
      </c>
      <c r="J723" s="617" t="s">
        <v>1913</v>
      </c>
      <c r="K723" s="598"/>
      <c r="L723" s="598"/>
      <c r="M723" s="621"/>
      <c r="N723" s="598">
        <v>4</v>
      </c>
      <c r="O723" s="598">
        <v>6</v>
      </c>
      <c r="P723" s="618">
        <v>10200</v>
      </c>
    </row>
    <row r="724" spans="1:16" s="619" customFormat="1" ht="24" x14ac:dyDescent="0.2">
      <c r="A724" s="598" t="s">
        <v>1907</v>
      </c>
      <c r="B724" s="620" t="s">
        <v>1908</v>
      </c>
      <c r="C724" s="598" t="s">
        <v>2015</v>
      </c>
      <c r="D724" s="598" t="s">
        <v>3029</v>
      </c>
      <c r="E724" s="621">
        <v>1500</v>
      </c>
      <c r="F724" s="599">
        <v>33407606</v>
      </c>
      <c r="G724" s="598" t="s">
        <v>3030</v>
      </c>
      <c r="H724" s="598" t="s">
        <v>1931</v>
      </c>
      <c r="I724" s="598" t="s">
        <v>1912</v>
      </c>
      <c r="J724" s="617" t="s">
        <v>1931</v>
      </c>
      <c r="K724" s="598"/>
      <c r="L724" s="598"/>
      <c r="M724" s="621"/>
      <c r="N724" s="598">
        <v>1</v>
      </c>
      <c r="O724" s="598">
        <v>1</v>
      </c>
      <c r="P724" s="618">
        <v>1500</v>
      </c>
    </row>
    <row r="725" spans="1:16" s="619" customFormat="1" ht="24" x14ac:dyDescent="0.2">
      <c r="A725" s="598" t="s">
        <v>1907</v>
      </c>
      <c r="B725" s="620" t="s">
        <v>1908</v>
      </c>
      <c r="C725" s="598" t="s">
        <v>2015</v>
      </c>
      <c r="D725" s="598" t="s">
        <v>3031</v>
      </c>
      <c r="E725" s="621">
        <v>1100</v>
      </c>
      <c r="F725" s="622">
        <v>33816853</v>
      </c>
      <c r="G725" s="598" t="s">
        <v>3032</v>
      </c>
      <c r="H725" s="598" t="s">
        <v>1919</v>
      </c>
      <c r="I725" s="598"/>
      <c r="J725" s="617"/>
      <c r="K725" s="598"/>
      <c r="L725" s="598"/>
      <c r="M725" s="621"/>
      <c r="N725" s="598">
        <v>4</v>
      </c>
      <c r="O725" s="598">
        <v>6</v>
      </c>
      <c r="P725" s="618">
        <v>6600</v>
      </c>
    </row>
    <row r="726" spans="1:16" s="619" customFormat="1" ht="36" x14ac:dyDescent="0.2">
      <c r="A726" s="598" t="s">
        <v>1907</v>
      </c>
      <c r="B726" s="620" t="s">
        <v>1908</v>
      </c>
      <c r="C726" s="598" t="s">
        <v>2015</v>
      </c>
      <c r="D726" s="598" t="s">
        <v>3031</v>
      </c>
      <c r="E726" s="621">
        <v>1100</v>
      </c>
      <c r="F726" s="599">
        <v>33405156</v>
      </c>
      <c r="G726" s="598" t="s">
        <v>3033</v>
      </c>
      <c r="H726" s="598" t="s">
        <v>1919</v>
      </c>
      <c r="I726" s="598"/>
      <c r="J726" s="617"/>
      <c r="K726" s="598"/>
      <c r="L726" s="598"/>
      <c r="M726" s="621"/>
      <c r="N726" s="598">
        <v>4</v>
      </c>
      <c r="O726" s="598">
        <v>6</v>
      </c>
      <c r="P726" s="618">
        <v>6600</v>
      </c>
    </row>
    <row r="727" spans="1:16" s="619" customFormat="1" ht="36" x14ac:dyDescent="0.2">
      <c r="A727" s="598" t="s">
        <v>1907</v>
      </c>
      <c r="B727" s="620" t="s">
        <v>1908</v>
      </c>
      <c r="C727" s="598" t="s">
        <v>2015</v>
      </c>
      <c r="D727" s="598" t="s">
        <v>3034</v>
      </c>
      <c r="E727" s="621">
        <v>1100</v>
      </c>
      <c r="F727" s="622">
        <v>45921175</v>
      </c>
      <c r="G727" s="598" t="s">
        <v>3035</v>
      </c>
      <c r="H727" s="598" t="s">
        <v>1919</v>
      </c>
      <c r="I727" s="598"/>
      <c r="J727" s="617"/>
      <c r="K727" s="598"/>
      <c r="L727" s="598"/>
      <c r="M727" s="621"/>
      <c r="N727" s="598">
        <v>4</v>
      </c>
      <c r="O727" s="598">
        <v>6</v>
      </c>
      <c r="P727" s="618">
        <v>6600</v>
      </c>
    </row>
    <row r="728" spans="1:16" s="619" customFormat="1" ht="36" x14ac:dyDescent="0.2">
      <c r="A728" s="598" t="s">
        <v>1907</v>
      </c>
      <c r="B728" s="620" t="s">
        <v>1908</v>
      </c>
      <c r="C728" s="598" t="s">
        <v>2015</v>
      </c>
      <c r="D728" s="598" t="s">
        <v>3034</v>
      </c>
      <c r="E728" s="621">
        <v>1100</v>
      </c>
      <c r="F728" s="599">
        <v>43768799</v>
      </c>
      <c r="G728" s="598" t="s">
        <v>3036</v>
      </c>
      <c r="H728" s="598" t="s">
        <v>1919</v>
      </c>
      <c r="I728" s="598"/>
      <c r="J728" s="617"/>
      <c r="K728" s="598"/>
      <c r="L728" s="598"/>
      <c r="M728" s="621"/>
      <c r="N728" s="598">
        <v>4</v>
      </c>
      <c r="O728" s="598">
        <v>6</v>
      </c>
      <c r="P728" s="618">
        <v>6600</v>
      </c>
    </row>
    <row r="729" spans="1:16" s="619" customFormat="1" ht="24" x14ac:dyDescent="0.2">
      <c r="A729" s="598" t="s">
        <v>1907</v>
      </c>
      <c r="B729" s="620" t="s">
        <v>1908</v>
      </c>
      <c r="C729" s="598" t="s">
        <v>2015</v>
      </c>
      <c r="D729" s="598" t="s">
        <v>3037</v>
      </c>
      <c r="E729" s="621">
        <v>1100</v>
      </c>
      <c r="F729" s="622">
        <v>41818849</v>
      </c>
      <c r="G729" s="598" t="s">
        <v>3038</v>
      </c>
      <c r="H729" s="598" t="s">
        <v>1931</v>
      </c>
      <c r="I729" s="598" t="s">
        <v>1912</v>
      </c>
      <c r="J729" s="617" t="s">
        <v>1931</v>
      </c>
      <c r="K729" s="598"/>
      <c r="L729" s="598"/>
      <c r="M729" s="621"/>
      <c r="N729" s="598">
        <v>4</v>
      </c>
      <c r="O729" s="598">
        <v>6</v>
      </c>
      <c r="P729" s="618">
        <v>6600</v>
      </c>
    </row>
    <row r="730" spans="1:16" s="619" customFormat="1" ht="36" x14ac:dyDescent="0.2">
      <c r="A730" s="598" t="s">
        <v>1907</v>
      </c>
      <c r="B730" s="620" t="s">
        <v>1908</v>
      </c>
      <c r="C730" s="598" t="s">
        <v>2015</v>
      </c>
      <c r="D730" s="598" t="s">
        <v>3037</v>
      </c>
      <c r="E730" s="621">
        <v>1200</v>
      </c>
      <c r="F730" s="599">
        <v>40432402</v>
      </c>
      <c r="G730" s="598" t="s">
        <v>3039</v>
      </c>
      <c r="H730" s="598" t="s">
        <v>1919</v>
      </c>
      <c r="I730" s="598"/>
      <c r="J730" s="617"/>
      <c r="K730" s="598"/>
      <c r="L730" s="598"/>
      <c r="M730" s="621"/>
      <c r="N730" s="598">
        <v>3</v>
      </c>
      <c r="O730" s="598">
        <v>5</v>
      </c>
      <c r="P730" s="618">
        <v>6000</v>
      </c>
    </row>
    <row r="731" spans="1:16" s="619" customFormat="1" ht="36" x14ac:dyDescent="0.2">
      <c r="A731" s="598" t="s">
        <v>1907</v>
      </c>
      <c r="B731" s="620" t="s">
        <v>1908</v>
      </c>
      <c r="C731" s="598" t="s">
        <v>2015</v>
      </c>
      <c r="D731" s="598" t="s">
        <v>2988</v>
      </c>
      <c r="E731" s="621">
        <v>1300</v>
      </c>
      <c r="F731" s="622">
        <v>72931134</v>
      </c>
      <c r="G731" s="598" t="s">
        <v>3040</v>
      </c>
      <c r="H731" s="598" t="s">
        <v>3041</v>
      </c>
      <c r="I731" s="598" t="s">
        <v>1912</v>
      </c>
      <c r="J731" s="617" t="s">
        <v>1913</v>
      </c>
      <c r="K731" s="598"/>
      <c r="L731" s="598"/>
      <c r="M731" s="621"/>
      <c r="N731" s="598">
        <v>3</v>
      </c>
      <c r="O731" s="598">
        <v>5</v>
      </c>
      <c r="P731" s="618">
        <v>6500</v>
      </c>
    </row>
    <row r="732" spans="1:16" s="619" customFormat="1" ht="24" x14ac:dyDescent="0.2">
      <c r="A732" s="598" t="s">
        <v>1907</v>
      </c>
      <c r="B732" s="620" t="s">
        <v>1908</v>
      </c>
      <c r="C732" s="598" t="s">
        <v>2015</v>
      </c>
      <c r="D732" s="598" t="s">
        <v>3003</v>
      </c>
      <c r="E732" s="621">
        <v>4000</v>
      </c>
      <c r="F732" s="599">
        <v>47052102</v>
      </c>
      <c r="G732" s="598" t="s">
        <v>3042</v>
      </c>
      <c r="H732" s="598" t="s">
        <v>2946</v>
      </c>
      <c r="I732" s="598" t="s">
        <v>1912</v>
      </c>
      <c r="J732" s="617" t="s">
        <v>1913</v>
      </c>
      <c r="K732" s="598"/>
      <c r="L732" s="598"/>
      <c r="M732" s="621"/>
      <c r="N732" s="598">
        <v>1</v>
      </c>
      <c r="O732" s="598">
        <v>2</v>
      </c>
      <c r="P732" s="618">
        <v>8000</v>
      </c>
    </row>
    <row r="733" spans="1:16" s="619" customFormat="1" ht="24" x14ac:dyDescent="0.2">
      <c r="A733" s="598" t="s">
        <v>1907</v>
      </c>
      <c r="B733" s="620" t="s">
        <v>1908</v>
      </c>
      <c r="C733" s="598" t="s">
        <v>2015</v>
      </c>
      <c r="D733" s="598" t="s">
        <v>3007</v>
      </c>
      <c r="E733" s="621">
        <v>1800</v>
      </c>
      <c r="F733" s="622">
        <v>72954874</v>
      </c>
      <c r="G733" s="598" t="s">
        <v>3043</v>
      </c>
      <c r="H733" s="598" t="s">
        <v>1416</v>
      </c>
      <c r="I733" s="598" t="s">
        <v>1912</v>
      </c>
      <c r="J733" s="617" t="s">
        <v>1913</v>
      </c>
      <c r="K733" s="598"/>
      <c r="L733" s="598"/>
      <c r="M733" s="621"/>
      <c r="N733" s="598">
        <v>1</v>
      </c>
      <c r="O733" s="598">
        <v>1</v>
      </c>
      <c r="P733" s="618">
        <v>1800</v>
      </c>
    </row>
    <row r="734" spans="1:16" s="619" customFormat="1" ht="36" x14ac:dyDescent="0.2">
      <c r="A734" s="598" t="s">
        <v>1907</v>
      </c>
      <c r="B734" s="620" t="s">
        <v>1908</v>
      </c>
      <c r="C734" s="598" t="s">
        <v>2015</v>
      </c>
      <c r="D734" s="598" t="s">
        <v>3017</v>
      </c>
      <c r="E734" s="621">
        <v>3000</v>
      </c>
      <c r="F734" s="599">
        <v>44819798</v>
      </c>
      <c r="G734" s="598" t="s">
        <v>3044</v>
      </c>
      <c r="H734" s="598" t="s">
        <v>2939</v>
      </c>
      <c r="I734" s="598" t="s">
        <v>1912</v>
      </c>
      <c r="J734" s="617" t="s">
        <v>1913</v>
      </c>
      <c r="K734" s="598"/>
      <c r="L734" s="598"/>
      <c r="M734" s="621"/>
      <c r="N734" s="598">
        <v>1</v>
      </c>
      <c r="O734" s="598">
        <v>2</v>
      </c>
      <c r="P734" s="618">
        <v>6000</v>
      </c>
    </row>
    <row r="735" spans="1:16" s="619" customFormat="1" ht="36" x14ac:dyDescent="0.2">
      <c r="A735" s="598" t="s">
        <v>1907</v>
      </c>
      <c r="B735" s="620" t="s">
        <v>1908</v>
      </c>
      <c r="C735" s="598" t="s">
        <v>2015</v>
      </c>
      <c r="D735" s="598" t="s">
        <v>3045</v>
      </c>
      <c r="E735" s="621">
        <v>3000</v>
      </c>
      <c r="F735" s="622">
        <v>70513443</v>
      </c>
      <c r="G735" s="598" t="s">
        <v>3046</v>
      </c>
      <c r="H735" s="598" t="s">
        <v>2939</v>
      </c>
      <c r="I735" s="598" t="s">
        <v>1912</v>
      </c>
      <c r="J735" s="617" t="s">
        <v>1913</v>
      </c>
      <c r="K735" s="598"/>
      <c r="L735" s="598"/>
      <c r="M735" s="621"/>
      <c r="N735" s="598">
        <v>2</v>
      </c>
      <c r="O735" s="598">
        <v>3</v>
      </c>
      <c r="P735" s="618">
        <v>9000</v>
      </c>
    </row>
    <row r="736" spans="1:16" s="619" customFormat="1" ht="24" x14ac:dyDescent="0.2">
      <c r="A736" s="598" t="s">
        <v>1907</v>
      </c>
      <c r="B736" s="620" t="s">
        <v>1908</v>
      </c>
      <c r="C736" s="598" t="s">
        <v>2015</v>
      </c>
      <c r="D736" s="598" t="s">
        <v>3045</v>
      </c>
      <c r="E736" s="621">
        <v>4000</v>
      </c>
      <c r="F736" s="599">
        <v>47052102</v>
      </c>
      <c r="G736" s="598" t="s">
        <v>3042</v>
      </c>
      <c r="H736" s="598" t="s">
        <v>2946</v>
      </c>
      <c r="I736" s="598" t="s">
        <v>1912</v>
      </c>
      <c r="J736" s="617" t="s">
        <v>1913</v>
      </c>
      <c r="K736" s="598"/>
      <c r="L736" s="598"/>
      <c r="M736" s="621"/>
      <c r="N736" s="598">
        <v>2</v>
      </c>
      <c r="O736" s="598">
        <v>3</v>
      </c>
      <c r="P736" s="618">
        <v>12000</v>
      </c>
    </row>
    <row r="737" spans="1:16" s="619" customFormat="1" ht="36" x14ac:dyDescent="0.2">
      <c r="A737" s="598" t="s">
        <v>1907</v>
      </c>
      <c r="B737" s="620" t="s">
        <v>1908</v>
      </c>
      <c r="C737" s="598" t="s">
        <v>2015</v>
      </c>
      <c r="D737" s="598" t="s">
        <v>3031</v>
      </c>
      <c r="E737" s="621">
        <v>1100</v>
      </c>
      <c r="F737" s="622">
        <v>44925686</v>
      </c>
      <c r="G737" s="598" t="s">
        <v>3047</v>
      </c>
      <c r="H737" s="598" t="s">
        <v>1919</v>
      </c>
      <c r="I737" s="598"/>
      <c r="J737" s="617"/>
      <c r="K737" s="598"/>
      <c r="L737" s="598"/>
      <c r="M737" s="621"/>
      <c r="N737" s="598">
        <v>1</v>
      </c>
      <c r="O737" s="598">
        <v>4</v>
      </c>
      <c r="P737" s="618">
        <v>4400</v>
      </c>
    </row>
    <row r="738" spans="1:16" s="619" customFormat="1" ht="36" x14ac:dyDescent="0.2">
      <c r="A738" s="598" t="s">
        <v>1907</v>
      </c>
      <c r="B738" s="620" t="s">
        <v>1908</v>
      </c>
      <c r="C738" s="598" t="s">
        <v>2015</v>
      </c>
      <c r="D738" s="598" t="s">
        <v>3031</v>
      </c>
      <c r="E738" s="621">
        <v>1200</v>
      </c>
      <c r="F738" s="599">
        <v>42500454</v>
      </c>
      <c r="G738" s="598" t="s">
        <v>3048</v>
      </c>
      <c r="H738" s="598" t="s">
        <v>1919</v>
      </c>
      <c r="I738" s="598"/>
      <c r="J738" s="617"/>
      <c r="K738" s="598"/>
      <c r="L738" s="598"/>
      <c r="M738" s="621"/>
      <c r="N738" s="598">
        <v>1</v>
      </c>
      <c r="O738" s="598">
        <v>1</v>
      </c>
      <c r="P738" s="618">
        <v>1200</v>
      </c>
    </row>
    <row r="739" spans="1:16" s="619" customFormat="1" ht="36" x14ac:dyDescent="0.2">
      <c r="A739" s="598" t="s">
        <v>1907</v>
      </c>
      <c r="B739" s="620" t="s">
        <v>1908</v>
      </c>
      <c r="C739" s="598" t="s">
        <v>2015</v>
      </c>
      <c r="D739" s="598" t="s">
        <v>3049</v>
      </c>
      <c r="E739" s="621">
        <v>2500</v>
      </c>
      <c r="F739" s="622" t="s">
        <v>2596</v>
      </c>
      <c r="G739" s="598" t="s">
        <v>3050</v>
      </c>
      <c r="H739" s="598" t="s">
        <v>3051</v>
      </c>
      <c r="I739" s="598" t="s">
        <v>1912</v>
      </c>
      <c r="J739" s="617" t="s">
        <v>1913</v>
      </c>
      <c r="K739" s="598"/>
      <c r="L739" s="598"/>
      <c r="M739" s="621"/>
      <c r="N739" s="598">
        <v>4</v>
      </c>
      <c r="O739" s="598">
        <v>6</v>
      </c>
      <c r="P739" s="618">
        <v>15000</v>
      </c>
    </row>
    <row r="740" spans="1:16" s="619" customFormat="1" ht="36" x14ac:dyDescent="0.2">
      <c r="A740" s="598" t="s">
        <v>1907</v>
      </c>
      <c r="B740" s="620" t="s">
        <v>1908</v>
      </c>
      <c r="C740" s="598" t="s">
        <v>2015</v>
      </c>
      <c r="D740" s="598" t="s">
        <v>3049</v>
      </c>
      <c r="E740" s="621">
        <v>1900</v>
      </c>
      <c r="F740" s="599">
        <v>72462080</v>
      </c>
      <c r="G740" s="598" t="s">
        <v>3052</v>
      </c>
      <c r="H740" s="598" t="s">
        <v>3051</v>
      </c>
      <c r="I740" s="598" t="s">
        <v>1912</v>
      </c>
      <c r="J740" s="617" t="s">
        <v>1913</v>
      </c>
      <c r="K740" s="598"/>
      <c r="L740" s="598"/>
      <c r="M740" s="621"/>
      <c r="N740" s="598">
        <v>4</v>
      </c>
      <c r="O740" s="598">
        <v>6</v>
      </c>
      <c r="P740" s="618">
        <v>11400</v>
      </c>
    </row>
    <row r="741" spans="1:16" s="619" customFormat="1" ht="36" x14ac:dyDescent="0.2">
      <c r="A741" s="598" t="s">
        <v>1907</v>
      </c>
      <c r="B741" s="620" t="s">
        <v>1908</v>
      </c>
      <c r="C741" s="598" t="s">
        <v>2015</v>
      </c>
      <c r="D741" s="598" t="s">
        <v>3049</v>
      </c>
      <c r="E741" s="621">
        <v>1600</v>
      </c>
      <c r="F741" s="622">
        <v>41615476</v>
      </c>
      <c r="G741" s="598" t="s">
        <v>3053</v>
      </c>
      <c r="H741" s="598" t="s">
        <v>1931</v>
      </c>
      <c r="I741" s="598" t="s">
        <v>1912</v>
      </c>
      <c r="J741" s="617" t="s">
        <v>1931</v>
      </c>
      <c r="K741" s="598"/>
      <c r="L741" s="598"/>
      <c r="M741" s="621"/>
      <c r="N741" s="598">
        <v>4</v>
      </c>
      <c r="O741" s="598">
        <v>6</v>
      </c>
      <c r="P741" s="618">
        <v>9600</v>
      </c>
    </row>
    <row r="742" spans="1:16" s="619" customFormat="1" ht="24" x14ac:dyDescent="0.2">
      <c r="A742" s="598" t="s">
        <v>1907</v>
      </c>
      <c r="B742" s="620" t="s">
        <v>1908</v>
      </c>
      <c r="C742" s="598" t="s">
        <v>2015</v>
      </c>
      <c r="D742" s="598" t="s">
        <v>3049</v>
      </c>
      <c r="E742" s="621">
        <v>1200</v>
      </c>
      <c r="F742" s="599">
        <v>73503948</v>
      </c>
      <c r="G742" s="598" t="s">
        <v>3054</v>
      </c>
      <c r="H742" s="598" t="s">
        <v>2992</v>
      </c>
      <c r="I742" s="598"/>
      <c r="J742" s="617"/>
      <c r="K742" s="598"/>
      <c r="L742" s="598"/>
      <c r="M742" s="621"/>
      <c r="N742" s="598">
        <v>4</v>
      </c>
      <c r="O742" s="598">
        <v>6</v>
      </c>
      <c r="P742" s="618">
        <v>7200</v>
      </c>
    </row>
    <row r="743" spans="1:16" s="619" customFormat="1" ht="24" x14ac:dyDescent="0.2">
      <c r="A743" s="598" t="s">
        <v>1907</v>
      </c>
      <c r="B743" s="620" t="s">
        <v>1908</v>
      </c>
      <c r="C743" s="598" t="s">
        <v>2015</v>
      </c>
      <c r="D743" s="598" t="s">
        <v>3049</v>
      </c>
      <c r="E743" s="621">
        <v>2200</v>
      </c>
      <c r="F743" s="622">
        <v>40312625</v>
      </c>
      <c r="G743" s="598" t="s">
        <v>3055</v>
      </c>
      <c r="H743" s="598" t="s">
        <v>3056</v>
      </c>
      <c r="I743" s="598" t="s">
        <v>1912</v>
      </c>
      <c r="J743" s="617" t="s">
        <v>1913</v>
      </c>
      <c r="K743" s="598"/>
      <c r="L743" s="598"/>
      <c r="M743" s="621"/>
      <c r="N743" s="598">
        <v>4</v>
      </c>
      <c r="O743" s="598">
        <v>6</v>
      </c>
      <c r="P743" s="618">
        <v>13200</v>
      </c>
    </row>
    <row r="744" spans="1:16" s="619" customFormat="1" ht="36" x14ac:dyDescent="0.2">
      <c r="A744" s="598" t="s">
        <v>1907</v>
      </c>
      <c r="B744" s="620" t="s">
        <v>1908</v>
      </c>
      <c r="C744" s="598" t="s">
        <v>2015</v>
      </c>
      <c r="D744" s="598" t="s">
        <v>3049</v>
      </c>
      <c r="E744" s="621">
        <v>1200</v>
      </c>
      <c r="F744" s="599">
        <v>48452169</v>
      </c>
      <c r="G744" s="598" t="s">
        <v>3057</v>
      </c>
      <c r="H744" s="598" t="s">
        <v>2992</v>
      </c>
      <c r="I744" s="598"/>
      <c r="J744" s="617"/>
      <c r="K744" s="598"/>
      <c r="L744" s="598"/>
      <c r="M744" s="621"/>
      <c r="N744" s="598">
        <v>4</v>
      </c>
      <c r="O744" s="598">
        <v>6</v>
      </c>
      <c r="P744" s="618">
        <v>7200</v>
      </c>
    </row>
    <row r="745" spans="1:16" s="619" customFormat="1" ht="24" x14ac:dyDescent="0.2">
      <c r="A745" s="598" t="s">
        <v>1907</v>
      </c>
      <c r="B745" s="620" t="s">
        <v>1908</v>
      </c>
      <c r="C745" s="598" t="s">
        <v>2015</v>
      </c>
      <c r="D745" s="598" t="s">
        <v>3049</v>
      </c>
      <c r="E745" s="621">
        <v>1200</v>
      </c>
      <c r="F745" s="622">
        <v>47492639</v>
      </c>
      <c r="G745" s="598" t="s">
        <v>3058</v>
      </c>
      <c r="H745" s="598" t="s">
        <v>2992</v>
      </c>
      <c r="I745" s="598"/>
      <c r="J745" s="617"/>
      <c r="K745" s="598"/>
      <c r="L745" s="598"/>
      <c r="M745" s="621"/>
      <c r="N745" s="598">
        <v>4</v>
      </c>
      <c r="O745" s="598">
        <v>6</v>
      </c>
      <c r="P745" s="618">
        <v>7200</v>
      </c>
    </row>
    <row r="746" spans="1:16" s="619" customFormat="1" ht="36" x14ac:dyDescent="0.2">
      <c r="A746" s="598" t="s">
        <v>1907</v>
      </c>
      <c r="B746" s="620" t="s">
        <v>1908</v>
      </c>
      <c r="C746" s="598" t="s">
        <v>2015</v>
      </c>
      <c r="D746" s="598" t="s">
        <v>3049</v>
      </c>
      <c r="E746" s="621">
        <v>1200</v>
      </c>
      <c r="F746" s="599">
        <v>33430178</v>
      </c>
      <c r="G746" s="598" t="s">
        <v>3059</v>
      </c>
      <c r="H746" s="598" t="s">
        <v>1919</v>
      </c>
      <c r="I746" s="598"/>
      <c r="J746" s="617"/>
      <c r="K746" s="598"/>
      <c r="L746" s="598"/>
      <c r="M746" s="621"/>
      <c r="N746" s="598">
        <v>4</v>
      </c>
      <c r="O746" s="598">
        <v>6</v>
      </c>
      <c r="P746" s="618">
        <v>7200</v>
      </c>
    </row>
    <row r="747" spans="1:16" s="619" customFormat="1" ht="24" x14ac:dyDescent="0.2">
      <c r="A747" s="598" t="s">
        <v>1907</v>
      </c>
      <c r="B747" s="620" t="s">
        <v>1908</v>
      </c>
      <c r="C747" s="598" t="s">
        <v>2015</v>
      </c>
      <c r="D747" s="598" t="s">
        <v>3060</v>
      </c>
      <c r="E747" s="621">
        <v>5000</v>
      </c>
      <c r="F747" s="622">
        <v>43046965</v>
      </c>
      <c r="G747" s="598" t="s">
        <v>3061</v>
      </c>
      <c r="H747" s="598" t="s">
        <v>1911</v>
      </c>
      <c r="I747" s="598" t="s">
        <v>1912</v>
      </c>
      <c r="J747" s="617" t="s">
        <v>1913</v>
      </c>
      <c r="K747" s="598"/>
      <c r="L747" s="598"/>
      <c r="M747" s="621"/>
      <c r="N747" s="598">
        <v>3</v>
      </c>
      <c r="O747" s="598">
        <v>5</v>
      </c>
      <c r="P747" s="618">
        <v>25000</v>
      </c>
    </row>
    <row r="748" spans="1:16" s="619" customFormat="1" ht="24" x14ac:dyDescent="0.2">
      <c r="A748" s="598" t="s">
        <v>1907</v>
      </c>
      <c r="B748" s="620" t="s">
        <v>1908</v>
      </c>
      <c r="C748" s="598" t="s">
        <v>2015</v>
      </c>
      <c r="D748" s="598" t="s">
        <v>3060</v>
      </c>
      <c r="E748" s="621">
        <v>5000</v>
      </c>
      <c r="F748" s="599">
        <v>43120945</v>
      </c>
      <c r="G748" s="598" t="s">
        <v>3062</v>
      </c>
      <c r="H748" s="598" t="s">
        <v>1911</v>
      </c>
      <c r="I748" s="598" t="s">
        <v>1912</v>
      </c>
      <c r="J748" s="617" t="s">
        <v>1913</v>
      </c>
      <c r="K748" s="598"/>
      <c r="L748" s="598"/>
      <c r="M748" s="621"/>
      <c r="N748" s="598">
        <v>4</v>
      </c>
      <c r="O748" s="598">
        <v>6</v>
      </c>
      <c r="P748" s="618">
        <v>30000</v>
      </c>
    </row>
    <row r="749" spans="1:16" s="619" customFormat="1" ht="24" x14ac:dyDescent="0.2">
      <c r="A749" s="598" t="s">
        <v>1907</v>
      </c>
      <c r="B749" s="620" t="s">
        <v>1908</v>
      </c>
      <c r="C749" s="598" t="s">
        <v>2015</v>
      </c>
      <c r="D749" s="598" t="s">
        <v>3060</v>
      </c>
      <c r="E749" s="621">
        <v>5000</v>
      </c>
      <c r="F749" s="622">
        <v>46449288</v>
      </c>
      <c r="G749" s="598" t="s">
        <v>2931</v>
      </c>
      <c r="H749" s="598" t="s">
        <v>1911</v>
      </c>
      <c r="I749" s="598" t="s">
        <v>1912</v>
      </c>
      <c r="J749" s="617" t="s">
        <v>1913</v>
      </c>
      <c r="K749" s="598"/>
      <c r="L749" s="598"/>
      <c r="M749" s="621"/>
      <c r="N749" s="598">
        <v>2</v>
      </c>
      <c r="O749" s="598">
        <v>3</v>
      </c>
      <c r="P749" s="618">
        <v>15000</v>
      </c>
    </row>
    <row r="750" spans="1:16" s="619" customFormat="1" ht="24" x14ac:dyDescent="0.2">
      <c r="A750" s="598" t="s">
        <v>1907</v>
      </c>
      <c r="B750" s="620" t="s">
        <v>1908</v>
      </c>
      <c r="C750" s="598" t="s">
        <v>2015</v>
      </c>
      <c r="D750" s="598" t="s">
        <v>3060</v>
      </c>
      <c r="E750" s="621">
        <v>5000</v>
      </c>
      <c r="F750" s="599">
        <v>16481441</v>
      </c>
      <c r="G750" s="598" t="s">
        <v>3063</v>
      </c>
      <c r="H750" s="598" t="s">
        <v>1911</v>
      </c>
      <c r="I750" s="598" t="s">
        <v>1912</v>
      </c>
      <c r="J750" s="617" t="s">
        <v>1913</v>
      </c>
      <c r="K750" s="598"/>
      <c r="L750" s="598"/>
      <c r="M750" s="621"/>
      <c r="N750" s="598">
        <v>4</v>
      </c>
      <c r="O750" s="598">
        <v>6</v>
      </c>
      <c r="P750" s="618">
        <v>30000</v>
      </c>
    </row>
    <row r="751" spans="1:16" s="619" customFormat="1" ht="36" x14ac:dyDescent="0.2">
      <c r="A751" s="598" t="s">
        <v>1907</v>
      </c>
      <c r="B751" s="620" t="s">
        <v>1908</v>
      </c>
      <c r="C751" s="598" t="s">
        <v>2015</v>
      </c>
      <c r="D751" s="598" t="s">
        <v>3060</v>
      </c>
      <c r="E751" s="621">
        <v>1000</v>
      </c>
      <c r="F751" s="622">
        <v>70879149</v>
      </c>
      <c r="G751" s="598" t="s">
        <v>3064</v>
      </c>
      <c r="H751" s="598" t="s">
        <v>2936</v>
      </c>
      <c r="I751" s="598" t="s">
        <v>1912</v>
      </c>
      <c r="J751" s="617" t="s">
        <v>1913</v>
      </c>
      <c r="K751" s="598"/>
      <c r="L751" s="598"/>
      <c r="M751" s="621"/>
      <c r="N751" s="598">
        <v>3</v>
      </c>
      <c r="O751" s="598">
        <v>5</v>
      </c>
      <c r="P751" s="618">
        <v>5000</v>
      </c>
    </row>
    <row r="752" spans="1:16" s="619" customFormat="1" ht="36" x14ac:dyDescent="0.2">
      <c r="A752" s="598" t="s">
        <v>1907</v>
      </c>
      <c r="B752" s="620" t="s">
        <v>1908</v>
      </c>
      <c r="C752" s="598" t="s">
        <v>2015</v>
      </c>
      <c r="D752" s="598" t="s">
        <v>3060</v>
      </c>
      <c r="E752" s="621">
        <v>1500</v>
      </c>
      <c r="F752" s="599">
        <v>75800753</v>
      </c>
      <c r="G752" s="598" t="s">
        <v>3065</v>
      </c>
      <c r="H752" s="598" t="s">
        <v>3066</v>
      </c>
      <c r="I752" s="598" t="s">
        <v>1912</v>
      </c>
      <c r="J752" s="617" t="s">
        <v>1913</v>
      </c>
      <c r="K752" s="598"/>
      <c r="L752" s="598"/>
      <c r="M752" s="621"/>
      <c r="N752" s="598">
        <v>4</v>
      </c>
      <c r="O752" s="598">
        <v>6</v>
      </c>
      <c r="P752" s="618">
        <v>9000</v>
      </c>
    </row>
    <row r="753" spans="1:16" s="619" customFormat="1" ht="36" x14ac:dyDescent="0.2">
      <c r="A753" s="598" t="s">
        <v>1907</v>
      </c>
      <c r="B753" s="620" t="s">
        <v>1908</v>
      </c>
      <c r="C753" s="598" t="s">
        <v>2015</v>
      </c>
      <c r="D753" s="598" t="s">
        <v>3060</v>
      </c>
      <c r="E753" s="621">
        <v>2200</v>
      </c>
      <c r="F753" s="622">
        <v>74288033</v>
      </c>
      <c r="G753" s="598" t="s">
        <v>3067</v>
      </c>
      <c r="H753" s="598" t="s">
        <v>2936</v>
      </c>
      <c r="I753" s="598" t="s">
        <v>1912</v>
      </c>
      <c r="J753" s="617" t="s">
        <v>1913</v>
      </c>
      <c r="K753" s="598"/>
      <c r="L753" s="598"/>
      <c r="M753" s="621"/>
      <c r="N753" s="598">
        <v>4</v>
      </c>
      <c r="O753" s="598">
        <v>6</v>
      </c>
      <c r="P753" s="618">
        <v>13200</v>
      </c>
    </row>
    <row r="754" spans="1:16" s="619" customFormat="1" ht="36" x14ac:dyDescent="0.2">
      <c r="A754" s="598" t="s">
        <v>1907</v>
      </c>
      <c r="B754" s="620" t="s">
        <v>1908</v>
      </c>
      <c r="C754" s="598" t="s">
        <v>2015</v>
      </c>
      <c r="D754" s="598" t="s">
        <v>3060</v>
      </c>
      <c r="E754" s="621">
        <v>1500</v>
      </c>
      <c r="F754" s="599">
        <v>77418930</v>
      </c>
      <c r="G754" s="598" t="s">
        <v>3068</v>
      </c>
      <c r="H754" s="598" t="s">
        <v>2936</v>
      </c>
      <c r="I754" s="598" t="s">
        <v>1912</v>
      </c>
      <c r="J754" s="617" t="s">
        <v>1913</v>
      </c>
      <c r="K754" s="598"/>
      <c r="L754" s="598"/>
      <c r="M754" s="621"/>
      <c r="N754" s="598">
        <v>4</v>
      </c>
      <c r="O754" s="598">
        <v>6</v>
      </c>
      <c r="P754" s="618">
        <v>9000</v>
      </c>
    </row>
    <row r="755" spans="1:16" s="619" customFormat="1" ht="36" x14ac:dyDescent="0.2">
      <c r="A755" s="598" t="s">
        <v>1907</v>
      </c>
      <c r="B755" s="620" t="s">
        <v>1908</v>
      </c>
      <c r="C755" s="598" t="s">
        <v>2015</v>
      </c>
      <c r="D755" s="598" t="s">
        <v>3060</v>
      </c>
      <c r="E755" s="621">
        <v>5000</v>
      </c>
      <c r="F755" s="622">
        <v>16794375</v>
      </c>
      <c r="G755" s="598" t="s">
        <v>3069</v>
      </c>
      <c r="H755" s="598" t="s">
        <v>1911</v>
      </c>
      <c r="I755" s="598" t="s">
        <v>1912</v>
      </c>
      <c r="J755" s="617" t="s">
        <v>1913</v>
      </c>
      <c r="K755" s="598"/>
      <c r="L755" s="598"/>
      <c r="M755" s="621"/>
      <c r="N755" s="598">
        <v>4</v>
      </c>
      <c r="O755" s="598">
        <v>6</v>
      </c>
      <c r="P755" s="618">
        <v>30000</v>
      </c>
    </row>
    <row r="756" spans="1:16" s="619" customFormat="1" ht="24" x14ac:dyDescent="0.2">
      <c r="A756" s="598" t="s">
        <v>1907</v>
      </c>
      <c r="B756" s="620" t="s">
        <v>1908</v>
      </c>
      <c r="C756" s="598" t="s">
        <v>2015</v>
      </c>
      <c r="D756" s="598" t="s">
        <v>3060</v>
      </c>
      <c r="E756" s="621">
        <v>1500</v>
      </c>
      <c r="F756" s="599">
        <v>71997734</v>
      </c>
      <c r="G756" s="598" t="s">
        <v>3070</v>
      </c>
      <c r="H756" s="598" t="s">
        <v>2936</v>
      </c>
      <c r="I756" s="598" t="s">
        <v>1912</v>
      </c>
      <c r="J756" s="617" t="s">
        <v>1913</v>
      </c>
      <c r="K756" s="598"/>
      <c r="L756" s="598"/>
      <c r="M756" s="621"/>
      <c r="N756" s="598">
        <v>3</v>
      </c>
      <c r="O756" s="598">
        <v>5</v>
      </c>
      <c r="P756" s="618">
        <v>7500</v>
      </c>
    </row>
    <row r="757" spans="1:16" s="619" customFormat="1" ht="24" x14ac:dyDescent="0.2">
      <c r="A757" s="598" t="s">
        <v>1907</v>
      </c>
      <c r="B757" s="620" t="s">
        <v>1908</v>
      </c>
      <c r="C757" s="598" t="s">
        <v>2015</v>
      </c>
      <c r="D757" s="598" t="s">
        <v>3060</v>
      </c>
      <c r="E757" s="621">
        <v>1500</v>
      </c>
      <c r="F757" s="622">
        <v>73475567</v>
      </c>
      <c r="G757" s="598" t="s">
        <v>3071</v>
      </c>
      <c r="H757" s="598" t="s">
        <v>2936</v>
      </c>
      <c r="I757" s="598" t="s">
        <v>1912</v>
      </c>
      <c r="J757" s="617" t="s">
        <v>1913</v>
      </c>
      <c r="K757" s="598"/>
      <c r="L757" s="598"/>
      <c r="M757" s="621"/>
      <c r="N757" s="598">
        <v>4</v>
      </c>
      <c r="O757" s="598">
        <v>6</v>
      </c>
      <c r="P757" s="618">
        <v>9000</v>
      </c>
    </row>
    <row r="758" spans="1:16" s="619" customFormat="1" ht="36" x14ac:dyDescent="0.2">
      <c r="A758" s="598" t="s">
        <v>1907</v>
      </c>
      <c r="B758" s="620" t="s">
        <v>1908</v>
      </c>
      <c r="C758" s="598" t="s">
        <v>2015</v>
      </c>
      <c r="D758" s="598" t="s">
        <v>3060</v>
      </c>
      <c r="E758" s="621">
        <v>2000</v>
      </c>
      <c r="F758" s="599">
        <v>71525530</v>
      </c>
      <c r="G758" s="598" t="s">
        <v>3072</v>
      </c>
      <c r="H758" s="598" t="s">
        <v>2936</v>
      </c>
      <c r="I758" s="598" t="s">
        <v>1912</v>
      </c>
      <c r="J758" s="617" t="s">
        <v>1913</v>
      </c>
      <c r="K758" s="598"/>
      <c r="L758" s="598"/>
      <c r="M758" s="621"/>
      <c r="N758" s="598">
        <v>2</v>
      </c>
      <c r="O758" s="598">
        <v>4</v>
      </c>
      <c r="P758" s="618">
        <v>8000</v>
      </c>
    </row>
    <row r="759" spans="1:16" s="619" customFormat="1" ht="36" x14ac:dyDescent="0.2">
      <c r="A759" s="598" t="s">
        <v>1907</v>
      </c>
      <c r="B759" s="620" t="s">
        <v>1908</v>
      </c>
      <c r="C759" s="598" t="s">
        <v>2015</v>
      </c>
      <c r="D759" s="598" t="s">
        <v>3060</v>
      </c>
      <c r="E759" s="621">
        <v>5000</v>
      </c>
      <c r="F759" s="622">
        <v>21881984</v>
      </c>
      <c r="G759" s="598" t="s">
        <v>3073</v>
      </c>
      <c r="H759" s="598" t="s">
        <v>3074</v>
      </c>
      <c r="I759" s="598" t="s">
        <v>1912</v>
      </c>
      <c r="J759" s="617" t="s">
        <v>1913</v>
      </c>
      <c r="K759" s="598"/>
      <c r="L759" s="598"/>
      <c r="M759" s="621"/>
      <c r="N759" s="598">
        <v>1</v>
      </c>
      <c r="O759" s="598">
        <v>2</v>
      </c>
      <c r="P759" s="618">
        <v>10000</v>
      </c>
    </row>
    <row r="760" spans="1:16" s="619" customFormat="1" ht="24" x14ac:dyDescent="0.2">
      <c r="A760" s="598" t="s">
        <v>1907</v>
      </c>
      <c r="B760" s="620" t="s">
        <v>1908</v>
      </c>
      <c r="C760" s="598" t="s">
        <v>2015</v>
      </c>
      <c r="D760" s="598" t="s">
        <v>3060</v>
      </c>
      <c r="E760" s="621">
        <v>5000</v>
      </c>
      <c r="F760" s="599">
        <v>44305507</v>
      </c>
      <c r="G760" s="598" t="s">
        <v>3075</v>
      </c>
      <c r="H760" s="598" t="s">
        <v>3074</v>
      </c>
      <c r="I760" s="598" t="s">
        <v>1912</v>
      </c>
      <c r="J760" s="617" t="s">
        <v>1913</v>
      </c>
      <c r="K760" s="598"/>
      <c r="L760" s="598"/>
      <c r="M760" s="621"/>
      <c r="N760" s="598">
        <v>2</v>
      </c>
      <c r="O760" s="598">
        <v>4</v>
      </c>
      <c r="P760" s="618">
        <v>20000</v>
      </c>
    </row>
    <row r="761" spans="1:16" s="619" customFormat="1" ht="36" x14ac:dyDescent="0.2">
      <c r="A761" s="598" t="s">
        <v>1907</v>
      </c>
      <c r="B761" s="620" t="s">
        <v>1908</v>
      </c>
      <c r="C761" s="598" t="s">
        <v>2015</v>
      </c>
      <c r="D761" s="598" t="s">
        <v>3060</v>
      </c>
      <c r="E761" s="621">
        <v>5000</v>
      </c>
      <c r="F761" s="622">
        <v>16761677</v>
      </c>
      <c r="G761" s="598" t="s">
        <v>3076</v>
      </c>
      <c r="H761" s="598" t="s">
        <v>3074</v>
      </c>
      <c r="I761" s="598" t="s">
        <v>1912</v>
      </c>
      <c r="J761" s="617" t="s">
        <v>1913</v>
      </c>
      <c r="K761" s="598"/>
      <c r="L761" s="598"/>
      <c r="M761" s="621"/>
      <c r="N761" s="598">
        <v>1</v>
      </c>
      <c r="O761" s="598">
        <v>1</v>
      </c>
      <c r="P761" s="618">
        <v>5000</v>
      </c>
    </row>
    <row r="762" spans="1:16" s="619" customFormat="1" ht="36" x14ac:dyDescent="0.2">
      <c r="A762" s="598" t="s">
        <v>1907</v>
      </c>
      <c r="B762" s="620" t="s">
        <v>1908</v>
      </c>
      <c r="C762" s="598" t="s">
        <v>2015</v>
      </c>
      <c r="D762" s="598" t="s">
        <v>3060</v>
      </c>
      <c r="E762" s="621">
        <v>5000</v>
      </c>
      <c r="F762" s="599">
        <v>40481222</v>
      </c>
      <c r="G762" s="598" t="s">
        <v>3077</v>
      </c>
      <c r="H762" s="598" t="s">
        <v>3074</v>
      </c>
      <c r="I762" s="598" t="s">
        <v>1912</v>
      </c>
      <c r="J762" s="617" t="s">
        <v>1913</v>
      </c>
      <c r="K762" s="598"/>
      <c r="L762" s="598"/>
      <c r="M762" s="621"/>
      <c r="N762" s="598">
        <v>1</v>
      </c>
      <c r="O762" s="598">
        <v>1</v>
      </c>
      <c r="P762" s="618">
        <v>5000</v>
      </c>
    </row>
    <row r="763" spans="1:16" s="619" customFormat="1" ht="36" x14ac:dyDescent="0.2">
      <c r="A763" s="598" t="s">
        <v>1907</v>
      </c>
      <c r="B763" s="620" t="s">
        <v>1908</v>
      </c>
      <c r="C763" s="598" t="s">
        <v>2015</v>
      </c>
      <c r="D763" s="598" t="s">
        <v>3060</v>
      </c>
      <c r="E763" s="621">
        <v>2000</v>
      </c>
      <c r="F763" s="622">
        <v>41955070</v>
      </c>
      <c r="G763" s="598" t="s">
        <v>3078</v>
      </c>
      <c r="H763" s="598" t="s">
        <v>3079</v>
      </c>
      <c r="I763" s="598" t="s">
        <v>1912</v>
      </c>
      <c r="J763" s="617" t="s">
        <v>1913</v>
      </c>
      <c r="K763" s="598"/>
      <c r="L763" s="598"/>
      <c r="M763" s="621"/>
      <c r="N763" s="598">
        <v>1</v>
      </c>
      <c r="O763" s="598">
        <v>1</v>
      </c>
      <c r="P763" s="618">
        <v>2000</v>
      </c>
    </row>
    <row r="764" spans="1:16" s="619" customFormat="1" ht="24" x14ac:dyDescent="0.2">
      <c r="A764" s="598" t="s">
        <v>1907</v>
      </c>
      <c r="B764" s="620" t="s">
        <v>1908</v>
      </c>
      <c r="C764" s="598" t="s">
        <v>2015</v>
      </c>
      <c r="D764" s="598" t="s">
        <v>3060</v>
      </c>
      <c r="E764" s="621">
        <v>2000</v>
      </c>
      <c r="F764" s="599">
        <v>47815113</v>
      </c>
      <c r="G764" s="598" t="s">
        <v>3080</v>
      </c>
      <c r="H764" s="598" t="s">
        <v>3079</v>
      </c>
      <c r="I764" s="598" t="s">
        <v>1912</v>
      </c>
      <c r="J764" s="617" t="s">
        <v>1913</v>
      </c>
      <c r="K764" s="598"/>
      <c r="L764" s="598"/>
      <c r="M764" s="621"/>
      <c r="N764" s="598">
        <v>1</v>
      </c>
      <c r="O764" s="598">
        <v>1</v>
      </c>
      <c r="P764" s="618">
        <v>2000</v>
      </c>
    </row>
    <row r="765" spans="1:16" s="619" customFormat="1" ht="36" x14ac:dyDescent="0.2">
      <c r="A765" s="598" t="s">
        <v>1907</v>
      </c>
      <c r="B765" s="620" t="s">
        <v>1908</v>
      </c>
      <c r="C765" s="598" t="s">
        <v>2015</v>
      </c>
      <c r="D765" s="598" t="s">
        <v>3060</v>
      </c>
      <c r="E765" s="621">
        <v>2000</v>
      </c>
      <c r="F765" s="599">
        <v>76943222</v>
      </c>
      <c r="G765" s="598" t="s">
        <v>3081</v>
      </c>
      <c r="H765" s="598" t="s">
        <v>3079</v>
      </c>
      <c r="I765" s="598" t="s">
        <v>1912</v>
      </c>
      <c r="J765" s="617" t="s">
        <v>1913</v>
      </c>
      <c r="K765" s="598"/>
      <c r="L765" s="598"/>
      <c r="M765" s="621"/>
      <c r="N765" s="598">
        <v>1</v>
      </c>
      <c r="O765" s="598">
        <v>1</v>
      </c>
      <c r="P765" s="618">
        <v>2000</v>
      </c>
    </row>
    <row r="766" spans="1:16" s="619" customFormat="1" ht="24" x14ac:dyDescent="0.2">
      <c r="A766" s="598" t="s">
        <v>1907</v>
      </c>
      <c r="B766" s="620" t="s">
        <v>1908</v>
      </c>
      <c r="C766" s="598" t="s">
        <v>2015</v>
      </c>
      <c r="D766" s="598" t="s">
        <v>3082</v>
      </c>
      <c r="E766" s="621">
        <v>5000</v>
      </c>
      <c r="F766" s="599">
        <v>42862116</v>
      </c>
      <c r="G766" s="598" t="s">
        <v>3083</v>
      </c>
      <c r="H766" s="598" t="s">
        <v>1911</v>
      </c>
      <c r="I766" s="598" t="s">
        <v>1912</v>
      </c>
      <c r="J766" s="617" t="s">
        <v>1913</v>
      </c>
      <c r="K766" s="598"/>
      <c r="L766" s="598"/>
      <c r="M766" s="621"/>
      <c r="N766" s="598">
        <v>4</v>
      </c>
      <c r="O766" s="598">
        <v>6</v>
      </c>
      <c r="P766" s="618">
        <v>30000</v>
      </c>
    </row>
    <row r="767" spans="1:16" s="619" customFormat="1" ht="24" x14ac:dyDescent="0.2">
      <c r="A767" s="598" t="s">
        <v>1907</v>
      </c>
      <c r="B767" s="620" t="s">
        <v>1908</v>
      </c>
      <c r="C767" s="598" t="s">
        <v>2015</v>
      </c>
      <c r="D767" s="598" t="s">
        <v>3082</v>
      </c>
      <c r="E767" s="621">
        <v>5000</v>
      </c>
      <c r="F767" s="599">
        <v>42615027</v>
      </c>
      <c r="G767" s="598" t="s">
        <v>3084</v>
      </c>
      <c r="H767" s="598" t="s">
        <v>1911</v>
      </c>
      <c r="I767" s="598" t="s">
        <v>1912</v>
      </c>
      <c r="J767" s="617" t="s">
        <v>1913</v>
      </c>
      <c r="K767" s="598"/>
      <c r="L767" s="598"/>
      <c r="M767" s="621"/>
      <c r="N767" s="598">
        <v>3</v>
      </c>
      <c r="O767" s="598">
        <v>5</v>
      </c>
      <c r="P767" s="618">
        <v>25000</v>
      </c>
    </row>
    <row r="768" spans="1:16" s="619" customFormat="1" ht="36" x14ac:dyDescent="0.2">
      <c r="A768" s="598" t="s">
        <v>1907</v>
      </c>
      <c r="B768" s="620" t="s">
        <v>1908</v>
      </c>
      <c r="C768" s="598" t="s">
        <v>2015</v>
      </c>
      <c r="D768" s="598" t="s">
        <v>3082</v>
      </c>
      <c r="E768" s="621">
        <v>5000</v>
      </c>
      <c r="F768" s="599">
        <v>16467452</v>
      </c>
      <c r="G768" s="598" t="s">
        <v>3085</v>
      </c>
      <c r="H768" s="598" t="s">
        <v>1911</v>
      </c>
      <c r="I768" s="598" t="s">
        <v>1912</v>
      </c>
      <c r="J768" s="617" t="s">
        <v>1913</v>
      </c>
      <c r="K768" s="598"/>
      <c r="L768" s="598"/>
      <c r="M768" s="621"/>
      <c r="N768" s="598">
        <v>3</v>
      </c>
      <c r="O768" s="598">
        <v>5</v>
      </c>
      <c r="P768" s="618">
        <v>25000</v>
      </c>
    </row>
    <row r="769" spans="1:16" s="619" customFormat="1" ht="36" x14ac:dyDescent="0.2">
      <c r="A769" s="598" t="s">
        <v>1907</v>
      </c>
      <c r="B769" s="620" t="s">
        <v>1908</v>
      </c>
      <c r="C769" s="598" t="s">
        <v>2015</v>
      </c>
      <c r="D769" s="598" t="s">
        <v>3082</v>
      </c>
      <c r="E769" s="621">
        <v>1500</v>
      </c>
      <c r="F769" s="599">
        <v>70879149</v>
      </c>
      <c r="G769" s="598" t="s">
        <v>3064</v>
      </c>
      <c r="H769" s="598" t="s">
        <v>3086</v>
      </c>
      <c r="I769" s="598" t="s">
        <v>1912</v>
      </c>
      <c r="J769" s="617" t="s">
        <v>1913</v>
      </c>
      <c r="K769" s="598"/>
      <c r="L769" s="598"/>
      <c r="M769" s="621"/>
      <c r="N769" s="598">
        <v>1</v>
      </c>
      <c r="O769" s="598">
        <v>1</v>
      </c>
      <c r="P769" s="618">
        <v>1500</v>
      </c>
    </row>
    <row r="770" spans="1:16" s="619" customFormat="1" ht="48" x14ac:dyDescent="0.2">
      <c r="A770" s="598" t="s">
        <v>1907</v>
      </c>
      <c r="B770" s="620" t="s">
        <v>1908</v>
      </c>
      <c r="C770" s="598" t="s">
        <v>2015</v>
      </c>
      <c r="D770" s="598" t="s">
        <v>3087</v>
      </c>
      <c r="E770" s="621">
        <v>5000</v>
      </c>
      <c r="F770" s="599">
        <v>29660160</v>
      </c>
      <c r="G770" s="598" t="s">
        <v>3088</v>
      </c>
      <c r="H770" s="598" t="s">
        <v>1911</v>
      </c>
      <c r="I770" s="598" t="s">
        <v>1912</v>
      </c>
      <c r="J770" s="617" t="s">
        <v>1913</v>
      </c>
      <c r="K770" s="598"/>
      <c r="L770" s="598"/>
      <c r="M770" s="621"/>
      <c r="N770" s="598">
        <v>4</v>
      </c>
      <c r="O770" s="598">
        <v>6</v>
      </c>
      <c r="P770" s="618">
        <v>30000</v>
      </c>
    </row>
    <row r="771" spans="1:16" s="619" customFormat="1" ht="36" x14ac:dyDescent="0.2">
      <c r="A771" s="598" t="s">
        <v>1907</v>
      </c>
      <c r="B771" s="620" t="s">
        <v>1908</v>
      </c>
      <c r="C771" s="598" t="s">
        <v>2015</v>
      </c>
      <c r="D771" s="598" t="s">
        <v>3087</v>
      </c>
      <c r="E771" s="621">
        <v>5000</v>
      </c>
      <c r="F771" s="599">
        <v>41610443</v>
      </c>
      <c r="G771" s="598" t="s">
        <v>3089</v>
      </c>
      <c r="H771" s="598" t="s">
        <v>1911</v>
      </c>
      <c r="I771" s="598" t="s">
        <v>1912</v>
      </c>
      <c r="J771" s="617" t="s">
        <v>1913</v>
      </c>
      <c r="K771" s="598"/>
      <c r="L771" s="598"/>
      <c r="M771" s="621"/>
      <c r="N771" s="598">
        <v>1</v>
      </c>
      <c r="O771" s="598">
        <v>1</v>
      </c>
      <c r="P771" s="618">
        <v>5000</v>
      </c>
    </row>
    <row r="772" spans="1:16" s="619" customFormat="1" ht="48" x14ac:dyDescent="0.2">
      <c r="A772" s="598" t="s">
        <v>1907</v>
      </c>
      <c r="B772" s="620" t="s">
        <v>1908</v>
      </c>
      <c r="C772" s="598" t="s">
        <v>2015</v>
      </c>
      <c r="D772" s="598" t="s">
        <v>3087</v>
      </c>
      <c r="E772" s="621">
        <v>1200</v>
      </c>
      <c r="F772" s="599">
        <v>74077746</v>
      </c>
      <c r="G772" s="598" t="s">
        <v>3090</v>
      </c>
      <c r="H772" s="598" t="s">
        <v>1931</v>
      </c>
      <c r="I772" s="598" t="s">
        <v>1912</v>
      </c>
      <c r="J772" s="617" t="s">
        <v>1931</v>
      </c>
      <c r="K772" s="598"/>
      <c r="L772" s="598"/>
      <c r="M772" s="621"/>
      <c r="N772" s="598">
        <v>4</v>
      </c>
      <c r="O772" s="598">
        <v>6</v>
      </c>
      <c r="P772" s="618">
        <v>7200</v>
      </c>
    </row>
    <row r="773" spans="1:16" s="619" customFormat="1" ht="24" x14ac:dyDescent="0.2">
      <c r="A773" s="598" t="s">
        <v>1907</v>
      </c>
      <c r="B773" s="620" t="s">
        <v>1908</v>
      </c>
      <c r="C773" s="598" t="s">
        <v>2015</v>
      </c>
      <c r="D773" s="598" t="s">
        <v>3087</v>
      </c>
      <c r="E773" s="621">
        <v>5000</v>
      </c>
      <c r="F773" s="599">
        <v>42357686</v>
      </c>
      <c r="G773" s="598" t="s">
        <v>3091</v>
      </c>
      <c r="H773" s="598" t="s">
        <v>1911</v>
      </c>
      <c r="I773" s="598" t="s">
        <v>1912</v>
      </c>
      <c r="J773" s="617" t="s">
        <v>1913</v>
      </c>
      <c r="K773" s="598"/>
      <c r="L773" s="598"/>
      <c r="M773" s="621"/>
      <c r="N773" s="598">
        <v>4</v>
      </c>
      <c r="O773" s="598">
        <v>6</v>
      </c>
      <c r="P773" s="618">
        <v>3000</v>
      </c>
    </row>
    <row r="774" spans="1:16" s="619" customFormat="1" ht="24" x14ac:dyDescent="0.2">
      <c r="A774" s="598" t="s">
        <v>1907</v>
      </c>
      <c r="B774" s="620" t="s">
        <v>1908</v>
      </c>
      <c r="C774" s="598" t="s">
        <v>2015</v>
      </c>
      <c r="D774" s="598" t="s">
        <v>3087</v>
      </c>
      <c r="E774" s="621">
        <v>5000</v>
      </c>
      <c r="F774" s="599" t="s">
        <v>1915</v>
      </c>
      <c r="G774" s="598" t="s">
        <v>3092</v>
      </c>
      <c r="H774" s="598" t="s">
        <v>1911</v>
      </c>
      <c r="I774" s="598" t="s">
        <v>1912</v>
      </c>
      <c r="J774" s="617" t="s">
        <v>1913</v>
      </c>
      <c r="K774" s="598"/>
      <c r="L774" s="598"/>
      <c r="M774" s="621"/>
      <c r="N774" s="598">
        <v>3</v>
      </c>
      <c r="O774" s="598">
        <v>5</v>
      </c>
      <c r="P774" s="618">
        <v>25000</v>
      </c>
    </row>
    <row r="775" spans="1:16" s="619" customFormat="1" ht="24" x14ac:dyDescent="0.2">
      <c r="A775" s="598" t="s">
        <v>1907</v>
      </c>
      <c r="B775" s="620" t="s">
        <v>1908</v>
      </c>
      <c r="C775" s="598" t="s">
        <v>2015</v>
      </c>
      <c r="D775" s="598" t="s">
        <v>3093</v>
      </c>
      <c r="E775" s="621">
        <v>1400</v>
      </c>
      <c r="F775" s="599">
        <v>43998321</v>
      </c>
      <c r="G775" s="598" t="s">
        <v>3094</v>
      </c>
      <c r="H775" s="598" t="s">
        <v>1931</v>
      </c>
      <c r="I775" s="598" t="s">
        <v>1912</v>
      </c>
      <c r="J775" s="617" t="s">
        <v>1931</v>
      </c>
      <c r="K775" s="598"/>
      <c r="L775" s="598"/>
      <c r="M775" s="621"/>
      <c r="N775" s="598">
        <v>4</v>
      </c>
      <c r="O775" s="598">
        <v>6</v>
      </c>
      <c r="P775" s="618">
        <v>8400</v>
      </c>
    </row>
    <row r="776" spans="1:16" s="619" customFormat="1" ht="24" x14ac:dyDescent="0.2">
      <c r="A776" s="598" t="s">
        <v>1907</v>
      </c>
      <c r="B776" s="620" t="s">
        <v>1908</v>
      </c>
      <c r="C776" s="598" t="s">
        <v>2015</v>
      </c>
      <c r="D776" s="598" t="s">
        <v>3093</v>
      </c>
      <c r="E776" s="621">
        <v>1800</v>
      </c>
      <c r="F776" s="599">
        <v>47113444</v>
      </c>
      <c r="G776" s="598" t="s">
        <v>3095</v>
      </c>
      <c r="H776" s="598" t="s">
        <v>1931</v>
      </c>
      <c r="I776" s="598" t="s">
        <v>1912</v>
      </c>
      <c r="J776" s="617" t="s">
        <v>1931</v>
      </c>
      <c r="K776" s="598"/>
      <c r="L776" s="598"/>
      <c r="M776" s="621"/>
      <c r="N776" s="598">
        <v>4</v>
      </c>
      <c r="O776" s="598">
        <v>6</v>
      </c>
      <c r="P776" s="618">
        <v>10800</v>
      </c>
    </row>
    <row r="777" spans="1:16" s="619" customFormat="1" ht="24" x14ac:dyDescent="0.2">
      <c r="A777" s="598" t="s">
        <v>1907</v>
      </c>
      <c r="B777" s="620" t="s">
        <v>1908</v>
      </c>
      <c r="C777" s="598" t="s">
        <v>2015</v>
      </c>
      <c r="D777" s="598" t="s">
        <v>3093</v>
      </c>
      <c r="E777" s="621">
        <v>1200</v>
      </c>
      <c r="F777" s="599">
        <v>72809848</v>
      </c>
      <c r="G777" s="598" t="s">
        <v>3096</v>
      </c>
      <c r="H777" s="598" t="s">
        <v>2992</v>
      </c>
      <c r="I777" s="598"/>
      <c r="J777" s="617"/>
      <c r="K777" s="598"/>
      <c r="L777" s="598"/>
      <c r="M777" s="621"/>
      <c r="N777" s="598">
        <v>4</v>
      </c>
      <c r="O777" s="598">
        <v>6</v>
      </c>
      <c r="P777" s="618">
        <v>7200</v>
      </c>
    </row>
    <row r="778" spans="1:16" s="619" customFormat="1" ht="36" x14ac:dyDescent="0.2">
      <c r="A778" s="598" t="s">
        <v>1907</v>
      </c>
      <c r="B778" s="620" t="s">
        <v>1908</v>
      </c>
      <c r="C778" s="598" t="s">
        <v>2015</v>
      </c>
      <c r="D778" s="598" t="s">
        <v>3097</v>
      </c>
      <c r="E778" s="621">
        <v>1500</v>
      </c>
      <c r="F778" s="599">
        <v>33781430</v>
      </c>
      <c r="G778" s="598" t="s">
        <v>3098</v>
      </c>
      <c r="H778" s="598" t="s">
        <v>1931</v>
      </c>
      <c r="I778" s="598" t="s">
        <v>1912</v>
      </c>
      <c r="J778" s="617" t="s">
        <v>1931</v>
      </c>
      <c r="K778" s="598"/>
      <c r="L778" s="598"/>
      <c r="M778" s="621"/>
      <c r="N778" s="598">
        <v>4</v>
      </c>
      <c r="O778" s="598">
        <v>6</v>
      </c>
      <c r="P778" s="618">
        <v>9000</v>
      </c>
    </row>
    <row r="779" spans="1:16" s="619" customFormat="1" ht="24" x14ac:dyDescent="0.2">
      <c r="A779" s="598" t="s">
        <v>1907</v>
      </c>
      <c r="B779" s="620" t="s">
        <v>1908</v>
      </c>
      <c r="C779" s="598" t="s">
        <v>2015</v>
      </c>
      <c r="D779" s="598" t="s">
        <v>3097</v>
      </c>
      <c r="E779" s="621">
        <v>1300</v>
      </c>
      <c r="F779" s="599">
        <v>47576440</v>
      </c>
      <c r="G779" s="598" t="s">
        <v>3099</v>
      </c>
      <c r="H779" s="598" t="s">
        <v>2939</v>
      </c>
      <c r="I779" s="598" t="s">
        <v>1912</v>
      </c>
      <c r="J779" s="617" t="s">
        <v>1913</v>
      </c>
      <c r="K779" s="598"/>
      <c r="L779" s="598"/>
      <c r="M779" s="621"/>
      <c r="N779" s="598">
        <v>2</v>
      </c>
      <c r="O779" s="598">
        <v>3</v>
      </c>
      <c r="P779" s="618">
        <v>3900</v>
      </c>
    </row>
    <row r="780" spans="1:16" s="619" customFormat="1" ht="24" x14ac:dyDescent="0.2">
      <c r="A780" s="598" t="s">
        <v>1907</v>
      </c>
      <c r="B780" s="620" t="s">
        <v>1908</v>
      </c>
      <c r="C780" s="598" t="s">
        <v>2015</v>
      </c>
      <c r="D780" s="598" t="s">
        <v>3097</v>
      </c>
      <c r="E780" s="621">
        <v>2500</v>
      </c>
      <c r="F780" s="599">
        <v>44571251</v>
      </c>
      <c r="G780" s="598" t="s">
        <v>3100</v>
      </c>
      <c r="H780" s="598" t="s">
        <v>2939</v>
      </c>
      <c r="I780" s="598" t="s">
        <v>1912</v>
      </c>
      <c r="J780" s="617" t="s">
        <v>1913</v>
      </c>
      <c r="K780" s="598"/>
      <c r="L780" s="598"/>
      <c r="M780" s="621"/>
      <c r="N780" s="598">
        <v>3</v>
      </c>
      <c r="O780" s="598">
        <v>5</v>
      </c>
      <c r="P780" s="618">
        <v>12500</v>
      </c>
    </row>
    <row r="781" spans="1:16" s="619" customFormat="1" ht="36" x14ac:dyDescent="0.2">
      <c r="A781" s="598" t="s">
        <v>1907</v>
      </c>
      <c r="B781" s="620" t="s">
        <v>1908</v>
      </c>
      <c r="C781" s="598" t="s">
        <v>2015</v>
      </c>
      <c r="D781" s="598" t="s">
        <v>3101</v>
      </c>
      <c r="E781" s="621">
        <v>6000</v>
      </c>
      <c r="F781" s="599">
        <v>16803462</v>
      </c>
      <c r="G781" s="598" t="s">
        <v>3102</v>
      </c>
      <c r="H781" s="598" t="s">
        <v>2921</v>
      </c>
      <c r="I781" s="598" t="s">
        <v>1912</v>
      </c>
      <c r="J781" s="617" t="s">
        <v>1913</v>
      </c>
      <c r="K781" s="598"/>
      <c r="L781" s="598"/>
      <c r="M781" s="621"/>
      <c r="N781" s="598">
        <v>4</v>
      </c>
      <c r="O781" s="598">
        <v>6</v>
      </c>
      <c r="P781" s="618">
        <v>36000</v>
      </c>
    </row>
    <row r="782" spans="1:16" s="619" customFormat="1" ht="24" x14ac:dyDescent="0.2">
      <c r="A782" s="598" t="s">
        <v>1907</v>
      </c>
      <c r="B782" s="620" t="s">
        <v>1908</v>
      </c>
      <c r="C782" s="598" t="s">
        <v>2015</v>
      </c>
      <c r="D782" s="598" t="s">
        <v>3101</v>
      </c>
      <c r="E782" s="621">
        <v>1800</v>
      </c>
      <c r="F782" s="599">
        <v>41304241</v>
      </c>
      <c r="G782" s="598" t="s">
        <v>3103</v>
      </c>
      <c r="H782" s="598" t="s">
        <v>1931</v>
      </c>
      <c r="I782" s="598" t="s">
        <v>1912</v>
      </c>
      <c r="J782" s="617" t="s">
        <v>1931</v>
      </c>
      <c r="K782" s="598"/>
      <c r="L782" s="598"/>
      <c r="M782" s="621"/>
      <c r="N782" s="598">
        <v>4</v>
      </c>
      <c r="O782" s="598">
        <v>6</v>
      </c>
      <c r="P782" s="618">
        <v>10800</v>
      </c>
    </row>
    <row r="783" spans="1:16" s="619" customFormat="1" ht="36" x14ac:dyDescent="0.2">
      <c r="A783" s="598" t="s">
        <v>1907</v>
      </c>
      <c r="B783" s="620" t="s">
        <v>1908</v>
      </c>
      <c r="C783" s="598" t="s">
        <v>2015</v>
      </c>
      <c r="D783" s="598" t="s">
        <v>3101</v>
      </c>
      <c r="E783" s="621">
        <v>2000</v>
      </c>
      <c r="F783" s="599">
        <v>70932631</v>
      </c>
      <c r="G783" s="598" t="s">
        <v>3104</v>
      </c>
      <c r="H783" s="598" t="s">
        <v>3022</v>
      </c>
      <c r="I783" s="598" t="s">
        <v>1912</v>
      </c>
      <c r="J783" s="617" t="s">
        <v>1913</v>
      </c>
      <c r="K783" s="598"/>
      <c r="L783" s="598"/>
      <c r="M783" s="621"/>
      <c r="N783" s="598">
        <v>3</v>
      </c>
      <c r="O783" s="598">
        <v>5</v>
      </c>
      <c r="P783" s="618">
        <v>10000</v>
      </c>
    </row>
    <row r="784" spans="1:16" s="619" customFormat="1" ht="24" x14ac:dyDescent="0.2">
      <c r="A784" s="598" t="s">
        <v>1907</v>
      </c>
      <c r="B784" s="620" t="s">
        <v>1908</v>
      </c>
      <c r="C784" s="598" t="s">
        <v>2015</v>
      </c>
      <c r="D784" s="598" t="s">
        <v>3101</v>
      </c>
      <c r="E784" s="621">
        <v>1200</v>
      </c>
      <c r="F784" s="599">
        <v>70913670</v>
      </c>
      <c r="G784" s="598" t="s">
        <v>3105</v>
      </c>
      <c r="H784" s="598" t="s">
        <v>2963</v>
      </c>
      <c r="I784" s="598" t="s">
        <v>1912</v>
      </c>
      <c r="J784" s="617" t="s">
        <v>1931</v>
      </c>
      <c r="K784" s="598"/>
      <c r="L784" s="598"/>
      <c r="M784" s="621"/>
      <c r="N784" s="598">
        <v>4</v>
      </c>
      <c r="O784" s="598">
        <v>6</v>
      </c>
      <c r="P784" s="618">
        <v>7200</v>
      </c>
    </row>
    <row r="785" spans="1:16" s="619" customFormat="1" ht="36" x14ac:dyDescent="0.2">
      <c r="A785" s="598" t="s">
        <v>1907</v>
      </c>
      <c r="B785" s="620" t="s">
        <v>1908</v>
      </c>
      <c r="C785" s="598" t="s">
        <v>2015</v>
      </c>
      <c r="D785" s="598" t="s">
        <v>3101</v>
      </c>
      <c r="E785" s="621">
        <v>3000</v>
      </c>
      <c r="F785" s="599">
        <v>17555760</v>
      </c>
      <c r="G785" s="598" t="s">
        <v>3106</v>
      </c>
      <c r="H785" s="598" t="s">
        <v>3022</v>
      </c>
      <c r="I785" s="598" t="s">
        <v>1912</v>
      </c>
      <c r="J785" s="617" t="s">
        <v>1913</v>
      </c>
      <c r="K785" s="598"/>
      <c r="L785" s="598"/>
      <c r="M785" s="621"/>
      <c r="N785" s="598">
        <v>4</v>
      </c>
      <c r="O785" s="598">
        <v>6</v>
      </c>
      <c r="P785" s="618">
        <v>18000</v>
      </c>
    </row>
    <row r="786" spans="1:16" s="619" customFormat="1" ht="24" x14ac:dyDescent="0.2">
      <c r="A786" s="598" t="s">
        <v>1907</v>
      </c>
      <c r="B786" s="620" t="s">
        <v>1908</v>
      </c>
      <c r="C786" s="598" t="s">
        <v>2015</v>
      </c>
      <c r="D786" s="598" t="s">
        <v>3101</v>
      </c>
      <c r="E786" s="621">
        <v>2000</v>
      </c>
      <c r="F786" s="599">
        <v>42303516</v>
      </c>
      <c r="G786" s="598" t="s">
        <v>3107</v>
      </c>
      <c r="H786" s="598" t="s">
        <v>3022</v>
      </c>
      <c r="I786" s="598" t="s">
        <v>1912</v>
      </c>
      <c r="J786" s="617" t="s">
        <v>1913</v>
      </c>
      <c r="K786" s="598"/>
      <c r="L786" s="598"/>
      <c r="M786" s="621"/>
      <c r="N786" s="598">
        <v>4</v>
      </c>
      <c r="O786" s="598">
        <v>6</v>
      </c>
      <c r="P786" s="618">
        <v>12000</v>
      </c>
    </row>
    <row r="787" spans="1:16" s="619" customFormat="1" ht="36" x14ac:dyDescent="0.2">
      <c r="A787" s="598" t="s">
        <v>1907</v>
      </c>
      <c r="B787" s="620" t="s">
        <v>1908</v>
      </c>
      <c r="C787" s="598" t="s">
        <v>2015</v>
      </c>
      <c r="D787" s="598" t="s">
        <v>3101</v>
      </c>
      <c r="E787" s="621">
        <v>4500</v>
      </c>
      <c r="F787" s="599">
        <v>72498448</v>
      </c>
      <c r="G787" s="598" t="s">
        <v>3108</v>
      </c>
      <c r="H787" s="598" t="s">
        <v>2921</v>
      </c>
      <c r="I787" s="598" t="s">
        <v>1912</v>
      </c>
      <c r="J787" s="617" t="s">
        <v>1913</v>
      </c>
      <c r="K787" s="598"/>
      <c r="L787" s="598"/>
      <c r="M787" s="621"/>
      <c r="N787" s="598">
        <v>4</v>
      </c>
      <c r="O787" s="598">
        <v>6</v>
      </c>
      <c r="P787" s="618">
        <v>27000</v>
      </c>
    </row>
    <row r="788" spans="1:16" s="619" customFormat="1" ht="24" x14ac:dyDescent="0.2">
      <c r="A788" s="598" t="s">
        <v>1907</v>
      </c>
      <c r="B788" s="620" t="s">
        <v>1908</v>
      </c>
      <c r="C788" s="598" t="s">
        <v>2015</v>
      </c>
      <c r="D788" s="598" t="s">
        <v>3101</v>
      </c>
      <c r="E788" s="621">
        <v>4500</v>
      </c>
      <c r="F788" s="599">
        <v>33739231</v>
      </c>
      <c r="G788" s="598" t="s">
        <v>3109</v>
      </c>
      <c r="H788" s="598" t="s">
        <v>2921</v>
      </c>
      <c r="I788" s="598" t="s">
        <v>1912</v>
      </c>
      <c r="J788" s="617" t="s">
        <v>1913</v>
      </c>
      <c r="K788" s="598"/>
      <c r="L788" s="598"/>
      <c r="M788" s="621"/>
      <c r="N788" s="598">
        <v>4</v>
      </c>
      <c r="O788" s="598">
        <v>6</v>
      </c>
      <c r="P788" s="618">
        <v>27000</v>
      </c>
    </row>
    <row r="789" spans="1:16" s="619" customFormat="1" ht="36" x14ac:dyDescent="0.2">
      <c r="A789" s="598" t="s">
        <v>1907</v>
      </c>
      <c r="B789" s="620" t="s">
        <v>1908</v>
      </c>
      <c r="C789" s="598" t="s">
        <v>2015</v>
      </c>
      <c r="D789" s="598" t="s">
        <v>3101</v>
      </c>
      <c r="E789" s="621">
        <v>1100</v>
      </c>
      <c r="F789" s="599">
        <v>61609903</v>
      </c>
      <c r="G789" s="598" t="s">
        <v>3110</v>
      </c>
      <c r="H789" s="598"/>
      <c r="I789" s="598"/>
      <c r="J789" s="617"/>
      <c r="K789" s="598"/>
      <c r="L789" s="598"/>
      <c r="M789" s="621"/>
      <c r="N789" s="598">
        <v>3</v>
      </c>
      <c r="O789" s="598">
        <v>5</v>
      </c>
      <c r="P789" s="618">
        <v>5500</v>
      </c>
    </row>
    <row r="790" spans="1:16" s="619" customFormat="1" ht="24" x14ac:dyDescent="0.2">
      <c r="A790" s="598" t="s">
        <v>1907</v>
      </c>
      <c r="B790" s="620" t="s">
        <v>1908</v>
      </c>
      <c r="C790" s="598" t="s">
        <v>2015</v>
      </c>
      <c r="D790" s="598" t="s">
        <v>3111</v>
      </c>
      <c r="E790" s="621">
        <v>2500</v>
      </c>
      <c r="F790" s="599">
        <v>76827203</v>
      </c>
      <c r="G790" s="598" t="s">
        <v>3112</v>
      </c>
      <c r="H790" s="598" t="s">
        <v>2939</v>
      </c>
      <c r="I790" s="598" t="s">
        <v>1912</v>
      </c>
      <c r="J790" s="617" t="s">
        <v>1913</v>
      </c>
      <c r="K790" s="598"/>
      <c r="L790" s="598"/>
      <c r="M790" s="621"/>
      <c r="N790" s="598">
        <v>4</v>
      </c>
      <c r="O790" s="598">
        <v>6</v>
      </c>
      <c r="P790" s="618">
        <v>15000</v>
      </c>
    </row>
    <row r="791" spans="1:16" s="619" customFormat="1" ht="24" x14ac:dyDescent="0.2">
      <c r="A791" s="598" t="s">
        <v>1907</v>
      </c>
      <c r="B791" s="620" t="s">
        <v>1908</v>
      </c>
      <c r="C791" s="598" t="s">
        <v>2015</v>
      </c>
      <c r="D791" s="598" t="s">
        <v>3111</v>
      </c>
      <c r="E791" s="621">
        <v>2500</v>
      </c>
      <c r="F791" s="599">
        <v>10173979</v>
      </c>
      <c r="G791" s="598" t="s">
        <v>3113</v>
      </c>
      <c r="H791" s="598" t="s">
        <v>1931</v>
      </c>
      <c r="I791" s="598" t="s">
        <v>1912</v>
      </c>
      <c r="J791" s="617" t="s">
        <v>1931</v>
      </c>
      <c r="K791" s="598"/>
      <c r="L791" s="598"/>
      <c r="M791" s="621"/>
      <c r="N791" s="598">
        <v>4</v>
      </c>
      <c r="O791" s="598">
        <v>6</v>
      </c>
      <c r="P791" s="618">
        <v>15000</v>
      </c>
    </row>
    <row r="792" spans="1:16" s="619" customFormat="1" ht="24" x14ac:dyDescent="0.2">
      <c r="A792" s="598" t="s">
        <v>1907</v>
      </c>
      <c r="B792" s="620" t="s">
        <v>1908</v>
      </c>
      <c r="C792" s="598" t="s">
        <v>2015</v>
      </c>
      <c r="D792" s="598" t="s">
        <v>3111</v>
      </c>
      <c r="E792" s="621">
        <v>1500</v>
      </c>
      <c r="F792" s="599">
        <v>70208559</v>
      </c>
      <c r="G792" s="598" t="s">
        <v>3114</v>
      </c>
      <c r="H792" s="598" t="s">
        <v>1931</v>
      </c>
      <c r="I792" s="598" t="s">
        <v>1912</v>
      </c>
      <c r="J792" s="617" t="s">
        <v>1931</v>
      </c>
      <c r="K792" s="598"/>
      <c r="L792" s="598"/>
      <c r="M792" s="621"/>
      <c r="N792" s="598">
        <v>4</v>
      </c>
      <c r="O792" s="598">
        <v>6</v>
      </c>
      <c r="P792" s="618">
        <v>9000</v>
      </c>
    </row>
    <row r="793" spans="1:16" s="619" customFormat="1" ht="36" x14ac:dyDescent="0.2">
      <c r="A793" s="598" t="s">
        <v>1907</v>
      </c>
      <c r="B793" s="620" t="s">
        <v>1908</v>
      </c>
      <c r="C793" s="598" t="s">
        <v>2015</v>
      </c>
      <c r="D793" s="598" t="s">
        <v>3111</v>
      </c>
      <c r="E793" s="621">
        <v>1200</v>
      </c>
      <c r="F793" s="599">
        <v>72462086</v>
      </c>
      <c r="G793" s="598" t="s">
        <v>3115</v>
      </c>
      <c r="H793" s="598" t="s">
        <v>2971</v>
      </c>
      <c r="I793" s="598"/>
      <c r="J793" s="617"/>
      <c r="K793" s="598"/>
      <c r="L793" s="598"/>
      <c r="M793" s="621"/>
      <c r="N793" s="598">
        <v>1</v>
      </c>
      <c r="O793" s="598">
        <v>2</v>
      </c>
      <c r="P793" s="618">
        <v>2400</v>
      </c>
    </row>
    <row r="794" spans="1:16" s="619" customFormat="1" ht="24" x14ac:dyDescent="0.2">
      <c r="A794" s="598" t="s">
        <v>1907</v>
      </c>
      <c r="B794" s="620" t="s">
        <v>1908</v>
      </c>
      <c r="C794" s="598" t="s">
        <v>2015</v>
      </c>
      <c r="D794" s="598" t="s">
        <v>3111</v>
      </c>
      <c r="E794" s="621">
        <v>1800</v>
      </c>
      <c r="F794" s="599">
        <v>71351477</v>
      </c>
      <c r="G794" s="598" t="s">
        <v>3116</v>
      </c>
      <c r="H794" s="598" t="s">
        <v>3117</v>
      </c>
      <c r="I794" s="598" t="s">
        <v>1912</v>
      </c>
      <c r="J794" s="617" t="s">
        <v>1913</v>
      </c>
      <c r="K794" s="598"/>
      <c r="L794" s="598"/>
      <c r="M794" s="621"/>
      <c r="N794" s="598">
        <v>3</v>
      </c>
      <c r="O794" s="598">
        <v>5</v>
      </c>
      <c r="P794" s="618">
        <v>9000</v>
      </c>
    </row>
    <row r="795" spans="1:16" s="619" customFormat="1" ht="24" x14ac:dyDescent="0.2">
      <c r="A795" s="598" t="s">
        <v>1907</v>
      </c>
      <c r="B795" s="620" t="s">
        <v>1908</v>
      </c>
      <c r="C795" s="598" t="s">
        <v>2015</v>
      </c>
      <c r="D795" s="598" t="s">
        <v>3111</v>
      </c>
      <c r="E795" s="621">
        <v>1800</v>
      </c>
      <c r="F795" s="599">
        <v>47576440</v>
      </c>
      <c r="G795" s="598" t="s">
        <v>3099</v>
      </c>
      <c r="H795" s="598" t="s">
        <v>2939</v>
      </c>
      <c r="I795" s="598" t="s">
        <v>1912</v>
      </c>
      <c r="J795" s="617" t="s">
        <v>1913</v>
      </c>
      <c r="K795" s="598"/>
      <c r="L795" s="598"/>
      <c r="M795" s="621"/>
      <c r="N795" s="598">
        <v>2</v>
      </c>
      <c r="O795" s="598">
        <v>3</v>
      </c>
      <c r="P795" s="618">
        <v>5400</v>
      </c>
    </row>
    <row r="796" spans="1:16" s="619" customFormat="1" ht="24" x14ac:dyDescent="0.2">
      <c r="A796" s="598" t="s">
        <v>1907</v>
      </c>
      <c r="B796" s="620" t="s">
        <v>1908</v>
      </c>
      <c r="C796" s="598" t="s">
        <v>2015</v>
      </c>
      <c r="D796" s="598" t="s">
        <v>3118</v>
      </c>
      <c r="E796" s="621">
        <v>5000</v>
      </c>
      <c r="F796" s="599" t="s">
        <v>2197</v>
      </c>
      <c r="G796" s="598" t="s">
        <v>3119</v>
      </c>
      <c r="H796" s="598" t="s">
        <v>2921</v>
      </c>
      <c r="I796" s="598" t="s">
        <v>1912</v>
      </c>
      <c r="J796" s="617" t="s">
        <v>1913</v>
      </c>
      <c r="K796" s="598"/>
      <c r="L796" s="598"/>
      <c r="M796" s="621"/>
      <c r="N796" s="598">
        <v>4</v>
      </c>
      <c r="O796" s="598">
        <v>6</v>
      </c>
      <c r="P796" s="618">
        <v>30000</v>
      </c>
    </row>
    <row r="797" spans="1:16" s="619" customFormat="1" ht="24" x14ac:dyDescent="0.2">
      <c r="A797" s="598" t="s">
        <v>1907</v>
      </c>
      <c r="B797" s="620" t="s">
        <v>1908</v>
      </c>
      <c r="C797" s="598" t="s">
        <v>2015</v>
      </c>
      <c r="D797" s="598" t="s">
        <v>3118</v>
      </c>
      <c r="E797" s="621">
        <v>1800</v>
      </c>
      <c r="F797" s="599">
        <v>44358640</v>
      </c>
      <c r="G797" s="598" t="s">
        <v>3120</v>
      </c>
      <c r="H797" s="598" t="s">
        <v>1931</v>
      </c>
      <c r="I797" s="598" t="s">
        <v>1912</v>
      </c>
      <c r="J797" s="617" t="s">
        <v>1931</v>
      </c>
      <c r="K797" s="598"/>
      <c r="L797" s="598"/>
      <c r="M797" s="621"/>
      <c r="N797" s="598">
        <v>4</v>
      </c>
      <c r="O797" s="598">
        <v>6</v>
      </c>
      <c r="P797" s="618">
        <v>10800</v>
      </c>
    </row>
    <row r="798" spans="1:16" s="619" customFormat="1" ht="36" x14ac:dyDescent="0.2">
      <c r="A798" s="598" t="s">
        <v>1907</v>
      </c>
      <c r="B798" s="620" t="s">
        <v>1908</v>
      </c>
      <c r="C798" s="598" t="s">
        <v>2015</v>
      </c>
      <c r="D798" s="598" t="s">
        <v>3118</v>
      </c>
      <c r="E798" s="621">
        <v>2800</v>
      </c>
      <c r="F798" s="599">
        <v>45007648</v>
      </c>
      <c r="G798" s="598" t="s">
        <v>3121</v>
      </c>
      <c r="H798" s="598" t="s">
        <v>2232</v>
      </c>
      <c r="I798" s="598" t="s">
        <v>1912</v>
      </c>
      <c r="J798" s="617" t="s">
        <v>1913</v>
      </c>
      <c r="K798" s="598"/>
      <c r="L798" s="598"/>
      <c r="M798" s="621"/>
      <c r="N798" s="598">
        <v>4</v>
      </c>
      <c r="O798" s="598">
        <v>6</v>
      </c>
      <c r="P798" s="618">
        <v>16800</v>
      </c>
    </row>
    <row r="799" spans="1:16" s="619" customFormat="1" ht="48" x14ac:dyDescent="0.2">
      <c r="A799" s="598" t="s">
        <v>1907</v>
      </c>
      <c r="B799" s="620" t="s">
        <v>1908</v>
      </c>
      <c r="C799" s="598" t="s">
        <v>2015</v>
      </c>
      <c r="D799" s="598" t="s">
        <v>3122</v>
      </c>
      <c r="E799" s="621">
        <v>5000</v>
      </c>
      <c r="F799" s="599">
        <v>42533940</v>
      </c>
      <c r="G799" s="598" t="s">
        <v>3123</v>
      </c>
      <c r="H799" s="598" t="s">
        <v>2330</v>
      </c>
      <c r="I799" s="598" t="s">
        <v>1912</v>
      </c>
      <c r="J799" s="617" t="s">
        <v>1913</v>
      </c>
      <c r="K799" s="598"/>
      <c r="L799" s="598"/>
      <c r="M799" s="621"/>
      <c r="N799" s="598">
        <v>4</v>
      </c>
      <c r="O799" s="598">
        <v>6</v>
      </c>
      <c r="P799" s="618">
        <v>30000</v>
      </c>
    </row>
    <row r="800" spans="1:16" s="619" customFormat="1" ht="24" x14ac:dyDescent="0.2">
      <c r="A800" s="598" t="s">
        <v>1907</v>
      </c>
      <c r="B800" s="620" t="s">
        <v>1908</v>
      </c>
      <c r="C800" s="598" t="s">
        <v>2015</v>
      </c>
      <c r="D800" s="598" t="s">
        <v>3122</v>
      </c>
      <c r="E800" s="621">
        <v>1200</v>
      </c>
      <c r="F800" s="599">
        <v>71839228</v>
      </c>
      <c r="G800" s="598" t="s">
        <v>3124</v>
      </c>
      <c r="H800" s="598" t="s">
        <v>3125</v>
      </c>
      <c r="I800" s="598" t="s">
        <v>1912</v>
      </c>
      <c r="J800" s="617" t="s">
        <v>1931</v>
      </c>
      <c r="K800" s="598"/>
      <c r="L800" s="598"/>
      <c r="M800" s="621"/>
      <c r="N800" s="598">
        <v>2</v>
      </c>
      <c r="O800" s="598">
        <v>3</v>
      </c>
      <c r="P800" s="618">
        <v>3600</v>
      </c>
    </row>
    <row r="801" spans="1:16" s="619" customFormat="1" ht="36" x14ac:dyDescent="0.2">
      <c r="A801" s="598" t="s">
        <v>1907</v>
      </c>
      <c r="B801" s="620" t="s">
        <v>1908</v>
      </c>
      <c r="C801" s="598" t="s">
        <v>2015</v>
      </c>
      <c r="D801" s="598" t="s">
        <v>3126</v>
      </c>
      <c r="E801" s="621">
        <v>2200</v>
      </c>
      <c r="F801" s="599">
        <v>72446881</v>
      </c>
      <c r="G801" s="598" t="s">
        <v>3127</v>
      </c>
      <c r="H801" s="598" t="s">
        <v>3128</v>
      </c>
      <c r="I801" s="598" t="s">
        <v>1912</v>
      </c>
      <c r="J801" s="617" t="s">
        <v>1913</v>
      </c>
      <c r="K801" s="598"/>
      <c r="L801" s="598"/>
      <c r="M801" s="621"/>
      <c r="N801" s="598">
        <v>4</v>
      </c>
      <c r="O801" s="598">
        <v>6</v>
      </c>
      <c r="P801" s="618">
        <v>13200</v>
      </c>
    </row>
    <row r="802" spans="1:16" s="619" customFormat="1" ht="24" x14ac:dyDescent="0.2">
      <c r="A802" s="598" t="s">
        <v>1907</v>
      </c>
      <c r="B802" s="620" t="s">
        <v>1908</v>
      </c>
      <c r="C802" s="598" t="s">
        <v>2015</v>
      </c>
      <c r="D802" s="598" t="s">
        <v>3126</v>
      </c>
      <c r="E802" s="621">
        <v>5000</v>
      </c>
      <c r="F802" s="599"/>
      <c r="G802" s="598" t="s">
        <v>3129</v>
      </c>
      <c r="H802" s="598" t="s">
        <v>2472</v>
      </c>
      <c r="I802" s="598" t="s">
        <v>1912</v>
      </c>
      <c r="J802" s="617" t="s">
        <v>1913</v>
      </c>
      <c r="K802" s="598"/>
      <c r="L802" s="598"/>
      <c r="M802" s="621"/>
      <c r="N802" s="598">
        <v>3</v>
      </c>
      <c r="O802" s="598">
        <v>5</v>
      </c>
      <c r="P802" s="618">
        <v>25000</v>
      </c>
    </row>
    <row r="803" spans="1:16" s="619" customFormat="1" ht="48" x14ac:dyDescent="0.2">
      <c r="A803" s="598" t="s">
        <v>1907</v>
      </c>
      <c r="B803" s="620" t="s">
        <v>1908</v>
      </c>
      <c r="C803" s="598" t="s">
        <v>2015</v>
      </c>
      <c r="D803" s="598" t="s">
        <v>3130</v>
      </c>
      <c r="E803" s="621">
        <v>4000</v>
      </c>
      <c r="F803" s="599">
        <v>45942608</v>
      </c>
      <c r="G803" s="598" t="s">
        <v>3131</v>
      </c>
      <c r="H803" s="598" t="s">
        <v>2921</v>
      </c>
      <c r="I803" s="598" t="s">
        <v>1912</v>
      </c>
      <c r="J803" s="617" t="s">
        <v>1913</v>
      </c>
      <c r="K803" s="598"/>
      <c r="L803" s="598"/>
      <c r="M803" s="621"/>
      <c r="N803" s="598">
        <v>4</v>
      </c>
      <c r="O803" s="598">
        <v>6</v>
      </c>
      <c r="P803" s="618">
        <v>24000</v>
      </c>
    </row>
    <row r="804" spans="1:16" s="619" customFormat="1" ht="36" x14ac:dyDescent="0.2">
      <c r="A804" s="598" t="s">
        <v>1907</v>
      </c>
      <c r="B804" s="620" t="s">
        <v>1908</v>
      </c>
      <c r="C804" s="598" t="s">
        <v>2015</v>
      </c>
      <c r="D804" s="598" t="s">
        <v>3130</v>
      </c>
      <c r="E804" s="621">
        <v>1200</v>
      </c>
      <c r="F804" s="599">
        <v>70129583</v>
      </c>
      <c r="G804" s="598" t="s">
        <v>3132</v>
      </c>
      <c r="H804" s="598" t="s">
        <v>1931</v>
      </c>
      <c r="I804" s="598" t="s">
        <v>1912</v>
      </c>
      <c r="J804" s="617" t="s">
        <v>1931</v>
      </c>
      <c r="K804" s="598"/>
      <c r="L804" s="598"/>
      <c r="M804" s="621"/>
      <c r="N804" s="598">
        <v>4</v>
      </c>
      <c r="O804" s="598">
        <v>6</v>
      </c>
      <c r="P804" s="618">
        <v>7200</v>
      </c>
    </row>
    <row r="805" spans="1:16" s="619" customFormat="1" ht="24" x14ac:dyDescent="0.2">
      <c r="A805" s="598" t="s">
        <v>1907</v>
      </c>
      <c r="B805" s="620" t="s">
        <v>1908</v>
      </c>
      <c r="C805" s="598" t="s">
        <v>2015</v>
      </c>
      <c r="D805" s="598" t="s">
        <v>3130</v>
      </c>
      <c r="E805" s="621">
        <v>4000</v>
      </c>
      <c r="F805" s="599">
        <v>17442279</v>
      </c>
      <c r="G805" s="598" t="s">
        <v>3133</v>
      </c>
      <c r="H805" s="598" t="s">
        <v>1911</v>
      </c>
      <c r="I805" s="598" t="s">
        <v>1912</v>
      </c>
      <c r="J805" s="617" t="s">
        <v>1913</v>
      </c>
      <c r="K805" s="598"/>
      <c r="L805" s="598"/>
      <c r="M805" s="621"/>
      <c r="N805" s="598">
        <v>4</v>
      </c>
      <c r="O805" s="598">
        <v>6</v>
      </c>
      <c r="P805" s="618">
        <v>24000</v>
      </c>
    </row>
    <row r="806" spans="1:16" s="619" customFormat="1" ht="36" x14ac:dyDescent="0.2">
      <c r="A806" s="598" t="s">
        <v>1907</v>
      </c>
      <c r="B806" s="620" t="s">
        <v>1908</v>
      </c>
      <c r="C806" s="598" t="s">
        <v>2015</v>
      </c>
      <c r="D806" s="598" t="s">
        <v>3130</v>
      </c>
      <c r="E806" s="621">
        <v>4000</v>
      </c>
      <c r="F806" s="599">
        <v>17442279</v>
      </c>
      <c r="G806" s="598" t="s">
        <v>3134</v>
      </c>
      <c r="H806" s="598" t="s">
        <v>1911</v>
      </c>
      <c r="I806" s="598" t="s">
        <v>1912</v>
      </c>
      <c r="J806" s="617" t="s">
        <v>1913</v>
      </c>
      <c r="K806" s="598"/>
      <c r="L806" s="598"/>
      <c r="M806" s="621"/>
      <c r="N806" s="598">
        <v>3</v>
      </c>
      <c r="O806" s="598">
        <v>5</v>
      </c>
      <c r="P806" s="618">
        <v>20000</v>
      </c>
    </row>
    <row r="807" spans="1:16" s="619" customFormat="1" ht="36" x14ac:dyDescent="0.2">
      <c r="A807" s="598" t="s">
        <v>1907</v>
      </c>
      <c r="B807" s="620" t="s">
        <v>1908</v>
      </c>
      <c r="C807" s="598" t="s">
        <v>2015</v>
      </c>
      <c r="D807" s="598" t="s">
        <v>3135</v>
      </c>
      <c r="E807" s="621">
        <v>2200</v>
      </c>
      <c r="F807" s="599">
        <v>46907191</v>
      </c>
      <c r="G807" s="598" t="s">
        <v>3136</v>
      </c>
      <c r="H807" s="598" t="s">
        <v>3137</v>
      </c>
      <c r="I807" s="598" t="s">
        <v>1912</v>
      </c>
      <c r="J807" s="617" t="s">
        <v>1913</v>
      </c>
      <c r="K807" s="598"/>
      <c r="L807" s="598"/>
      <c r="M807" s="621"/>
      <c r="N807" s="598">
        <v>4</v>
      </c>
      <c r="O807" s="598">
        <v>6</v>
      </c>
      <c r="P807" s="618">
        <v>13200</v>
      </c>
    </row>
    <row r="808" spans="1:16" s="619" customFormat="1" ht="24" x14ac:dyDescent="0.2">
      <c r="A808" s="598" t="s">
        <v>1907</v>
      </c>
      <c r="B808" s="620" t="s">
        <v>1908</v>
      </c>
      <c r="C808" s="598" t="s">
        <v>2015</v>
      </c>
      <c r="D808" s="598" t="s">
        <v>3135</v>
      </c>
      <c r="E808" s="621">
        <v>2200</v>
      </c>
      <c r="F808" s="599">
        <v>72843196</v>
      </c>
      <c r="G808" s="598" t="s">
        <v>3138</v>
      </c>
      <c r="H808" s="598" t="s">
        <v>3137</v>
      </c>
      <c r="I808" s="598" t="s">
        <v>1912</v>
      </c>
      <c r="J808" s="617" t="s">
        <v>1913</v>
      </c>
      <c r="K808" s="598"/>
      <c r="L808" s="598"/>
      <c r="M808" s="621"/>
      <c r="N808" s="598">
        <v>1</v>
      </c>
      <c r="O808" s="598">
        <v>1</v>
      </c>
      <c r="P808" s="618">
        <v>2200</v>
      </c>
    </row>
    <row r="809" spans="1:16" s="619" customFormat="1" ht="48" x14ac:dyDescent="0.2">
      <c r="A809" s="598" t="s">
        <v>1907</v>
      </c>
      <c r="B809" s="620" t="s">
        <v>1908</v>
      </c>
      <c r="C809" s="598" t="s">
        <v>2015</v>
      </c>
      <c r="D809" s="598" t="s">
        <v>3135</v>
      </c>
      <c r="E809" s="621">
        <v>2800</v>
      </c>
      <c r="F809" s="599">
        <v>73059323</v>
      </c>
      <c r="G809" s="598" t="s">
        <v>3139</v>
      </c>
      <c r="H809" s="598" t="s">
        <v>3137</v>
      </c>
      <c r="I809" s="598" t="s">
        <v>1912</v>
      </c>
      <c r="J809" s="617" t="s">
        <v>1913</v>
      </c>
      <c r="K809" s="598"/>
      <c r="L809" s="598"/>
      <c r="M809" s="621"/>
      <c r="N809" s="598">
        <v>3</v>
      </c>
      <c r="O809" s="598">
        <v>3</v>
      </c>
      <c r="P809" s="618">
        <v>8400</v>
      </c>
    </row>
    <row r="810" spans="1:16" s="619" customFormat="1" ht="36" x14ac:dyDescent="0.2">
      <c r="A810" s="598" t="s">
        <v>1907</v>
      </c>
      <c r="B810" s="620" t="s">
        <v>1908</v>
      </c>
      <c r="C810" s="598" t="s">
        <v>2015</v>
      </c>
      <c r="D810" s="598" t="s">
        <v>3140</v>
      </c>
      <c r="E810" s="621">
        <v>1200</v>
      </c>
      <c r="F810" s="599">
        <v>71707192</v>
      </c>
      <c r="G810" s="598" t="s">
        <v>3141</v>
      </c>
      <c r="H810" s="598" t="s">
        <v>3022</v>
      </c>
      <c r="I810" s="598" t="s">
        <v>1912</v>
      </c>
      <c r="J810" s="617" t="s">
        <v>1913</v>
      </c>
      <c r="K810" s="598"/>
      <c r="L810" s="598"/>
      <c r="M810" s="621"/>
      <c r="N810" s="598">
        <v>4</v>
      </c>
      <c r="O810" s="598">
        <v>6</v>
      </c>
      <c r="P810" s="618">
        <v>7200</v>
      </c>
    </row>
    <row r="811" spans="1:16" s="619" customFormat="1" ht="36" x14ac:dyDescent="0.2">
      <c r="A811" s="598" t="s">
        <v>1907</v>
      </c>
      <c r="B811" s="620" t="s">
        <v>1908</v>
      </c>
      <c r="C811" s="598" t="s">
        <v>2015</v>
      </c>
      <c r="D811" s="598" t="s">
        <v>3140</v>
      </c>
      <c r="E811" s="621">
        <v>3000</v>
      </c>
      <c r="F811" s="599">
        <v>42839208</v>
      </c>
      <c r="G811" s="598" t="s">
        <v>3142</v>
      </c>
      <c r="H811" s="598" t="s">
        <v>1911</v>
      </c>
      <c r="I811" s="598" t="s">
        <v>1912</v>
      </c>
      <c r="J811" s="617" t="s">
        <v>1913</v>
      </c>
      <c r="K811" s="598"/>
      <c r="L811" s="598"/>
      <c r="M811" s="621"/>
      <c r="N811" s="598">
        <v>2</v>
      </c>
      <c r="O811" s="598">
        <v>3</v>
      </c>
      <c r="P811" s="618">
        <v>9000</v>
      </c>
    </row>
    <row r="812" spans="1:16" s="619" customFormat="1" ht="24" x14ac:dyDescent="0.2">
      <c r="A812" s="598" t="s">
        <v>1907</v>
      </c>
      <c r="B812" s="620" t="s">
        <v>1908</v>
      </c>
      <c r="C812" s="598" t="s">
        <v>2015</v>
      </c>
      <c r="D812" s="598" t="s">
        <v>3140</v>
      </c>
      <c r="E812" s="621">
        <v>3500</v>
      </c>
      <c r="F812" s="599">
        <v>72468290</v>
      </c>
      <c r="G812" s="598" t="s">
        <v>3143</v>
      </c>
      <c r="H812" s="598" t="s">
        <v>2921</v>
      </c>
      <c r="I812" s="598" t="s">
        <v>1912</v>
      </c>
      <c r="J812" s="617" t="s">
        <v>1913</v>
      </c>
      <c r="K812" s="598"/>
      <c r="L812" s="598"/>
      <c r="M812" s="621"/>
      <c r="N812" s="598">
        <v>2</v>
      </c>
      <c r="O812" s="598">
        <v>3</v>
      </c>
      <c r="P812" s="618">
        <v>10500</v>
      </c>
    </row>
    <row r="813" spans="1:16" s="619" customFormat="1" ht="36" x14ac:dyDescent="0.2">
      <c r="A813" s="598" t="s">
        <v>1907</v>
      </c>
      <c r="B813" s="620" t="s">
        <v>1908</v>
      </c>
      <c r="C813" s="598" t="s">
        <v>2015</v>
      </c>
      <c r="D813" s="598" t="s">
        <v>3140</v>
      </c>
      <c r="E813" s="621">
        <v>3000</v>
      </c>
      <c r="F813" s="599">
        <v>44371620</v>
      </c>
      <c r="G813" s="598" t="s">
        <v>3144</v>
      </c>
      <c r="H813" s="598" t="s">
        <v>2979</v>
      </c>
      <c r="I813" s="598" t="s">
        <v>1912</v>
      </c>
      <c r="J813" s="617" t="s">
        <v>1913</v>
      </c>
      <c r="K813" s="598"/>
      <c r="L813" s="598"/>
      <c r="M813" s="621"/>
      <c r="N813" s="598">
        <v>2</v>
      </c>
      <c r="O813" s="598">
        <v>3</v>
      </c>
      <c r="P813" s="618">
        <v>9000</v>
      </c>
    </row>
    <row r="814" spans="1:16" s="619" customFormat="1" ht="24" x14ac:dyDescent="0.2">
      <c r="A814" s="598" t="s">
        <v>1907</v>
      </c>
      <c r="B814" s="620" t="s">
        <v>1908</v>
      </c>
      <c r="C814" s="598" t="s">
        <v>2015</v>
      </c>
      <c r="D814" s="598" t="s">
        <v>3140</v>
      </c>
      <c r="E814" s="621">
        <v>2500</v>
      </c>
      <c r="F814" s="599">
        <v>70562105</v>
      </c>
      <c r="G814" s="598" t="s">
        <v>3145</v>
      </c>
      <c r="H814" s="598" t="s">
        <v>2946</v>
      </c>
      <c r="I814" s="598" t="s">
        <v>1912</v>
      </c>
      <c r="J814" s="617" t="s">
        <v>1913</v>
      </c>
      <c r="K814" s="598"/>
      <c r="L814" s="598"/>
      <c r="M814" s="621"/>
      <c r="N814" s="598">
        <v>2</v>
      </c>
      <c r="O814" s="598">
        <v>3</v>
      </c>
      <c r="P814" s="618">
        <v>7500</v>
      </c>
    </row>
    <row r="815" spans="1:16" s="619" customFormat="1" ht="36" x14ac:dyDescent="0.2">
      <c r="A815" s="598" t="s">
        <v>1907</v>
      </c>
      <c r="B815" s="620" t="s">
        <v>1908</v>
      </c>
      <c r="C815" s="598" t="s">
        <v>2015</v>
      </c>
      <c r="D815" s="598" t="s">
        <v>3140</v>
      </c>
      <c r="E815" s="621">
        <v>4000</v>
      </c>
      <c r="F815" s="599">
        <v>72368310</v>
      </c>
      <c r="G815" s="598" t="s">
        <v>3146</v>
      </c>
      <c r="H815" s="598" t="s">
        <v>2921</v>
      </c>
      <c r="I815" s="598" t="s">
        <v>1912</v>
      </c>
      <c r="J815" s="617" t="s">
        <v>1913</v>
      </c>
      <c r="K815" s="598"/>
      <c r="L815" s="598"/>
      <c r="M815" s="621"/>
      <c r="N815" s="598">
        <v>1</v>
      </c>
      <c r="O815" s="598">
        <v>2</v>
      </c>
      <c r="P815" s="618">
        <v>8000</v>
      </c>
    </row>
    <row r="816" spans="1:16" s="619" customFormat="1" ht="48" x14ac:dyDescent="0.2">
      <c r="A816" s="598" t="s">
        <v>1907</v>
      </c>
      <c r="B816" s="620" t="s">
        <v>2032</v>
      </c>
      <c r="C816" s="598" t="s">
        <v>2015</v>
      </c>
      <c r="D816" s="598" t="s">
        <v>3147</v>
      </c>
      <c r="E816" s="621">
        <v>3000</v>
      </c>
      <c r="F816" s="599">
        <v>47532936</v>
      </c>
      <c r="G816" s="598" t="s">
        <v>3148</v>
      </c>
      <c r="H816" s="598" t="s">
        <v>3149</v>
      </c>
      <c r="I816" s="598" t="s">
        <v>1912</v>
      </c>
      <c r="J816" s="617" t="s">
        <v>1913</v>
      </c>
      <c r="K816" s="598"/>
      <c r="L816" s="598"/>
      <c r="M816" s="621"/>
      <c r="N816" s="598">
        <v>4</v>
      </c>
      <c r="O816" s="598">
        <v>6</v>
      </c>
      <c r="P816" s="618">
        <v>18000</v>
      </c>
    </row>
    <row r="817" spans="1:16" s="619" customFormat="1" ht="36" x14ac:dyDescent="0.2">
      <c r="A817" s="598" t="s">
        <v>1907</v>
      </c>
      <c r="B817" s="620" t="s">
        <v>1908</v>
      </c>
      <c r="C817" s="598" t="s">
        <v>2015</v>
      </c>
      <c r="D817" s="598" t="s">
        <v>3147</v>
      </c>
      <c r="E817" s="621">
        <v>2000</v>
      </c>
      <c r="F817" s="599">
        <v>70114282</v>
      </c>
      <c r="G817" s="598" t="s">
        <v>3150</v>
      </c>
      <c r="H817" s="598" t="s">
        <v>3151</v>
      </c>
      <c r="I817" s="598" t="s">
        <v>1912</v>
      </c>
      <c r="J817" s="617" t="s">
        <v>1913</v>
      </c>
      <c r="K817" s="598"/>
      <c r="L817" s="598"/>
      <c r="M817" s="621"/>
      <c r="N817" s="598">
        <v>4</v>
      </c>
      <c r="O817" s="598">
        <v>6</v>
      </c>
      <c r="P817" s="618">
        <v>12000</v>
      </c>
    </row>
    <row r="818" spans="1:16" s="619" customFormat="1" ht="36" x14ac:dyDescent="0.2">
      <c r="A818" s="598" t="s">
        <v>1907</v>
      </c>
      <c r="B818" s="620" t="s">
        <v>1908</v>
      </c>
      <c r="C818" s="598" t="s">
        <v>2015</v>
      </c>
      <c r="D818" s="598" t="s">
        <v>3147</v>
      </c>
      <c r="E818" s="621">
        <v>5000</v>
      </c>
      <c r="F818" s="599">
        <v>41433513</v>
      </c>
      <c r="G818" s="598" t="s">
        <v>3152</v>
      </c>
      <c r="H818" s="598" t="s">
        <v>2921</v>
      </c>
      <c r="I818" s="598" t="s">
        <v>1912</v>
      </c>
      <c r="J818" s="617" t="s">
        <v>1913</v>
      </c>
      <c r="K818" s="598"/>
      <c r="L818" s="598"/>
      <c r="M818" s="621"/>
      <c r="N818" s="598">
        <v>4</v>
      </c>
      <c r="O818" s="598">
        <v>6</v>
      </c>
      <c r="P818" s="618">
        <v>30000</v>
      </c>
    </row>
    <row r="819" spans="1:16" s="619" customFormat="1" ht="36" x14ac:dyDescent="0.2">
      <c r="A819" s="598" t="s">
        <v>1907</v>
      </c>
      <c r="B819" s="620" t="s">
        <v>1908</v>
      </c>
      <c r="C819" s="598" t="s">
        <v>2015</v>
      </c>
      <c r="D819" s="598" t="s">
        <v>3147</v>
      </c>
      <c r="E819" s="621">
        <v>1200</v>
      </c>
      <c r="F819" s="599">
        <v>77425437</v>
      </c>
      <c r="G819" s="598" t="s">
        <v>3153</v>
      </c>
      <c r="H819" s="598" t="s">
        <v>2992</v>
      </c>
      <c r="I819" s="598"/>
      <c r="J819" s="617"/>
      <c r="K819" s="598"/>
      <c r="L819" s="598"/>
      <c r="M819" s="621"/>
      <c r="N819" s="598">
        <v>4</v>
      </c>
      <c r="O819" s="598">
        <v>6</v>
      </c>
      <c r="P819" s="618">
        <v>7200</v>
      </c>
    </row>
    <row r="820" spans="1:16" s="619" customFormat="1" ht="48" x14ac:dyDescent="0.2">
      <c r="A820" s="598" t="s">
        <v>1907</v>
      </c>
      <c r="B820" s="620" t="s">
        <v>1908</v>
      </c>
      <c r="C820" s="598" t="s">
        <v>2015</v>
      </c>
      <c r="D820" s="598" t="s">
        <v>3154</v>
      </c>
      <c r="E820" s="621">
        <v>1200</v>
      </c>
      <c r="F820" s="599">
        <v>33407685</v>
      </c>
      <c r="G820" s="598" t="s">
        <v>3155</v>
      </c>
      <c r="H820" s="598" t="s">
        <v>1919</v>
      </c>
      <c r="I820" s="598"/>
      <c r="J820" s="617"/>
      <c r="K820" s="598"/>
      <c r="L820" s="598"/>
      <c r="M820" s="621"/>
      <c r="N820" s="598">
        <v>4</v>
      </c>
      <c r="O820" s="598">
        <v>6</v>
      </c>
      <c r="P820" s="618">
        <v>7200</v>
      </c>
    </row>
    <row r="821" spans="1:16" s="619" customFormat="1" ht="24" x14ac:dyDescent="0.2">
      <c r="A821" s="598" t="s">
        <v>1907</v>
      </c>
      <c r="B821" s="620" t="s">
        <v>1908</v>
      </c>
      <c r="C821" s="598" t="s">
        <v>2015</v>
      </c>
      <c r="D821" s="598" t="s">
        <v>3156</v>
      </c>
      <c r="E821" s="621">
        <v>1400</v>
      </c>
      <c r="F821" s="599">
        <v>40877939</v>
      </c>
      <c r="G821" s="598" t="s">
        <v>3157</v>
      </c>
      <c r="H821" s="598" t="s">
        <v>1931</v>
      </c>
      <c r="I821" s="598" t="s">
        <v>1912</v>
      </c>
      <c r="J821" s="617" t="s">
        <v>1931</v>
      </c>
      <c r="K821" s="598"/>
      <c r="L821" s="598"/>
      <c r="M821" s="621"/>
      <c r="N821" s="598">
        <v>4</v>
      </c>
      <c r="O821" s="598">
        <v>6</v>
      </c>
      <c r="P821" s="618">
        <v>8400</v>
      </c>
    </row>
    <row r="822" spans="1:16" s="619" customFormat="1" ht="36" x14ac:dyDescent="0.2">
      <c r="A822" s="598" t="s">
        <v>1907</v>
      </c>
      <c r="B822" s="620" t="s">
        <v>1908</v>
      </c>
      <c r="C822" s="598" t="s">
        <v>2015</v>
      </c>
      <c r="D822" s="598" t="s">
        <v>3156</v>
      </c>
      <c r="E822" s="621">
        <v>3500</v>
      </c>
      <c r="F822" s="599">
        <v>45392869</v>
      </c>
      <c r="G822" s="598" t="s">
        <v>3158</v>
      </c>
      <c r="H822" s="598" t="s">
        <v>1416</v>
      </c>
      <c r="I822" s="598" t="s">
        <v>1912</v>
      </c>
      <c r="J822" s="617" t="s">
        <v>1913</v>
      </c>
      <c r="K822" s="598"/>
      <c r="L822" s="598"/>
      <c r="M822" s="621"/>
      <c r="N822" s="598">
        <v>2</v>
      </c>
      <c r="O822" s="598">
        <v>3</v>
      </c>
      <c r="P822" s="618">
        <v>10500</v>
      </c>
    </row>
    <row r="823" spans="1:16" s="619" customFormat="1" ht="36" x14ac:dyDescent="0.2">
      <c r="A823" s="598" t="s">
        <v>1907</v>
      </c>
      <c r="B823" s="620" t="s">
        <v>1908</v>
      </c>
      <c r="C823" s="598" t="s">
        <v>2015</v>
      </c>
      <c r="D823" s="598" t="s">
        <v>3159</v>
      </c>
      <c r="E823" s="621">
        <v>1000</v>
      </c>
      <c r="F823" s="599" t="s">
        <v>2526</v>
      </c>
      <c r="G823" s="598" t="s">
        <v>3160</v>
      </c>
      <c r="H823" s="598" t="s">
        <v>1919</v>
      </c>
      <c r="I823" s="598"/>
      <c r="J823" s="617"/>
      <c r="K823" s="598"/>
      <c r="L823" s="598"/>
      <c r="M823" s="621"/>
      <c r="N823" s="598">
        <v>3</v>
      </c>
      <c r="O823" s="598">
        <v>5</v>
      </c>
      <c r="P823" s="618">
        <v>5000</v>
      </c>
    </row>
    <row r="824" spans="1:16" s="619" customFormat="1" ht="24" x14ac:dyDescent="0.2">
      <c r="A824" s="598" t="s">
        <v>1907</v>
      </c>
      <c r="B824" s="620" t="s">
        <v>1908</v>
      </c>
      <c r="C824" s="598" t="s">
        <v>2015</v>
      </c>
      <c r="D824" s="598" t="s">
        <v>3159</v>
      </c>
      <c r="E824" s="621">
        <v>1000</v>
      </c>
      <c r="F824" s="599">
        <v>44598565</v>
      </c>
      <c r="G824" s="598" t="s">
        <v>3161</v>
      </c>
      <c r="H824" s="598" t="s">
        <v>3162</v>
      </c>
      <c r="I824" s="598" t="s">
        <v>1912</v>
      </c>
      <c r="J824" s="617" t="s">
        <v>1931</v>
      </c>
      <c r="K824" s="598"/>
      <c r="L824" s="598"/>
      <c r="M824" s="621"/>
      <c r="N824" s="598">
        <v>3</v>
      </c>
      <c r="O824" s="598">
        <v>5</v>
      </c>
      <c r="P824" s="618">
        <v>5000</v>
      </c>
    </row>
    <row r="825" spans="1:16" s="619" customFormat="1" ht="36" x14ac:dyDescent="0.2">
      <c r="A825" s="598" t="s">
        <v>1907</v>
      </c>
      <c r="B825" s="620" t="s">
        <v>1908</v>
      </c>
      <c r="C825" s="598" t="s">
        <v>2015</v>
      </c>
      <c r="D825" s="598" t="s">
        <v>3159</v>
      </c>
      <c r="E825" s="621">
        <v>2200</v>
      </c>
      <c r="F825" s="599">
        <v>33940145</v>
      </c>
      <c r="G825" s="598" t="s">
        <v>3163</v>
      </c>
      <c r="H825" s="598" t="s">
        <v>2944</v>
      </c>
      <c r="I825" s="598" t="s">
        <v>1912</v>
      </c>
      <c r="J825" s="617" t="s">
        <v>1913</v>
      </c>
      <c r="K825" s="598"/>
      <c r="L825" s="598"/>
      <c r="M825" s="621"/>
      <c r="N825" s="598">
        <v>2</v>
      </c>
      <c r="O825" s="598">
        <v>4</v>
      </c>
      <c r="P825" s="618">
        <v>8800</v>
      </c>
    </row>
    <row r="826" spans="1:16" s="619" customFormat="1" ht="24" x14ac:dyDescent="0.2">
      <c r="A826" s="598" t="s">
        <v>1907</v>
      </c>
      <c r="B826" s="620" t="s">
        <v>1908</v>
      </c>
      <c r="C826" s="598" t="s">
        <v>2015</v>
      </c>
      <c r="D826" s="598" t="s">
        <v>3164</v>
      </c>
      <c r="E826" s="621">
        <v>4000</v>
      </c>
      <c r="F826" s="599"/>
      <c r="G826" s="598" t="s">
        <v>3165</v>
      </c>
      <c r="H826" s="598" t="s">
        <v>1911</v>
      </c>
      <c r="I826" s="598" t="s">
        <v>1912</v>
      </c>
      <c r="J826" s="617" t="s">
        <v>1913</v>
      </c>
      <c r="K826" s="598"/>
      <c r="L826" s="598"/>
      <c r="M826" s="621"/>
      <c r="N826" s="598">
        <v>4</v>
      </c>
      <c r="O826" s="598">
        <v>6</v>
      </c>
      <c r="P826" s="618">
        <v>24000</v>
      </c>
    </row>
    <row r="827" spans="1:16" s="619" customFormat="1" ht="36" x14ac:dyDescent="0.2">
      <c r="A827" s="598" t="s">
        <v>1907</v>
      </c>
      <c r="B827" s="620" t="s">
        <v>2032</v>
      </c>
      <c r="C827" s="598" t="s">
        <v>2015</v>
      </c>
      <c r="D827" s="598" t="s">
        <v>3164</v>
      </c>
      <c r="E827" s="621">
        <v>1900</v>
      </c>
      <c r="F827" s="599">
        <v>42178309</v>
      </c>
      <c r="G827" s="598" t="s">
        <v>3166</v>
      </c>
      <c r="H827" s="598" t="s">
        <v>2936</v>
      </c>
      <c r="I827" s="598" t="s">
        <v>1912</v>
      </c>
      <c r="J827" s="617" t="s">
        <v>1913</v>
      </c>
      <c r="K827" s="598"/>
      <c r="L827" s="598"/>
      <c r="M827" s="621"/>
      <c r="N827" s="598">
        <v>4</v>
      </c>
      <c r="O827" s="598">
        <v>6</v>
      </c>
      <c r="P827" s="618">
        <v>11400</v>
      </c>
    </row>
    <row r="828" spans="1:16" s="619" customFormat="1" ht="36" x14ac:dyDescent="0.2">
      <c r="A828" s="598" t="s">
        <v>1907</v>
      </c>
      <c r="B828" s="620" t="s">
        <v>1908</v>
      </c>
      <c r="C828" s="598" t="s">
        <v>2015</v>
      </c>
      <c r="D828" s="598" t="s">
        <v>3164</v>
      </c>
      <c r="E828" s="621">
        <v>1500</v>
      </c>
      <c r="F828" s="599"/>
      <c r="G828" s="598" t="s">
        <v>3167</v>
      </c>
      <c r="H828" s="598" t="s">
        <v>3168</v>
      </c>
      <c r="I828" s="598" t="s">
        <v>1912</v>
      </c>
      <c r="J828" s="617" t="s">
        <v>1913</v>
      </c>
      <c r="K828" s="598"/>
      <c r="L828" s="598"/>
      <c r="M828" s="621"/>
      <c r="N828" s="598">
        <v>2</v>
      </c>
      <c r="O828" s="598">
        <v>3</v>
      </c>
      <c r="P828" s="618">
        <v>4500</v>
      </c>
    </row>
    <row r="829" spans="1:16" s="619" customFormat="1" ht="48" x14ac:dyDescent="0.2">
      <c r="A829" s="598" t="s">
        <v>1907</v>
      </c>
      <c r="B829" s="620" t="s">
        <v>1908</v>
      </c>
      <c r="C829" s="598" t="s">
        <v>2015</v>
      </c>
      <c r="D829" s="598" t="s">
        <v>3164</v>
      </c>
      <c r="E829" s="621">
        <v>2500</v>
      </c>
      <c r="F829" s="599"/>
      <c r="G829" s="598" t="s">
        <v>3169</v>
      </c>
      <c r="H829" s="598" t="s">
        <v>2979</v>
      </c>
      <c r="I829" s="598" t="s">
        <v>1912</v>
      </c>
      <c r="J829" s="617" t="s">
        <v>1913</v>
      </c>
      <c r="K829" s="598"/>
      <c r="L829" s="598"/>
      <c r="M829" s="621"/>
      <c r="N829" s="598">
        <v>4</v>
      </c>
      <c r="O829" s="598">
        <v>6</v>
      </c>
      <c r="P829" s="618">
        <v>15000</v>
      </c>
    </row>
    <row r="830" spans="1:16" s="619" customFormat="1" ht="36" x14ac:dyDescent="0.2">
      <c r="A830" s="598" t="s">
        <v>1907</v>
      </c>
      <c r="B830" s="620" t="s">
        <v>2275</v>
      </c>
      <c r="C830" s="598" t="s">
        <v>2015</v>
      </c>
      <c r="D830" s="598" t="s">
        <v>3164</v>
      </c>
      <c r="E830" s="621">
        <v>1200</v>
      </c>
      <c r="F830" s="599">
        <v>70035781</v>
      </c>
      <c r="G830" s="598" t="s">
        <v>3170</v>
      </c>
      <c r="H830" s="598" t="s">
        <v>1931</v>
      </c>
      <c r="I830" s="598" t="s">
        <v>1912</v>
      </c>
      <c r="J830" s="617" t="s">
        <v>1931</v>
      </c>
      <c r="K830" s="598"/>
      <c r="L830" s="598"/>
      <c r="M830" s="621"/>
      <c r="N830" s="598">
        <v>4</v>
      </c>
      <c r="O830" s="598">
        <v>6</v>
      </c>
      <c r="P830" s="618">
        <v>7200</v>
      </c>
    </row>
    <row r="831" spans="1:16" s="619" customFormat="1" ht="36" x14ac:dyDescent="0.2">
      <c r="A831" s="598" t="s">
        <v>1907</v>
      </c>
      <c r="B831" s="620" t="s">
        <v>2275</v>
      </c>
      <c r="C831" s="598" t="s">
        <v>2015</v>
      </c>
      <c r="D831" s="598" t="s">
        <v>3164</v>
      </c>
      <c r="E831" s="621">
        <v>1200</v>
      </c>
      <c r="F831" s="599">
        <v>73693410</v>
      </c>
      <c r="G831" s="598" t="s">
        <v>3171</v>
      </c>
      <c r="H831" s="598" t="s">
        <v>3172</v>
      </c>
      <c r="I831" s="598"/>
      <c r="J831" s="617"/>
      <c r="K831" s="598"/>
      <c r="L831" s="598"/>
      <c r="M831" s="621"/>
      <c r="N831" s="598">
        <v>4</v>
      </c>
      <c r="O831" s="598">
        <v>6</v>
      </c>
      <c r="P831" s="618">
        <v>7200</v>
      </c>
    </row>
    <row r="832" spans="1:16" s="619" customFormat="1" ht="24" x14ac:dyDescent="0.2">
      <c r="A832" s="598" t="s">
        <v>1907</v>
      </c>
      <c r="B832" s="620" t="s">
        <v>1908</v>
      </c>
      <c r="C832" s="598" t="s">
        <v>2015</v>
      </c>
      <c r="D832" s="598" t="s">
        <v>3164</v>
      </c>
      <c r="E832" s="621">
        <v>1000</v>
      </c>
      <c r="F832" s="599">
        <v>80293107</v>
      </c>
      <c r="G832" s="598" t="s">
        <v>3173</v>
      </c>
      <c r="H832" s="598" t="s">
        <v>3174</v>
      </c>
      <c r="I832" s="598"/>
      <c r="J832" s="617"/>
      <c r="K832" s="598"/>
      <c r="L832" s="598"/>
      <c r="M832" s="621"/>
      <c r="N832" s="598">
        <v>4</v>
      </c>
      <c r="O832" s="598">
        <v>6</v>
      </c>
      <c r="P832" s="618">
        <v>6000</v>
      </c>
    </row>
    <row r="833" spans="1:16" s="619" customFormat="1" ht="36" x14ac:dyDescent="0.2">
      <c r="A833" s="598" t="s">
        <v>1907</v>
      </c>
      <c r="B833" s="620" t="s">
        <v>2032</v>
      </c>
      <c r="C833" s="598" t="s">
        <v>2015</v>
      </c>
      <c r="D833" s="598" t="s">
        <v>3164</v>
      </c>
      <c r="E833" s="621">
        <v>2500</v>
      </c>
      <c r="F833" s="599">
        <v>17588805</v>
      </c>
      <c r="G833" s="598" t="s">
        <v>3175</v>
      </c>
      <c r="H833" s="598" t="s">
        <v>3176</v>
      </c>
      <c r="I833" s="598" t="s">
        <v>1912</v>
      </c>
      <c r="J833" s="617" t="s">
        <v>1913</v>
      </c>
      <c r="K833" s="598"/>
      <c r="L833" s="598"/>
      <c r="M833" s="621"/>
      <c r="N833" s="598">
        <v>4</v>
      </c>
      <c r="O833" s="598">
        <v>6</v>
      </c>
      <c r="P833" s="618">
        <v>15000</v>
      </c>
    </row>
    <row r="834" spans="1:16" s="619" customFormat="1" ht="24" x14ac:dyDescent="0.2">
      <c r="A834" s="598" t="s">
        <v>1907</v>
      </c>
      <c r="B834" s="620" t="s">
        <v>2032</v>
      </c>
      <c r="C834" s="598" t="s">
        <v>2015</v>
      </c>
      <c r="D834" s="598" t="s">
        <v>3164</v>
      </c>
      <c r="E834" s="621">
        <v>2500</v>
      </c>
      <c r="F834" s="599">
        <v>44018920</v>
      </c>
      <c r="G834" s="598" t="s">
        <v>3177</v>
      </c>
      <c r="H834" s="598" t="s">
        <v>3178</v>
      </c>
      <c r="I834" s="598" t="s">
        <v>1912</v>
      </c>
      <c r="J834" s="617" t="s">
        <v>1913</v>
      </c>
      <c r="K834" s="598"/>
      <c r="L834" s="598"/>
      <c r="M834" s="621"/>
      <c r="N834" s="598">
        <v>4</v>
      </c>
      <c r="O834" s="598">
        <v>6</v>
      </c>
      <c r="P834" s="618">
        <v>15000</v>
      </c>
    </row>
    <row r="835" spans="1:16" s="619" customFormat="1" ht="48" x14ac:dyDescent="0.2">
      <c r="A835" s="598" t="s">
        <v>1907</v>
      </c>
      <c r="B835" s="620" t="s">
        <v>1908</v>
      </c>
      <c r="C835" s="598" t="s">
        <v>2015</v>
      </c>
      <c r="D835" s="598" t="s">
        <v>3164</v>
      </c>
      <c r="E835" s="621">
        <v>2500</v>
      </c>
      <c r="F835" s="599">
        <v>70035403</v>
      </c>
      <c r="G835" s="598" t="s">
        <v>3179</v>
      </c>
      <c r="H835" s="598" t="s">
        <v>1911</v>
      </c>
      <c r="I835" s="598" t="s">
        <v>1912</v>
      </c>
      <c r="J835" s="617" t="s">
        <v>1913</v>
      </c>
      <c r="K835" s="598"/>
      <c r="L835" s="598"/>
      <c r="M835" s="621"/>
      <c r="N835" s="598">
        <v>3</v>
      </c>
      <c r="O835" s="598">
        <v>5</v>
      </c>
      <c r="P835" s="618">
        <v>12500</v>
      </c>
    </row>
    <row r="836" spans="1:16" s="619" customFormat="1" ht="36" x14ac:dyDescent="0.2">
      <c r="A836" s="598" t="s">
        <v>1907</v>
      </c>
      <c r="B836" s="620" t="s">
        <v>1908</v>
      </c>
      <c r="C836" s="598" t="s">
        <v>2015</v>
      </c>
      <c r="D836" s="598" t="s">
        <v>3164</v>
      </c>
      <c r="E836" s="621">
        <v>1500</v>
      </c>
      <c r="F836" s="599"/>
      <c r="G836" s="598" t="s">
        <v>3180</v>
      </c>
      <c r="H836" s="598"/>
      <c r="I836" s="598"/>
      <c r="J836" s="617"/>
      <c r="K836" s="598"/>
      <c r="L836" s="598"/>
      <c r="M836" s="621"/>
      <c r="N836" s="598">
        <v>3</v>
      </c>
      <c r="O836" s="598">
        <v>5</v>
      </c>
      <c r="P836" s="618">
        <v>7500</v>
      </c>
    </row>
    <row r="837" spans="1:16" s="619" customFormat="1" ht="36" x14ac:dyDescent="0.2">
      <c r="A837" s="598" t="s">
        <v>1907</v>
      </c>
      <c r="B837" s="620" t="s">
        <v>1908</v>
      </c>
      <c r="C837" s="598" t="s">
        <v>2015</v>
      </c>
      <c r="D837" s="598" t="s">
        <v>3181</v>
      </c>
      <c r="E837" s="621">
        <v>1200</v>
      </c>
      <c r="F837" s="599">
        <v>70564189</v>
      </c>
      <c r="G837" s="598" t="s">
        <v>3182</v>
      </c>
      <c r="H837" s="598" t="s">
        <v>2936</v>
      </c>
      <c r="I837" s="598" t="s">
        <v>1912</v>
      </c>
      <c r="J837" s="617" t="s">
        <v>1913</v>
      </c>
      <c r="K837" s="598"/>
      <c r="L837" s="598"/>
      <c r="M837" s="621"/>
      <c r="N837" s="598">
        <v>3</v>
      </c>
      <c r="O837" s="598">
        <v>5</v>
      </c>
      <c r="P837" s="618">
        <v>6000</v>
      </c>
    </row>
    <row r="838" spans="1:16" s="619" customFormat="1" ht="36" x14ac:dyDescent="0.2">
      <c r="A838" s="598" t="s">
        <v>1907</v>
      </c>
      <c r="B838" s="620" t="s">
        <v>1908</v>
      </c>
      <c r="C838" s="598" t="s">
        <v>2015</v>
      </c>
      <c r="D838" s="598" t="s">
        <v>3181</v>
      </c>
      <c r="E838" s="621">
        <v>1900</v>
      </c>
      <c r="F838" s="599" t="s">
        <v>2498</v>
      </c>
      <c r="G838" s="598" t="s">
        <v>3183</v>
      </c>
      <c r="H838" s="598" t="s">
        <v>2946</v>
      </c>
      <c r="I838" s="598" t="s">
        <v>1912</v>
      </c>
      <c r="J838" s="617" t="s">
        <v>1913</v>
      </c>
      <c r="K838" s="598"/>
      <c r="L838" s="598"/>
      <c r="M838" s="621"/>
      <c r="N838" s="598">
        <v>3</v>
      </c>
      <c r="O838" s="598">
        <v>5</v>
      </c>
      <c r="P838" s="618">
        <v>9500</v>
      </c>
    </row>
    <row r="839" spans="1:16" s="619" customFormat="1" ht="48" x14ac:dyDescent="0.2">
      <c r="A839" s="598" t="s">
        <v>1907</v>
      </c>
      <c r="B839" s="620" t="s">
        <v>1908</v>
      </c>
      <c r="C839" s="598" t="s">
        <v>2015</v>
      </c>
      <c r="D839" s="598" t="s">
        <v>3181</v>
      </c>
      <c r="E839" s="621">
        <v>1000</v>
      </c>
      <c r="F839" s="599">
        <v>71718148</v>
      </c>
      <c r="G839" s="598" t="s">
        <v>3184</v>
      </c>
      <c r="H839" s="598" t="s">
        <v>2971</v>
      </c>
      <c r="I839" s="598"/>
      <c r="J839" s="617"/>
      <c r="K839" s="598"/>
      <c r="L839" s="598"/>
      <c r="M839" s="621"/>
      <c r="N839" s="598">
        <v>3</v>
      </c>
      <c r="O839" s="598">
        <v>5</v>
      </c>
      <c r="P839" s="618">
        <v>5000</v>
      </c>
    </row>
    <row r="840" spans="1:16" s="619" customFormat="1" ht="36" x14ac:dyDescent="0.2">
      <c r="A840" s="598" t="s">
        <v>1907</v>
      </c>
      <c r="B840" s="620" t="s">
        <v>1908</v>
      </c>
      <c r="C840" s="598" t="s">
        <v>2015</v>
      </c>
      <c r="D840" s="598" t="s">
        <v>3181</v>
      </c>
      <c r="E840" s="621">
        <v>1300</v>
      </c>
      <c r="F840" s="599">
        <v>43911204</v>
      </c>
      <c r="G840" s="598" t="s">
        <v>3185</v>
      </c>
      <c r="H840" s="598" t="s">
        <v>1931</v>
      </c>
      <c r="I840" s="598" t="s">
        <v>1912</v>
      </c>
      <c r="J840" s="617" t="s">
        <v>1931</v>
      </c>
      <c r="K840" s="598"/>
      <c r="L840" s="598"/>
      <c r="M840" s="621"/>
      <c r="N840" s="598">
        <v>2</v>
      </c>
      <c r="O840" s="598">
        <v>4</v>
      </c>
      <c r="P840" s="618">
        <v>5200</v>
      </c>
    </row>
    <row r="841" spans="1:16" s="619" customFormat="1" ht="48" x14ac:dyDescent="0.2">
      <c r="A841" s="598" t="s">
        <v>1907</v>
      </c>
      <c r="B841" s="620" t="s">
        <v>1908</v>
      </c>
      <c r="C841" s="598" t="s">
        <v>2015</v>
      </c>
      <c r="D841" s="598" t="s">
        <v>3181</v>
      </c>
      <c r="E841" s="621">
        <v>1100</v>
      </c>
      <c r="F841" s="599">
        <v>44205148</v>
      </c>
      <c r="G841" s="598" t="s">
        <v>3186</v>
      </c>
      <c r="H841" s="598" t="s">
        <v>1919</v>
      </c>
      <c r="I841" s="598"/>
      <c r="J841" s="617"/>
      <c r="K841" s="598"/>
      <c r="L841" s="598"/>
      <c r="M841" s="621"/>
      <c r="N841" s="598">
        <v>2</v>
      </c>
      <c r="O841" s="598">
        <v>4</v>
      </c>
      <c r="P841" s="618">
        <v>4400</v>
      </c>
    </row>
    <row r="842" spans="1:16" s="619" customFormat="1" ht="36" x14ac:dyDescent="0.2">
      <c r="A842" s="598" t="s">
        <v>1907</v>
      </c>
      <c r="B842" s="620" t="s">
        <v>1908</v>
      </c>
      <c r="C842" s="598" t="s">
        <v>2015</v>
      </c>
      <c r="D842" s="598" t="s">
        <v>3181</v>
      </c>
      <c r="E842" s="621">
        <v>1200</v>
      </c>
      <c r="F842" s="599">
        <v>71338153</v>
      </c>
      <c r="G842" s="598" t="s">
        <v>3187</v>
      </c>
      <c r="H842" s="598" t="s">
        <v>3125</v>
      </c>
      <c r="I842" s="598" t="s">
        <v>1912</v>
      </c>
      <c r="J842" s="617" t="s">
        <v>1931</v>
      </c>
      <c r="K842" s="598"/>
      <c r="L842" s="598"/>
      <c r="M842" s="621"/>
      <c r="N842" s="598">
        <v>1</v>
      </c>
      <c r="O842" s="598">
        <v>1</v>
      </c>
      <c r="P842" s="618">
        <v>1200</v>
      </c>
    </row>
    <row r="843" spans="1:16" s="619" customFormat="1" ht="36" x14ac:dyDescent="0.2">
      <c r="A843" s="598" t="s">
        <v>1907</v>
      </c>
      <c r="B843" s="620" t="s">
        <v>1908</v>
      </c>
      <c r="C843" s="598" t="s">
        <v>2015</v>
      </c>
      <c r="D843" s="598" t="s">
        <v>3188</v>
      </c>
      <c r="E843" s="621">
        <v>3500</v>
      </c>
      <c r="F843" s="599">
        <v>46305017</v>
      </c>
      <c r="G843" s="598" t="s">
        <v>3189</v>
      </c>
      <c r="H843" s="598" t="s">
        <v>2921</v>
      </c>
      <c r="I843" s="598" t="s">
        <v>1912</v>
      </c>
      <c r="J843" s="617" t="s">
        <v>1913</v>
      </c>
      <c r="K843" s="598"/>
      <c r="L843" s="598"/>
      <c r="M843" s="621"/>
      <c r="N843" s="598">
        <v>2</v>
      </c>
      <c r="O843" s="598">
        <v>3</v>
      </c>
      <c r="P843" s="618">
        <v>10500</v>
      </c>
    </row>
    <row r="844" spans="1:16" s="619" customFormat="1" ht="24" x14ac:dyDescent="0.2">
      <c r="A844" s="598" t="s">
        <v>1907</v>
      </c>
      <c r="B844" s="620" t="s">
        <v>1908</v>
      </c>
      <c r="C844" s="598" t="s">
        <v>2015</v>
      </c>
      <c r="D844" s="598" t="s">
        <v>3188</v>
      </c>
      <c r="E844" s="621">
        <v>1800</v>
      </c>
      <c r="F844" s="599">
        <v>40784375</v>
      </c>
      <c r="G844" s="598" t="s">
        <v>3190</v>
      </c>
      <c r="H844" s="598" t="s">
        <v>2834</v>
      </c>
      <c r="I844" s="598"/>
      <c r="J844" s="617"/>
      <c r="K844" s="598"/>
      <c r="L844" s="598"/>
      <c r="M844" s="621"/>
      <c r="N844" s="598">
        <v>4</v>
      </c>
      <c r="O844" s="598">
        <v>6</v>
      </c>
      <c r="P844" s="618">
        <v>10800</v>
      </c>
    </row>
    <row r="845" spans="1:16" s="619" customFormat="1" ht="24" x14ac:dyDescent="0.2">
      <c r="A845" s="598" t="s">
        <v>1907</v>
      </c>
      <c r="B845" s="620" t="s">
        <v>1908</v>
      </c>
      <c r="C845" s="598" t="s">
        <v>2015</v>
      </c>
      <c r="D845" s="598" t="s">
        <v>3188</v>
      </c>
      <c r="E845" s="621">
        <v>2800</v>
      </c>
      <c r="F845" s="599"/>
      <c r="G845" s="598" t="s">
        <v>3191</v>
      </c>
      <c r="H845" s="598" t="s">
        <v>2921</v>
      </c>
      <c r="I845" s="598" t="s">
        <v>1912</v>
      </c>
      <c r="J845" s="617" t="s">
        <v>1913</v>
      </c>
      <c r="K845" s="598"/>
      <c r="L845" s="598"/>
      <c r="M845" s="621"/>
      <c r="N845" s="598">
        <v>2</v>
      </c>
      <c r="O845" s="598">
        <v>3</v>
      </c>
      <c r="P845" s="618">
        <v>8400</v>
      </c>
    </row>
    <row r="846" spans="1:16" s="619" customFormat="1" ht="36" x14ac:dyDescent="0.2">
      <c r="A846" s="598" t="s">
        <v>1907</v>
      </c>
      <c r="B846" s="620" t="s">
        <v>1908</v>
      </c>
      <c r="C846" s="598" t="s">
        <v>2015</v>
      </c>
      <c r="D846" s="598" t="s">
        <v>3188</v>
      </c>
      <c r="E846" s="621">
        <v>2100</v>
      </c>
      <c r="F846" s="599"/>
      <c r="G846" s="598" t="s">
        <v>3192</v>
      </c>
      <c r="H846" s="598" t="s">
        <v>2921</v>
      </c>
      <c r="I846" s="598" t="s">
        <v>1912</v>
      </c>
      <c r="J846" s="617" t="s">
        <v>1913</v>
      </c>
      <c r="K846" s="598"/>
      <c r="L846" s="598"/>
      <c r="M846" s="621"/>
      <c r="N846" s="598">
        <v>2</v>
      </c>
      <c r="O846" s="598">
        <v>3</v>
      </c>
      <c r="P846" s="618">
        <v>6300</v>
      </c>
    </row>
    <row r="847" spans="1:16" s="619" customFormat="1" ht="24" x14ac:dyDescent="0.2">
      <c r="A847" s="598" t="s">
        <v>1907</v>
      </c>
      <c r="B847" s="620" t="s">
        <v>1908</v>
      </c>
      <c r="C847" s="598" t="s">
        <v>2015</v>
      </c>
      <c r="D847" s="598" t="s">
        <v>3188</v>
      </c>
      <c r="E847" s="621">
        <v>2000</v>
      </c>
      <c r="F847" s="599">
        <v>48437083</v>
      </c>
      <c r="G847" s="598" t="s">
        <v>3193</v>
      </c>
      <c r="H847" s="598" t="s">
        <v>3009</v>
      </c>
      <c r="I847" s="598" t="s">
        <v>1912</v>
      </c>
      <c r="J847" s="617" t="s">
        <v>1913</v>
      </c>
      <c r="K847" s="598"/>
      <c r="L847" s="598"/>
      <c r="M847" s="621"/>
      <c r="N847" s="598">
        <v>3</v>
      </c>
      <c r="O847" s="598">
        <v>5</v>
      </c>
      <c r="P847" s="618">
        <v>10000</v>
      </c>
    </row>
    <row r="848" spans="1:16" s="619" customFormat="1" ht="36" x14ac:dyDescent="0.2">
      <c r="A848" s="598" t="s">
        <v>1907</v>
      </c>
      <c r="B848" s="620" t="s">
        <v>1908</v>
      </c>
      <c r="C848" s="598" t="s">
        <v>2015</v>
      </c>
      <c r="D848" s="598" t="s">
        <v>3188</v>
      </c>
      <c r="E848" s="621">
        <v>2500</v>
      </c>
      <c r="F848" s="599"/>
      <c r="G848" s="598" t="s">
        <v>3194</v>
      </c>
      <c r="H848" s="598" t="s">
        <v>2921</v>
      </c>
      <c r="I848" s="598" t="s">
        <v>1912</v>
      </c>
      <c r="J848" s="617" t="s">
        <v>1913</v>
      </c>
      <c r="K848" s="598"/>
      <c r="L848" s="598"/>
      <c r="M848" s="621"/>
      <c r="N848" s="598">
        <v>2</v>
      </c>
      <c r="O848" s="598">
        <v>3</v>
      </c>
      <c r="P848" s="618">
        <v>7500</v>
      </c>
    </row>
    <row r="849" spans="1:16" s="619" customFormat="1" ht="24" x14ac:dyDescent="0.2">
      <c r="A849" s="598" t="s">
        <v>1907</v>
      </c>
      <c r="B849" s="620" t="s">
        <v>1908</v>
      </c>
      <c r="C849" s="598" t="s">
        <v>2015</v>
      </c>
      <c r="D849" s="598" t="s">
        <v>3188</v>
      </c>
      <c r="E849" s="621">
        <v>2500</v>
      </c>
      <c r="F849" s="599">
        <v>70525463</v>
      </c>
      <c r="G849" s="598" t="s">
        <v>3195</v>
      </c>
      <c r="H849" s="598" t="s">
        <v>2921</v>
      </c>
      <c r="I849" s="598" t="s">
        <v>1912</v>
      </c>
      <c r="J849" s="617" t="s">
        <v>1913</v>
      </c>
      <c r="K849" s="598"/>
      <c r="L849" s="598"/>
      <c r="M849" s="621"/>
      <c r="N849" s="598">
        <v>3</v>
      </c>
      <c r="O849" s="598">
        <v>5</v>
      </c>
      <c r="P849" s="618">
        <v>12500</v>
      </c>
    </row>
    <row r="850" spans="1:16" s="619" customFormat="1" ht="36" x14ac:dyDescent="0.2">
      <c r="A850" s="598" t="s">
        <v>1907</v>
      </c>
      <c r="B850" s="620" t="s">
        <v>1908</v>
      </c>
      <c r="C850" s="598" t="s">
        <v>2015</v>
      </c>
      <c r="D850" s="598" t="s">
        <v>3188</v>
      </c>
      <c r="E850" s="621">
        <v>2500</v>
      </c>
      <c r="F850" s="599">
        <v>48352142</v>
      </c>
      <c r="G850" s="598" t="s">
        <v>3196</v>
      </c>
      <c r="H850" s="598"/>
      <c r="I850" s="598"/>
      <c r="J850" s="617"/>
      <c r="K850" s="598"/>
      <c r="L850" s="598"/>
      <c r="M850" s="621"/>
      <c r="N850" s="598">
        <v>1</v>
      </c>
      <c r="O850" s="598">
        <v>2</v>
      </c>
      <c r="P850" s="618">
        <v>5000</v>
      </c>
    </row>
    <row r="851" spans="1:16" s="619" customFormat="1" ht="36" x14ac:dyDescent="0.2">
      <c r="A851" s="598" t="s">
        <v>1907</v>
      </c>
      <c r="B851" s="620" t="s">
        <v>1908</v>
      </c>
      <c r="C851" s="598" t="s">
        <v>2015</v>
      </c>
      <c r="D851" s="598" t="s">
        <v>3188</v>
      </c>
      <c r="E851" s="621">
        <v>3000</v>
      </c>
      <c r="F851" s="599">
        <v>43989074</v>
      </c>
      <c r="G851" s="598" t="s">
        <v>3197</v>
      </c>
      <c r="H851" s="598"/>
      <c r="I851" s="598"/>
      <c r="J851" s="617"/>
      <c r="K851" s="598"/>
      <c r="L851" s="598"/>
      <c r="M851" s="621"/>
      <c r="N851" s="598">
        <v>1</v>
      </c>
      <c r="O851" s="598">
        <v>3</v>
      </c>
      <c r="P851" s="618">
        <v>9000</v>
      </c>
    </row>
    <row r="852" spans="1:16" s="619" customFormat="1" ht="24" x14ac:dyDescent="0.2">
      <c r="A852" s="598" t="s">
        <v>1907</v>
      </c>
      <c r="B852" s="620" t="s">
        <v>1908</v>
      </c>
      <c r="C852" s="598" t="s">
        <v>2015</v>
      </c>
      <c r="D852" s="598" t="s">
        <v>3188</v>
      </c>
      <c r="E852" s="621">
        <v>2000</v>
      </c>
      <c r="F852" s="599">
        <v>47837724</v>
      </c>
      <c r="G852" s="598" t="s">
        <v>3198</v>
      </c>
      <c r="H852" s="598" t="s">
        <v>2979</v>
      </c>
      <c r="I852" s="598" t="s">
        <v>1912</v>
      </c>
      <c r="J852" s="617" t="s">
        <v>1913</v>
      </c>
      <c r="K852" s="598"/>
      <c r="L852" s="598"/>
      <c r="M852" s="621"/>
      <c r="N852" s="598">
        <v>1</v>
      </c>
      <c r="O852" s="598">
        <v>1</v>
      </c>
      <c r="P852" s="618">
        <v>2000</v>
      </c>
    </row>
    <row r="853" spans="1:16" s="619" customFormat="1" ht="24" x14ac:dyDescent="0.2">
      <c r="A853" s="598" t="s">
        <v>1907</v>
      </c>
      <c r="B853" s="620" t="s">
        <v>1908</v>
      </c>
      <c r="C853" s="598" t="s">
        <v>2015</v>
      </c>
      <c r="D853" s="598" t="s">
        <v>3199</v>
      </c>
      <c r="E853" s="621">
        <v>1600</v>
      </c>
      <c r="F853" s="599">
        <v>33405564</v>
      </c>
      <c r="G853" s="598" t="s">
        <v>3200</v>
      </c>
      <c r="H853" s="598" t="s">
        <v>1931</v>
      </c>
      <c r="I853" s="598" t="s">
        <v>1912</v>
      </c>
      <c r="J853" s="617" t="s">
        <v>1931</v>
      </c>
      <c r="K853" s="598"/>
      <c r="L853" s="598"/>
      <c r="M853" s="621"/>
      <c r="N853" s="598">
        <v>4</v>
      </c>
      <c r="O853" s="598">
        <v>6</v>
      </c>
      <c r="P853" s="618">
        <v>9600</v>
      </c>
    </row>
    <row r="854" spans="1:16" s="619" customFormat="1" ht="36" x14ac:dyDescent="0.2">
      <c r="A854" s="598" t="s">
        <v>1907</v>
      </c>
      <c r="B854" s="620" t="s">
        <v>1908</v>
      </c>
      <c r="C854" s="598" t="s">
        <v>2015</v>
      </c>
      <c r="D854" s="598" t="s">
        <v>3199</v>
      </c>
      <c r="E854" s="621">
        <v>4000</v>
      </c>
      <c r="F854" s="599">
        <v>43849309</v>
      </c>
      <c r="G854" s="598" t="s">
        <v>3201</v>
      </c>
      <c r="H854" s="598" t="s">
        <v>2921</v>
      </c>
      <c r="I854" s="598" t="s">
        <v>1912</v>
      </c>
      <c r="J854" s="617" t="s">
        <v>1913</v>
      </c>
      <c r="K854" s="598"/>
      <c r="L854" s="598"/>
      <c r="M854" s="621"/>
      <c r="N854" s="598">
        <v>4</v>
      </c>
      <c r="O854" s="598">
        <v>6</v>
      </c>
      <c r="P854" s="618">
        <v>24000</v>
      </c>
    </row>
    <row r="855" spans="1:16" s="619" customFormat="1" ht="24" x14ac:dyDescent="0.2">
      <c r="A855" s="598" t="s">
        <v>1907</v>
      </c>
      <c r="B855" s="620" t="s">
        <v>1908</v>
      </c>
      <c r="C855" s="598" t="s">
        <v>2015</v>
      </c>
      <c r="D855" s="598" t="s">
        <v>3202</v>
      </c>
      <c r="E855" s="621">
        <v>3500</v>
      </c>
      <c r="F855" s="599">
        <v>40207661</v>
      </c>
      <c r="G855" s="598" t="s">
        <v>3203</v>
      </c>
      <c r="H855" s="598" t="s">
        <v>2232</v>
      </c>
      <c r="I855" s="598" t="s">
        <v>1912</v>
      </c>
      <c r="J855" s="617" t="s">
        <v>1913</v>
      </c>
      <c r="K855" s="598"/>
      <c r="L855" s="598"/>
      <c r="M855" s="621"/>
      <c r="N855" s="598">
        <v>4</v>
      </c>
      <c r="O855" s="598">
        <v>6</v>
      </c>
      <c r="P855" s="618">
        <v>21000</v>
      </c>
    </row>
    <row r="856" spans="1:16" s="619" customFormat="1" ht="24" x14ac:dyDescent="0.2">
      <c r="A856" s="598" t="s">
        <v>1907</v>
      </c>
      <c r="B856" s="620" t="s">
        <v>1908</v>
      </c>
      <c r="C856" s="598" t="s">
        <v>2015</v>
      </c>
      <c r="D856" s="598" t="s">
        <v>3202</v>
      </c>
      <c r="E856" s="621">
        <v>1400</v>
      </c>
      <c r="F856" s="599"/>
      <c r="G856" s="598" t="s">
        <v>3204</v>
      </c>
      <c r="H856" s="598" t="s">
        <v>3117</v>
      </c>
      <c r="I856" s="598" t="s">
        <v>1912</v>
      </c>
      <c r="J856" s="617" t="s">
        <v>1913</v>
      </c>
      <c r="K856" s="598"/>
      <c r="L856" s="598"/>
      <c r="M856" s="621"/>
      <c r="N856" s="598">
        <v>2</v>
      </c>
      <c r="O856" s="598">
        <v>4</v>
      </c>
      <c r="P856" s="618">
        <v>5600</v>
      </c>
    </row>
    <row r="857" spans="1:16" s="619" customFormat="1" ht="36" x14ac:dyDescent="0.2">
      <c r="A857" s="598" t="s">
        <v>1907</v>
      </c>
      <c r="B857" s="620" t="s">
        <v>1908</v>
      </c>
      <c r="C857" s="598" t="s">
        <v>2015</v>
      </c>
      <c r="D857" s="598" t="s">
        <v>3202</v>
      </c>
      <c r="E857" s="621">
        <v>1900</v>
      </c>
      <c r="F857" s="599"/>
      <c r="G857" s="598" t="s">
        <v>3205</v>
      </c>
      <c r="H857" s="598" t="s">
        <v>2939</v>
      </c>
      <c r="I857" s="598" t="s">
        <v>1912</v>
      </c>
      <c r="J857" s="617" t="s">
        <v>1913</v>
      </c>
      <c r="K857" s="598"/>
      <c r="L857" s="598"/>
      <c r="M857" s="621"/>
      <c r="N857" s="598">
        <v>3</v>
      </c>
      <c r="O857" s="598">
        <v>5</v>
      </c>
      <c r="P857" s="618">
        <v>9500</v>
      </c>
    </row>
    <row r="858" spans="1:16" s="619" customFormat="1" ht="36" x14ac:dyDescent="0.2">
      <c r="A858" s="598" t="s">
        <v>1907</v>
      </c>
      <c r="B858" s="620" t="s">
        <v>2275</v>
      </c>
      <c r="C858" s="598" t="s">
        <v>2015</v>
      </c>
      <c r="D858" s="598" t="s">
        <v>3206</v>
      </c>
      <c r="E858" s="621">
        <v>2000</v>
      </c>
      <c r="F858" s="599">
        <v>71088000</v>
      </c>
      <c r="G858" s="598" t="s">
        <v>3207</v>
      </c>
      <c r="H858" s="598" t="s">
        <v>3022</v>
      </c>
      <c r="I858" s="598" t="s">
        <v>1912</v>
      </c>
      <c r="J858" s="617" t="s">
        <v>1913</v>
      </c>
      <c r="K858" s="598"/>
      <c r="L858" s="598"/>
      <c r="M858" s="621"/>
      <c r="N858" s="598">
        <v>4</v>
      </c>
      <c r="O858" s="598">
        <v>6</v>
      </c>
      <c r="P858" s="618">
        <v>12000</v>
      </c>
    </row>
    <row r="859" spans="1:16" s="619" customFormat="1" ht="36" x14ac:dyDescent="0.2">
      <c r="A859" s="598" t="s">
        <v>1907</v>
      </c>
      <c r="B859" s="620" t="s">
        <v>2275</v>
      </c>
      <c r="C859" s="598" t="s">
        <v>2015</v>
      </c>
      <c r="D859" s="598" t="s">
        <v>3206</v>
      </c>
      <c r="E859" s="621">
        <v>1100</v>
      </c>
      <c r="F859" s="599">
        <v>40524444</v>
      </c>
      <c r="G859" s="598" t="s">
        <v>3208</v>
      </c>
      <c r="H859" s="598" t="s">
        <v>1919</v>
      </c>
      <c r="I859" s="598"/>
      <c r="J859" s="617"/>
      <c r="K859" s="598"/>
      <c r="L859" s="598"/>
      <c r="M859" s="621"/>
      <c r="N859" s="598">
        <v>4</v>
      </c>
      <c r="O859" s="598">
        <v>6</v>
      </c>
      <c r="P859" s="618">
        <v>6600</v>
      </c>
    </row>
    <row r="860" spans="1:16" s="619" customFormat="1" ht="36" x14ac:dyDescent="0.2">
      <c r="A860" s="598" t="s">
        <v>1907</v>
      </c>
      <c r="B860" s="620" t="s">
        <v>2032</v>
      </c>
      <c r="C860" s="598" t="s">
        <v>2015</v>
      </c>
      <c r="D860" s="598" t="s">
        <v>3206</v>
      </c>
      <c r="E860" s="621">
        <v>5000</v>
      </c>
      <c r="F860" s="599">
        <v>71872344</v>
      </c>
      <c r="G860" s="598" t="s">
        <v>3209</v>
      </c>
      <c r="H860" s="598" t="s">
        <v>2921</v>
      </c>
      <c r="I860" s="598" t="s">
        <v>1912</v>
      </c>
      <c r="J860" s="617" t="s">
        <v>1913</v>
      </c>
      <c r="K860" s="598"/>
      <c r="L860" s="598"/>
      <c r="M860" s="621"/>
      <c r="N860" s="598">
        <v>4</v>
      </c>
      <c r="O860" s="598">
        <v>6</v>
      </c>
      <c r="P860" s="618">
        <v>30000</v>
      </c>
    </row>
    <row r="861" spans="1:16" s="619" customFormat="1" ht="36" x14ac:dyDescent="0.2">
      <c r="A861" s="598" t="s">
        <v>1907</v>
      </c>
      <c r="B861" s="620" t="s">
        <v>2032</v>
      </c>
      <c r="C861" s="598" t="s">
        <v>2015</v>
      </c>
      <c r="D861" s="598" t="s">
        <v>3206</v>
      </c>
      <c r="E861" s="621">
        <v>5000</v>
      </c>
      <c r="F861" s="599">
        <v>41212722</v>
      </c>
      <c r="G861" s="598" t="s">
        <v>3210</v>
      </c>
      <c r="H861" s="598" t="s">
        <v>2921</v>
      </c>
      <c r="I861" s="598" t="s">
        <v>1912</v>
      </c>
      <c r="J861" s="617" t="s">
        <v>1913</v>
      </c>
      <c r="K861" s="598"/>
      <c r="L861" s="598"/>
      <c r="M861" s="621"/>
      <c r="N861" s="598">
        <v>3</v>
      </c>
      <c r="O861" s="598">
        <v>5</v>
      </c>
      <c r="P861" s="618">
        <v>30000</v>
      </c>
    </row>
    <row r="862" spans="1:16" s="619" customFormat="1" ht="36" x14ac:dyDescent="0.2">
      <c r="A862" s="598" t="s">
        <v>1907</v>
      </c>
      <c r="B862" s="620" t="s">
        <v>2032</v>
      </c>
      <c r="C862" s="598" t="s">
        <v>2015</v>
      </c>
      <c r="D862" s="598" t="s">
        <v>3206</v>
      </c>
      <c r="E862" s="621">
        <v>5000</v>
      </c>
      <c r="F862" s="599">
        <v>46900665</v>
      </c>
      <c r="G862" s="598" t="s">
        <v>3211</v>
      </c>
      <c r="H862" s="598" t="s">
        <v>1911</v>
      </c>
      <c r="I862" s="598" t="s">
        <v>1912</v>
      </c>
      <c r="J862" s="617" t="s">
        <v>1913</v>
      </c>
      <c r="K862" s="598"/>
      <c r="L862" s="598"/>
      <c r="M862" s="621"/>
      <c r="N862" s="598">
        <v>3</v>
      </c>
      <c r="O862" s="598">
        <v>5</v>
      </c>
      <c r="P862" s="618">
        <v>30000</v>
      </c>
    </row>
    <row r="863" spans="1:16" s="619" customFormat="1" ht="36" x14ac:dyDescent="0.2">
      <c r="A863" s="598" t="s">
        <v>1907</v>
      </c>
      <c r="B863" s="620" t="s">
        <v>1908</v>
      </c>
      <c r="C863" s="598" t="s">
        <v>2015</v>
      </c>
      <c r="D863" s="598" t="s">
        <v>3206</v>
      </c>
      <c r="E863" s="621">
        <v>1900</v>
      </c>
      <c r="F863" s="599"/>
      <c r="G863" s="598" t="s">
        <v>3212</v>
      </c>
      <c r="H863" s="598" t="s">
        <v>3022</v>
      </c>
      <c r="I863" s="598" t="s">
        <v>1912</v>
      </c>
      <c r="J863" s="617" t="s">
        <v>1913</v>
      </c>
      <c r="K863" s="598"/>
      <c r="L863" s="598"/>
      <c r="M863" s="621"/>
      <c r="N863" s="598">
        <v>1</v>
      </c>
      <c r="O863" s="598">
        <v>1</v>
      </c>
      <c r="P863" s="618">
        <v>1900</v>
      </c>
    </row>
    <row r="864" spans="1:16" s="619" customFormat="1" ht="36" x14ac:dyDescent="0.2">
      <c r="A864" s="598" t="s">
        <v>1907</v>
      </c>
      <c r="B864" s="620" t="s">
        <v>2275</v>
      </c>
      <c r="C864" s="598" t="s">
        <v>2015</v>
      </c>
      <c r="D864" s="598" t="s">
        <v>3206</v>
      </c>
      <c r="E864" s="621">
        <v>2000</v>
      </c>
      <c r="F864" s="599">
        <v>73071008</v>
      </c>
      <c r="G864" s="598" t="s">
        <v>3213</v>
      </c>
      <c r="H864" s="598" t="s">
        <v>2921</v>
      </c>
      <c r="I864" s="598" t="s">
        <v>1912</v>
      </c>
      <c r="J864" s="617" t="s">
        <v>1913</v>
      </c>
      <c r="K864" s="598"/>
      <c r="L864" s="598"/>
      <c r="M864" s="621"/>
      <c r="N864" s="598">
        <v>4</v>
      </c>
      <c r="O864" s="598">
        <v>6</v>
      </c>
      <c r="P864" s="618">
        <v>12000</v>
      </c>
    </row>
    <row r="865" spans="1:16" s="619" customFormat="1" ht="36" x14ac:dyDescent="0.2">
      <c r="A865" s="598" t="s">
        <v>1907</v>
      </c>
      <c r="B865" s="620" t="s">
        <v>1908</v>
      </c>
      <c r="C865" s="598" t="s">
        <v>2015</v>
      </c>
      <c r="D865" s="598" t="s">
        <v>3206</v>
      </c>
      <c r="E865" s="621">
        <v>1200</v>
      </c>
      <c r="F865" s="599"/>
      <c r="G865" s="598" t="s">
        <v>3214</v>
      </c>
      <c r="H865" s="598" t="s">
        <v>3009</v>
      </c>
      <c r="I865" s="598" t="s">
        <v>1912</v>
      </c>
      <c r="J865" s="617" t="s">
        <v>1913</v>
      </c>
      <c r="K865" s="598"/>
      <c r="L865" s="598"/>
      <c r="M865" s="621"/>
      <c r="N865" s="598">
        <v>1</v>
      </c>
      <c r="O865" s="598">
        <v>1</v>
      </c>
      <c r="P865" s="618">
        <v>1200</v>
      </c>
    </row>
    <row r="866" spans="1:16" s="619" customFormat="1" ht="24" x14ac:dyDescent="0.2">
      <c r="A866" s="598" t="s">
        <v>1907</v>
      </c>
      <c r="B866" s="620" t="s">
        <v>2032</v>
      </c>
      <c r="C866" s="598" t="s">
        <v>2015</v>
      </c>
      <c r="D866" s="598" t="s">
        <v>3206</v>
      </c>
      <c r="E866" s="621">
        <v>1800</v>
      </c>
      <c r="F866" s="599">
        <v>10122772</v>
      </c>
      <c r="G866" s="598" t="s">
        <v>3215</v>
      </c>
      <c r="H866" s="598"/>
      <c r="I866" s="598"/>
      <c r="J866" s="617"/>
      <c r="K866" s="598"/>
      <c r="L866" s="598"/>
      <c r="M866" s="621"/>
      <c r="N866" s="598">
        <v>4</v>
      </c>
      <c r="O866" s="598">
        <v>6</v>
      </c>
      <c r="P866" s="618">
        <v>10800</v>
      </c>
    </row>
    <row r="867" spans="1:16" s="619" customFormat="1" ht="36" x14ac:dyDescent="0.2">
      <c r="A867" s="598" t="s">
        <v>1907</v>
      </c>
      <c r="B867" s="620" t="s">
        <v>2275</v>
      </c>
      <c r="C867" s="598" t="s">
        <v>2015</v>
      </c>
      <c r="D867" s="598" t="s">
        <v>3206</v>
      </c>
      <c r="E867" s="621">
        <v>1400</v>
      </c>
      <c r="F867" s="599">
        <v>71967982</v>
      </c>
      <c r="G867" s="598" t="s">
        <v>3216</v>
      </c>
      <c r="H867" s="598" t="s">
        <v>1931</v>
      </c>
      <c r="I867" s="598" t="s">
        <v>1912</v>
      </c>
      <c r="J867" s="617" t="s">
        <v>1931</v>
      </c>
      <c r="K867" s="598"/>
      <c r="L867" s="598"/>
      <c r="M867" s="621"/>
      <c r="N867" s="598">
        <v>2</v>
      </c>
      <c r="O867" s="598">
        <v>4</v>
      </c>
      <c r="P867" s="618">
        <v>5600</v>
      </c>
    </row>
    <row r="868" spans="1:16" s="619" customFormat="1" ht="36" x14ac:dyDescent="0.2">
      <c r="A868" s="598" t="s">
        <v>1907</v>
      </c>
      <c r="B868" s="620" t="s">
        <v>2032</v>
      </c>
      <c r="C868" s="598" t="s">
        <v>2015</v>
      </c>
      <c r="D868" s="598" t="s">
        <v>3206</v>
      </c>
      <c r="E868" s="621">
        <v>2500</v>
      </c>
      <c r="F868" s="599">
        <v>47416302</v>
      </c>
      <c r="G868" s="598" t="s">
        <v>3217</v>
      </c>
      <c r="H868" s="598" t="s">
        <v>3022</v>
      </c>
      <c r="I868" s="598" t="s">
        <v>1912</v>
      </c>
      <c r="J868" s="617" t="s">
        <v>1913</v>
      </c>
      <c r="K868" s="598"/>
      <c r="L868" s="598"/>
      <c r="M868" s="621"/>
      <c r="N868" s="598">
        <v>2</v>
      </c>
      <c r="O868" s="598">
        <v>4</v>
      </c>
      <c r="P868" s="618">
        <v>10000</v>
      </c>
    </row>
    <row r="869" spans="1:16" s="619" customFormat="1" ht="36" x14ac:dyDescent="0.2">
      <c r="A869" s="598" t="s">
        <v>1907</v>
      </c>
      <c r="B869" s="620" t="s">
        <v>2032</v>
      </c>
      <c r="C869" s="598" t="s">
        <v>2015</v>
      </c>
      <c r="D869" s="598" t="s">
        <v>3206</v>
      </c>
      <c r="E869" s="621">
        <v>3500</v>
      </c>
      <c r="F869" s="599">
        <v>47577517</v>
      </c>
      <c r="G869" s="598" t="s">
        <v>3218</v>
      </c>
      <c r="H869" s="598" t="s">
        <v>2921</v>
      </c>
      <c r="I869" s="598" t="s">
        <v>1912</v>
      </c>
      <c r="J869" s="617" t="s">
        <v>1913</v>
      </c>
      <c r="K869" s="598"/>
      <c r="L869" s="598"/>
      <c r="M869" s="621"/>
      <c r="N869" s="598">
        <v>3</v>
      </c>
      <c r="O869" s="598">
        <v>5</v>
      </c>
      <c r="P869" s="618">
        <v>17500</v>
      </c>
    </row>
    <row r="870" spans="1:16" s="619" customFormat="1" ht="48" x14ac:dyDescent="0.2">
      <c r="A870" s="598" t="s">
        <v>1907</v>
      </c>
      <c r="B870" s="620" t="s">
        <v>1908</v>
      </c>
      <c r="C870" s="598" t="s">
        <v>2015</v>
      </c>
      <c r="D870" s="598" t="s">
        <v>3206</v>
      </c>
      <c r="E870" s="621">
        <v>5000</v>
      </c>
      <c r="F870" s="599"/>
      <c r="G870" s="598" t="s">
        <v>3219</v>
      </c>
      <c r="H870" s="598" t="s">
        <v>2921</v>
      </c>
      <c r="I870" s="598" t="s">
        <v>1912</v>
      </c>
      <c r="J870" s="617" t="s">
        <v>1913</v>
      </c>
      <c r="K870" s="598"/>
      <c r="L870" s="598"/>
      <c r="M870" s="621"/>
      <c r="N870" s="598">
        <v>2</v>
      </c>
      <c r="O870" s="598">
        <v>4</v>
      </c>
      <c r="P870" s="618">
        <v>20000</v>
      </c>
    </row>
    <row r="871" spans="1:16" s="619" customFormat="1" ht="36" x14ac:dyDescent="0.2">
      <c r="A871" s="598" t="s">
        <v>1907</v>
      </c>
      <c r="B871" s="620" t="s">
        <v>2032</v>
      </c>
      <c r="C871" s="598" t="s">
        <v>2015</v>
      </c>
      <c r="D871" s="598" t="s">
        <v>3206</v>
      </c>
      <c r="E871" s="621">
        <v>5000</v>
      </c>
      <c r="F871" s="599">
        <v>40226222</v>
      </c>
      <c r="G871" s="598" t="s">
        <v>2810</v>
      </c>
      <c r="H871" s="598" t="s">
        <v>2921</v>
      </c>
      <c r="I871" s="598" t="s">
        <v>1912</v>
      </c>
      <c r="J871" s="617" t="s">
        <v>1913</v>
      </c>
      <c r="K871" s="598"/>
      <c r="L871" s="598"/>
      <c r="M871" s="621"/>
      <c r="N871" s="598">
        <v>2</v>
      </c>
      <c r="O871" s="598">
        <v>3</v>
      </c>
      <c r="P871" s="618">
        <v>15000</v>
      </c>
    </row>
    <row r="872" spans="1:16" s="619" customFormat="1" ht="24" x14ac:dyDescent="0.2">
      <c r="A872" s="598" t="s">
        <v>1907</v>
      </c>
      <c r="B872" s="620" t="s">
        <v>1908</v>
      </c>
      <c r="C872" s="598" t="s">
        <v>2015</v>
      </c>
      <c r="D872" s="598" t="s">
        <v>3206</v>
      </c>
      <c r="E872" s="621">
        <v>1100</v>
      </c>
      <c r="F872" s="599"/>
      <c r="G872" s="598" t="s">
        <v>3220</v>
      </c>
      <c r="H872" s="598"/>
      <c r="I872" s="598"/>
      <c r="J872" s="617"/>
      <c r="K872" s="598"/>
      <c r="L872" s="598"/>
      <c r="M872" s="621"/>
      <c r="N872" s="598">
        <v>1</v>
      </c>
      <c r="O872" s="598">
        <v>1</v>
      </c>
      <c r="P872" s="618">
        <v>1100</v>
      </c>
    </row>
    <row r="873" spans="1:16" s="619" customFormat="1" ht="36" x14ac:dyDescent="0.2">
      <c r="A873" s="598" t="s">
        <v>1907</v>
      </c>
      <c r="B873" s="620" t="s">
        <v>2275</v>
      </c>
      <c r="C873" s="598" t="s">
        <v>2015</v>
      </c>
      <c r="D873" s="598" t="s">
        <v>3206</v>
      </c>
      <c r="E873" s="621">
        <v>1300</v>
      </c>
      <c r="F873" s="599">
        <v>47753884</v>
      </c>
      <c r="G873" s="598" t="s">
        <v>3221</v>
      </c>
      <c r="H873" s="598"/>
      <c r="I873" s="598"/>
      <c r="J873" s="617"/>
      <c r="K873" s="598"/>
      <c r="L873" s="598"/>
      <c r="M873" s="621"/>
      <c r="N873" s="598">
        <v>1</v>
      </c>
      <c r="O873" s="598">
        <v>3</v>
      </c>
      <c r="P873" s="618">
        <v>3900</v>
      </c>
    </row>
    <row r="874" spans="1:16" s="619" customFormat="1" ht="24" x14ac:dyDescent="0.2">
      <c r="A874" s="598" t="s">
        <v>1907</v>
      </c>
      <c r="B874" s="620" t="s">
        <v>1908</v>
      </c>
      <c r="C874" s="598" t="s">
        <v>2015</v>
      </c>
      <c r="D874" s="598" t="s">
        <v>2020</v>
      </c>
      <c r="E874" s="621">
        <v>1000</v>
      </c>
      <c r="F874" s="599">
        <v>33432992</v>
      </c>
      <c r="G874" s="598" t="s">
        <v>3222</v>
      </c>
      <c r="H874" s="598" t="s">
        <v>1919</v>
      </c>
      <c r="I874" s="598"/>
      <c r="J874" s="617"/>
      <c r="K874" s="598"/>
      <c r="L874" s="598"/>
      <c r="M874" s="621"/>
      <c r="N874" s="598">
        <v>4</v>
      </c>
      <c r="O874" s="598">
        <v>6</v>
      </c>
      <c r="P874" s="618">
        <v>6000</v>
      </c>
    </row>
    <row r="875" spans="1:16" s="619" customFormat="1" ht="24" x14ac:dyDescent="0.2">
      <c r="A875" s="598" t="s">
        <v>1907</v>
      </c>
      <c r="B875" s="620" t="s">
        <v>1908</v>
      </c>
      <c r="C875" s="598" t="s">
        <v>2015</v>
      </c>
      <c r="D875" s="598" t="s">
        <v>2020</v>
      </c>
      <c r="E875" s="621">
        <v>1000</v>
      </c>
      <c r="F875" s="599">
        <v>73658418</v>
      </c>
      <c r="G875" s="598" t="s">
        <v>3223</v>
      </c>
      <c r="H875" s="598" t="s">
        <v>1919</v>
      </c>
      <c r="I875" s="598"/>
      <c r="J875" s="617"/>
      <c r="K875" s="598"/>
      <c r="L875" s="598"/>
      <c r="M875" s="621"/>
      <c r="N875" s="598">
        <v>4</v>
      </c>
      <c r="O875" s="598">
        <v>6</v>
      </c>
      <c r="P875" s="618">
        <v>6000</v>
      </c>
    </row>
    <row r="876" spans="1:16" s="619" customFormat="1" ht="24" x14ac:dyDescent="0.2">
      <c r="A876" s="598" t="s">
        <v>1907</v>
      </c>
      <c r="B876" s="620" t="s">
        <v>1908</v>
      </c>
      <c r="C876" s="598" t="s">
        <v>2015</v>
      </c>
      <c r="D876" s="598" t="s">
        <v>2020</v>
      </c>
      <c r="E876" s="621">
        <v>1900</v>
      </c>
      <c r="F876" s="599">
        <v>70691151</v>
      </c>
      <c r="G876" s="598" t="s">
        <v>3224</v>
      </c>
      <c r="H876" s="598" t="s">
        <v>3022</v>
      </c>
      <c r="I876" s="598" t="s">
        <v>1912</v>
      </c>
      <c r="J876" s="617" t="s">
        <v>1913</v>
      </c>
      <c r="K876" s="598"/>
      <c r="L876" s="598"/>
      <c r="M876" s="621"/>
      <c r="N876" s="598">
        <v>4</v>
      </c>
      <c r="O876" s="598">
        <v>6</v>
      </c>
      <c r="P876" s="618">
        <v>11400</v>
      </c>
    </row>
    <row r="877" spans="1:16" s="619" customFormat="1" ht="36" x14ac:dyDescent="0.2">
      <c r="A877" s="598" t="s">
        <v>1907</v>
      </c>
      <c r="B877" s="620" t="s">
        <v>1908</v>
      </c>
      <c r="C877" s="598" t="s">
        <v>2015</v>
      </c>
      <c r="D877" s="598" t="s">
        <v>2020</v>
      </c>
      <c r="E877" s="621">
        <v>1100</v>
      </c>
      <c r="F877" s="599">
        <v>73763246</v>
      </c>
      <c r="G877" s="598" t="s">
        <v>3225</v>
      </c>
      <c r="H877" s="598" t="s">
        <v>3226</v>
      </c>
      <c r="I877" s="598" t="s">
        <v>1912</v>
      </c>
      <c r="J877" s="617" t="s">
        <v>1931</v>
      </c>
      <c r="K877" s="598"/>
      <c r="L877" s="598"/>
      <c r="M877" s="621"/>
      <c r="N877" s="598">
        <v>4</v>
      </c>
      <c r="O877" s="598">
        <v>6</v>
      </c>
      <c r="P877" s="618">
        <v>6600</v>
      </c>
    </row>
    <row r="878" spans="1:16" s="619" customFormat="1" ht="24" x14ac:dyDescent="0.2">
      <c r="A878" s="598" t="s">
        <v>1907</v>
      </c>
      <c r="B878" s="620" t="s">
        <v>1908</v>
      </c>
      <c r="C878" s="598" t="s">
        <v>2015</v>
      </c>
      <c r="D878" s="598" t="s">
        <v>2020</v>
      </c>
      <c r="E878" s="621">
        <v>2200</v>
      </c>
      <c r="F878" s="599">
        <v>70207478</v>
      </c>
      <c r="G878" s="598" t="s">
        <v>3227</v>
      </c>
      <c r="H878" s="598" t="s">
        <v>2921</v>
      </c>
      <c r="I878" s="598" t="s">
        <v>1912</v>
      </c>
      <c r="J878" s="617" t="s">
        <v>1913</v>
      </c>
      <c r="K878" s="598"/>
      <c r="L878" s="598"/>
      <c r="M878" s="621"/>
      <c r="N878" s="598">
        <v>4</v>
      </c>
      <c r="O878" s="598">
        <v>6</v>
      </c>
      <c r="P878" s="618">
        <v>13200</v>
      </c>
    </row>
    <row r="879" spans="1:16" s="619" customFormat="1" ht="36" x14ac:dyDescent="0.2">
      <c r="A879" s="598" t="s">
        <v>1907</v>
      </c>
      <c r="B879" s="620" t="s">
        <v>2050</v>
      </c>
      <c r="C879" s="598" t="s">
        <v>2015</v>
      </c>
      <c r="D879" s="598" t="s">
        <v>2284</v>
      </c>
      <c r="E879" s="621">
        <v>1600</v>
      </c>
      <c r="F879" s="599">
        <v>70808424</v>
      </c>
      <c r="G879" s="598" t="s">
        <v>3228</v>
      </c>
      <c r="H879" s="598" t="s">
        <v>3229</v>
      </c>
      <c r="I879" s="598" t="s">
        <v>1912</v>
      </c>
      <c r="J879" s="617" t="s">
        <v>1913</v>
      </c>
      <c r="K879" s="598"/>
      <c r="L879" s="598"/>
      <c r="M879" s="621"/>
      <c r="N879" s="598">
        <v>4</v>
      </c>
      <c r="O879" s="598">
        <v>6</v>
      </c>
      <c r="P879" s="618">
        <v>9600</v>
      </c>
    </row>
    <row r="880" spans="1:16" s="619" customFormat="1" ht="36" x14ac:dyDescent="0.2">
      <c r="A880" s="598" t="s">
        <v>1907</v>
      </c>
      <c r="B880" s="620" t="s">
        <v>1908</v>
      </c>
      <c r="C880" s="598" t="s">
        <v>2015</v>
      </c>
      <c r="D880" s="598" t="s">
        <v>2284</v>
      </c>
      <c r="E880" s="621">
        <v>2200</v>
      </c>
      <c r="F880" s="599">
        <v>71109500</v>
      </c>
      <c r="G880" s="598" t="s">
        <v>3230</v>
      </c>
      <c r="H880" s="598" t="s">
        <v>2965</v>
      </c>
      <c r="I880" s="598" t="s">
        <v>1912</v>
      </c>
      <c r="J880" s="617" t="s">
        <v>1913</v>
      </c>
      <c r="K880" s="598"/>
      <c r="L880" s="598"/>
      <c r="M880" s="621"/>
      <c r="N880" s="598">
        <v>4</v>
      </c>
      <c r="O880" s="598">
        <v>6</v>
      </c>
      <c r="P880" s="618">
        <v>13200</v>
      </c>
    </row>
    <row r="881" spans="1:16" s="619" customFormat="1" ht="36" x14ac:dyDescent="0.2">
      <c r="A881" s="598" t="s">
        <v>1907</v>
      </c>
      <c r="B881" s="620" t="s">
        <v>1908</v>
      </c>
      <c r="C881" s="598" t="s">
        <v>2015</v>
      </c>
      <c r="D881" s="598" t="s">
        <v>2284</v>
      </c>
      <c r="E881" s="621">
        <v>2200</v>
      </c>
      <c r="F881" s="599">
        <v>45755197</v>
      </c>
      <c r="G881" s="598" t="s">
        <v>3231</v>
      </c>
      <c r="H881" s="598" t="s">
        <v>2965</v>
      </c>
      <c r="I881" s="598" t="s">
        <v>1912</v>
      </c>
      <c r="J881" s="617" t="s">
        <v>1913</v>
      </c>
      <c r="K881" s="598"/>
      <c r="L881" s="598"/>
      <c r="M881" s="621"/>
      <c r="N881" s="598">
        <v>4</v>
      </c>
      <c r="O881" s="598">
        <v>6</v>
      </c>
      <c r="P881" s="618">
        <v>13200</v>
      </c>
    </row>
    <row r="882" spans="1:16" s="619" customFormat="1" ht="48" x14ac:dyDescent="0.2">
      <c r="A882" s="598" t="s">
        <v>1907</v>
      </c>
      <c r="B882" s="620" t="s">
        <v>1908</v>
      </c>
      <c r="C882" s="598" t="s">
        <v>2015</v>
      </c>
      <c r="D882" s="598" t="s">
        <v>2284</v>
      </c>
      <c r="E882" s="621">
        <v>1500</v>
      </c>
      <c r="F882" s="599">
        <v>71456642</v>
      </c>
      <c r="G882" s="598" t="s">
        <v>3232</v>
      </c>
      <c r="H882" s="598" t="s">
        <v>1931</v>
      </c>
      <c r="I882" s="598" t="s">
        <v>1912</v>
      </c>
      <c r="J882" s="617" t="s">
        <v>1931</v>
      </c>
      <c r="K882" s="598"/>
      <c r="L882" s="598"/>
      <c r="M882" s="621"/>
      <c r="N882" s="598">
        <v>2</v>
      </c>
      <c r="O882" s="598">
        <v>3</v>
      </c>
      <c r="P882" s="618">
        <v>4500</v>
      </c>
    </row>
    <row r="883" spans="1:16" s="619" customFormat="1" ht="36" x14ac:dyDescent="0.2">
      <c r="A883" s="598" t="s">
        <v>1907</v>
      </c>
      <c r="B883" s="620" t="s">
        <v>1908</v>
      </c>
      <c r="C883" s="598" t="s">
        <v>2015</v>
      </c>
      <c r="D883" s="598" t="s">
        <v>2284</v>
      </c>
      <c r="E883" s="621">
        <v>2000</v>
      </c>
      <c r="F883" s="599"/>
      <c r="G883" s="598" t="s">
        <v>3233</v>
      </c>
      <c r="H883" s="598" t="s">
        <v>3234</v>
      </c>
      <c r="I883" s="598" t="s">
        <v>1912</v>
      </c>
      <c r="J883" s="617" t="s">
        <v>1913</v>
      </c>
      <c r="K883" s="598"/>
      <c r="L883" s="598"/>
      <c r="M883" s="621"/>
      <c r="N883" s="598">
        <v>3</v>
      </c>
      <c r="O883" s="598">
        <v>5</v>
      </c>
      <c r="P883" s="618">
        <v>10000</v>
      </c>
    </row>
    <row r="884" spans="1:16" s="619" customFormat="1" ht="24" x14ac:dyDescent="0.2">
      <c r="A884" s="598" t="s">
        <v>1907</v>
      </c>
      <c r="B884" s="620" t="s">
        <v>1908</v>
      </c>
      <c r="C884" s="598" t="s">
        <v>2015</v>
      </c>
      <c r="D884" s="598" t="s">
        <v>2284</v>
      </c>
      <c r="E884" s="621">
        <v>1800</v>
      </c>
      <c r="F884" s="599"/>
      <c r="G884" s="598" t="s">
        <v>3235</v>
      </c>
      <c r="H884" s="598"/>
      <c r="I884" s="598"/>
      <c r="J884" s="617"/>
      <c r="K884" s="598"/>
      <c r="L884" s="598"/>
      <c r="M884" s="621"/>
      <c r="N884" s="598">
        <v>3</v>
      </c>
      <c r="O884" s="598">
        <v>5</v>
      </c>
      <c r="P884" s="618">
        <v>9000</v>
      </c>
    </row>
    <row r="885" spans="1:16" s="619" customFormat="1" ht="24" x14ac:dyDescent="0.2">
      <c r="A885" s="598" t="s">
        <v>1907</v>
      </c>
      <c r="B885" s="620" t="s">
        <v>2050</v>
      </c>
      <c r="C885" s="598" t="s">
        <v>2015</v>
      </c>
      <c r="D885" s="598" t="s">
        <v>2284</v>
      </c>
      <c r="E885" s="621">
        <v>2500</v>
      </c>
      <c r="F885" s="599">
        <v>44871538</v>
      </c>
      <c r="G885" s="598" t="s">
        <v>3236</v>
      </c>
      <c r="H885" s="598" t="s">
        <v>2965</v>
      </c>
      <c r="I885" s="598" t="s">
        <v>1912</v>
      </c>
      <c r="J885" s="617" t="s">
        <v>1913</v>
      </c>
      <c r="K885" s="598"/>
      <c r="L885" s="598"/>
      <c r="M885" s="621"/>
      <c r="N885" s="598">
        <v>4</v>
      </c>
      <c r="O885" s="598">
        <v>6</v>
      </c>
      <c r="P885" s="618">
        <v>15000</v>
      </c>
    </row>
    <row r="886" spans="1:16" s="619" customFormat="1" ht="36" x14ac:dyDescent="0.2">
      <c r="A886" s="598" t="s">
        <v>1907</v>
      </c>
      <c r="B886" s="620" t="s">
        <v>2050</v>
      </c>
      <c r="C886" s="598" t="s">
        <v>2015</v>
      </c>
      <c r="D886" s="598" t="s">
        <v>2284</v>
      </c>
      <c r="E886" s="621">
        <v>1500</v>
      </c>
      <c r="F886" s="599">
        <v>72841714</v>
      </c>
      <c r="G886" s="598" t="s">
        <v>2949</v>
      </c>
      <c r="H886" s="598" t="s">
        <v>3237</v>
      </c>
      <c r="I886" s="598" t="s">
        <v>1912</v>
      </c>
      <c r="J886" s="617" t="s">
        <v>1913</v>
      </c>
      <c r="K886" s="598"/>
      <c r="L886" s="598"/>
      <c r="M886" s="621"/>
      <c r="N886" s="598">
        <v>2</v>
      </c>
      <c r="O886" s="598">
        <v>3</v>
      </c>
      <c r="P886" s="618">
        <v>4500</v>
      </c>
    </row>
    <row r="887" spans="1:16" s="619" customFormat="1" ht="24" x14ac:dyDescent="0.2">
      <c r="A887" s="598" t="s">
        <v>1907</v>
      </c>
      <c r="B887" s="620" t="s">
        <v>1908</v>
      </c>
      <c r="C887" s="598" t="s">
        <v>2015</v>
      </c>
      <c r="D887" s="598" t="s">
        <v>2284</v>
      </c>
      <c r="E887" s="621">
        <v>4000</v>
      </c>
      <c r="F887" s="599"/>
      <c r="G887" s="598" t="s">
        <v>3238</v>
      </c>
      <c r="H887" s="598" t="s">
        <v>2472</v>
      </c>
      <c r="I887" s="598" t="s">
        <v>1912</v>
      </c>
      <c r="J887" s="617" t="s">
        <v>1913</v>
      </c>
      <c r="K887" s="598"/>
      <c r="L887" s="598"/>
      <c r="M887" s="621"/>
      <c r="N887" s="598">
        <v>3</v>
      </c>
      <c r="O887" s="598">
        <v>5</v>
      </c>
      <c r="P887" s="618">
        <v>20000</v>
      </c>
    </row>
    <row r="888" spans="1:16" s="619" customFormat="1" ht="36" x14ac:dyDescent="0.2">
      <c r="A888" s="598" t="s">
        <v>1907</v>
      </c>
      <c r="B888" s="620" t="s">
        <v>1908</v>
      </c>
      <c r="C888" s="598" t="s">
        <v>2015</v>
      </c>
      <c r="D888" s="598" t="s">
        <v>2284</v>
      </c>
      <c r="E888" s="621">
        <v>3500</v>
      </c>
      <c r="F888" s="599"/>
      <c r="G888" s="598" t="s">
        <v>3239</v>
      </c>
      <c r="H888" s="598" t="s">
        <v>2921</v>
      </c>
      <c r="I888" s="598" t="s">
        <v>1912</v>
      </c>
      <c r="J888" s="617" t="s">
        <v>1913</v>
      </c>
      <c r="K888" s="598"/>
      <c r="L888" s="598"/>
      <c r="M888" s="621"/>
      <c r="N888" s="598">
        <v>3</v>
      </c>
      <c r="O888" s="598">
        <v>5</v>
      </c>
      <c r="P888" s="618">
        <v>17500</v>
      </c>
    </row>
    <row r="889" spans="1:16" s="619" customFormat="1" ht="24" x14ac:dyDescent="0.2">
      <c r="A889" s="598" t="s">
        <v>1907</v>
      </c>
      <c r="B889" s="620" t="s">
        <v>1908</v>
      </c>
      <c r="C889" s="598" t="s">
        <v>2015</v>
      </c>
      <c r="D889" s="598" t="s">
        <v>2284</v>
      </c>
      <c r="E889" s="621">
        <v>2500</v>
      </c>
      <c r="F889" s="599">
        <v>47661744</v>
      </c>
      <c r="G889" s="598" t="s">
        <v>3240</v>
      </c>
      <c r="H889" s="598" t="s">
        <v>3241</v>
      </c>
      <c r="I889" s="598" t="s">
        <v>1912</v>
      </c>
      <c r="J889" s="617" t="s">
        <v>1913</v>
      </c>
      <c r="K889" s="598"/>
      <c r="L889" s="598"/>
      <c r="M889" s="621"/>
      <c r="N889" s="598">
        <v>4</v>
      </c>
      <c r="O889" s="598">
        <v>6</v>
      </c>
      <c r="P889" s="618">
        <v>15000</v>
      </c>
    </row>
    <row r="890" spans="1:16" s="619" customFormat="1" ht="24" x14ac:dyDescent="0.2">
      <c r="A890" s="598" t="s">
        <v>1907</v>
      </c>
      <c r="B890" s="620" t="s">
        <v>1908</v>
      </c>
      <c r="C890" s="598" t="s">
        <v>2015</v>
      </c>
      <c r="D890" s="598" t="s">
        <v>2284</v>
      </c>
      <c r="E890" s="621">
        <v>1200</v>
      </c>
      <c r="F890" s="599">
        <v>33408465</v>
      </c>
      <c r="G890" s="598" t="s">
        <v>3242</v>
      </c>
      <c r="H890" s="598" t="s">
        <v>1919</v>
      </c>
      <c r="I890" s="598"/>
      <c r="J890" s="617"/>
      <c r="K890" s="598"/>
      <c r="L890" s="598"/>
      <c r="M890" s="621"/>
      <c r="N890" s="598">
        <v>4</v>
      </c>
      <c r="O890" s="598">
        <v>6</v>
      </c>
      <c r="P890" s="618">
        <v>7200</v>
      </c>
    </row>
    <row r="891" spans="1:16" s="619" customFormat="1" ht="24" x14ac:dyDescent="0.2">
      <c r="A891" s="598" t="s">
        <v>1907</v>
      </c>
      <c r="B891" s="620" t="s">
        <v>1908</v>
      </c>
      <c r="C891" s="598" t="s">
        <v>2015</v>
      </c>
      <c r="D891" s="598" t="s">
        <v>2284</v>
      </c>
      <c r="E891" s="621">
        <v>1200</v>
      </c>
      <c r="F891" s="599"/>
      <c r="G891" s="598" t="s">
        <v>3243</v>
      </c>
      <c r="H891" s="598" t="s">
        <v>2944</v>
      </c>
      <c r="I891" s="598" t="s">
        <v>1912</v>
      </c>
      <c r="J891" s="617" t="s">
        <v>1913</v>
      </c>
      <c r="K891" s="598"/>
      <c r="L891" s="598"/>
      <c r="M891" s="621"/>
      <c r="N891" s="598">
        <v>3</v>
      </c>
      <c r="O891" s="598">
        <v>5</v>
      </c>
      <c r="P891" s="618">
        <v>6000</v>
      </c>
    </row>
    <row r="892" spans="1:16" s="619" customFormat="1" ht="24" x14ac:dyDescent="0.2">
      <c r="A892" s="598" t="s">
        <v>1907</v>
      </c>
      <c r="B892" s="620" t="s">
        <v>1908</v>
      </c>
      <c r="C892" s="598" t="s">
        <v>2015</v>
      </c>
      <c r="D892" s="598" t="s">
        <v>2284</v>
      </c>
      <c r="E892" s="621">
        <v>1100</v>
      </c>
      <c r="F892" s="599">
        <v>33431850</v>
      </c>
      <c r="G892" s="598" t="s">
        <v>3244</v>
      </c>
      <c r="H892" s="598" t="s">
        <v>1919</v>
      </c>
      <c r="I892" s="598"/>
      <c r="J892" s="617"/>
      <c r="K892" s="598"/>
      <c r="L892" s="598"/>
      <c r="M892" s="621"/>
      <c r="N892" s="598">
        <v>3</v>
      </c>
      <c r="O892" s="598">
        <v>5</v>
      </c>
      <c r="P892" s="618">
        <v>5500</v>
      </c>
    </row>
    <row r="893" spans="1:16" s="619" customFormat="1" ht="24" x14ac:dyDescent="0.2">
      <c r="A893" s="598" t="s">
        <v>1907</v>
      </c>
      <c r="B893" s="620" t="s">
        <v>1908</v>
      </c>
      <c r="C893" s="598" t="s">
        <v>2015</v>
      </c>
      <c r="D893" s="598" t="s">
        <v>2284</v>
      </c>
      <c r="E893" s="621">
        <v>1500</v>
      </c>
      <c r="F893" s="599"/>
      <c r="G893" s="598" t="s">
        <v>3245</v>
      </c>
      <c r="H893" s="598" t="s">
        <v>1919</v>
      </c>
      <c r="I893" s="598"/>
      <c r="J893" s="617"/>
      <c r="K893" s="598"/>
      <c r="L893" s="598"/>
      <c r="M893" s="621"/>
      <c r="N893" s="598">
        <v>1</v>
      </c>
      <c r="O893" s="598">
        <v>3</v>
      </c>
      <c r="P893" s="618">
        <v>4500</v>
      </c>
    </row>
    <row r="894" spans="1:16" s="619" customFormat="1" ht="36" x14ac:dyDescent="0.2">
      <c r="A894" s="598" t="s">
        <v>1907</v>
      </c>
      <c r="B894" s="620" t="s">
        <v>1908</v>
      </c>
      <c r="C894" s="598" t="s">
        <v>2015</v>
      </c>
      <c r="D894" s="598" t="s">
        <v>2284</v>
      </c>
      <c r="E894" s="621">
        <v>5000</v>
      </c>
      <c r="F894" s="599">
        <v>43264958</v>
      </c>
      <c r="G894" s="598" t="s">
        <v>3246</v>
      </c>
      <c r="H894" s="598" t="s">
        <v>2939</v>
      </c>
      <c r="I894" s="598" t="s">
        <v>1912</v>
      </c>
      <c r="J894" s="617" t="s">
        <v>1913</v>
      </c>
      <c r="K894" s="598"/>
      <c r="L894" s="598"/>
      <c r="M894" s="621"/>
      <c r="N894" s="598">
        <v>2</v>
      </c>
      <c r="O894" s="598">
        <v>3</v>
      </c>
      <c r="P894" s="618">
        <v>15000</v>
      </c>
    </row>
    <row r="895" spans="1:16" s="619" customFormat="1" ht="24" x14ac:dyDescent="0.2">
      <c r="A895" s="598" t="s">
        <v>1907</v>
      </c>
      <c r="B895" s="620" t="s">
        <v>1908</v>
      </c>
      <c r="C895" s="598" t="s">
        <v>2015</v>
      </c>
      <c r="D895" s="598" t="s">
        <v>2284</v>
      </c>
      <c r="E895" s="621">
        <v>1800</v>
      </c>
      <c r="F895" s="599"/>
      <c r="G895" s="598" t="s">
        <v>3247</v>
      </c>
      <c r="H895" s="598"/>
      <c r="I895" s="598"/>
      <c r="J895" s="617"/>
      <c r="K895" s="598"/>
      <c r="L895" s="598"/>
      <c r="M895" s="621"/>
      <c r="N895" s="598">
        <v>1</v>
      </c>
      <c r="O895" s="598">
        <v>3</v>
      </c>
      <c r="P895" s="618">
        <v>5400</v>
      </c>
    </row>
    <row r="896" spans="1:16" s="619" customFormat="1" ht="36" x14ac:dyDescent="0.2">
      <c r="A896" s="598" t="s">
        <v>1907</v>
      </c>
      <c r="B896" s="620" t="s">
        <v>1908</v>
      </c>
      <c r="C896" s="598" t="s">
        <v>2015</v>
      </c>
      <c r="D896" s="598" t="s">
        <v>2284</v>
      </c>
      <c r="E896" s="621">
        <v>1500</v>
      </c>
      <c r="F896" s="599">
        <v>46743004</v>
      </c>
      <c r="G896" s="598" t="s">
        <v>3248</v>
      </c>
      <c r="H896" s="598"/>
      <c r="I896" s="598"/>
      <c r="J896" s="617"/>
      <c r="K896" s="598"/>
      <c r="L896" s="598"/>
      <c r="M896" s="621"/>
      <c r="N896" s="598">
        <v>2</v>
      </c>
      <c r="O896" s="598">
        <v>3</v>
      </c>
      <c r="P896" s="618">
        <v>4500</v>
      </c>
    </row>
    <row r="897" spans="1:16" s="619" customFormat="1" ht="24" x14ac:dyDescent="0.2">
      <c r="A897" s="598" t="s">
        <v>1907</v>
      </c>
      <c r="B897" s="620" t="s">
        <v>1908</v>
      </c>
      <c r="C897" s="598" t="s">
        <v>2015</v>
      </c>
      <c r="D897" s="598" t="s">
        <v>3249</v>
      </c>
      <c r="E897" s="621">
        <v>2000</v>
      </c>
      <c r="F897" s="599">
        <v>48309565</v>
      </c>
      <c r="G897" s="598" t="s">
        <v>3250</v>
      </c>
      <c r="H897" s="598"/>
      <c r="I897" s="598"/>
      <c r="J897" s="617"/>
      <c r="K897" s="598"/>
      <c r="L897" s="598"/>
      <c r="M897" s="621"/>
      <c r="N897" s="598">
        <v>2</v>
      </c>
      <c r="O897" s="598">
        <v>3</v>
      </c>
      <c r="P897" s="618">
        <v>60000</v>
      </c>
    </row>
    <row r="898" spans="1:16" s="619" customFormat="1" ht="36" x14ac:dyDescent="0.2">
      <c r="A898" s="598" t="s">
        <v>1907</v>
      </c>
      <c r="B898" s="620" t="s">
        <v>1908</v>
      </c>
      <c r="C898" s="598" t="s">
        <v>2015</v>
      </c>
      <c r="D898" s="598" t="s">
        <v>3249</v>
      </c>
      <c r="E898" s="621">
        <v>4000</v>
      </c>
      <c r="F898" s="599">
        <v>46600981</v>
      </c>
      <c r="G898" s="598" t="s">
        <v>3251</v>
      </c>
      <c r="H898" s="598"/>
      <c r="I898" s="598"/>
      <c r="J898" s="617"/>
      <c r="K898" s="598"/>
      <c r="L898" s="598"/>
      <c r="M898" s="621"/>
      <c r="N898" s="598">
        <v>2</v>
      </c>
      <c r="O898" s="598">
        <v>3</v>
      </c>
      <c r="P898" s="618">
        <v>12000</v>
      </c>
    </row>
    <row r="899" spans="1:16" s="619" customFormat="1" ht="24" x14ac:dyDescent="0.2">
      <c r="A899" s="598" t="s">
        <v>1907</v>
      </c>
      <c r="B899" s="620" t="s">
        <v>2050</v>
      </c>
      <c r="C899" s="598" t="s">
        <v>2015</v>
      </c>
      <c r="D899" s="598" t="s">
        <v>3252</v>
      </c>
      <c r="E899" s="621">
        <v>2000</v>
      </c>
      <c r="F899" s="599">
        <v>42098184</v>
      </c>
      <c r="G899" s="598" t="s">
        <v>3253</v>
      </c>
      <c r="H899" s="598" t="s">
        <v>3137</v>
      </c>
      <c r="I899" s="598" t="s">
        <v>1912</v>
      </c>
      <c r="J899" s="617" t="s">
        <v>1913</v>
      </c>
      <c r="K899" s="598"/>
      <c r="L899" s="598"/>
      <c r="M899" s="621"/>
      <c r="N899" s="598">
        <v>1</v>
      </c>
      <c r="O899" s="598">
        <v>1</v>
      </c>
      <c r="P899" s="618">
        <v>2000</v>
      </c>
    </row>
    <row r="900" spans="1:16" s="619" customFormat="1" ht="36" x14ac:dyDescent="0.2">
      <c r="A900" s="598" t="s">
        <v>1907</v>
      </c>
      <c r="B900" s="620" t="s">
        <v>1908</v>
      </c>
      <c r="C900" s="598" t="s">
        <v>2015</v>
      </c>
      <c r="D900" s="598" t="s">
        <v>3252</v>
      </c>
      <c r="E900" s="621">
        <v>2000</v>
      </c>
      <c r="F900" s="599">
        <v>44819798</v>
      </c>
      <c r="G900" s="598" t="s">
        <v>3254</v>
      </c>
      <c r="H900" s="598" t="s">
        <v>3137</v>
      </c>
      <c r="I900" s="598" t="s">
        <v>1912</v>
      </c>
      <c r="J900" s="617" t="s">
        <v>1913</v>
      </c>
      <c r="K900" s="598"/>
      <c r="L900" s="598"/>
      <c r="M900" s="621"/>
      <c r="N900" s="598">
        <v>1</v>
      </c>
      <c r="O900" s="598">
        <v>1</v>
      </c>
      <c r="P900" s="618">
        <v>2000</v>
      </c>
    </row>
    <row r="901" spans="1:16" s="619" customFormat="1" ht="48" x14ac:dyDescent="0.2">
      <c r="A901" s="598" t="s">
        <v>1907</v>
      </c>
      <c r="B901" s="620" t="s">
        <v>2050</v>
      </c>
      <c r="C901" s="598" t="s">
        <v>2015</v>
      </c>
      <c r="D901" s="598" t="s">
        <v>3252</v>
      </c>
      <c r="E901" s="621">
        <v>2000</v>
      </c>
      <c r="F901" s="599">
        <v>72021111</v>
      </c>
      <c r="G901" s="598" t="s">
        <v>3255</v>
      </c>
      <c r="H901" s="598" t="s">
        <v>3256</v>
      </c>
      <c r="I901" s="598" t="s">
        <v>1912</v>
      </c>
      <c r="J901" s="617" t="s">
        <v>1913</v>
      </c>
      <c r="K901" s="598"/>
      <c r="L901" s="598"/>
      <c r="M901" s="621"/>
      <c r="N901" s="598">
        <v>2</v>
      </c>
      <c r="O901" s="598">
        <v>3</v>
      </c>
      <c r="P901" s="618">
        <v>6000</v>
      </c>
    </row>
    <row r="902" spans="1:16" s="619" customFormat="1" ht="36" x14ac:dyDescent="0.2">
      <c r="A902" s="598" t="s">
        <v>1907</v>
      </c>
      <c r="B902" s="620" t="s">
        <v>2050</v>
      </c>
      <c r="C902" s="598" t="s">
        <v>2015</v>
      </c>
      <c r="D902" s="598" t="s">
        <v>3252</v>
      </c>
      <c r="E902" s="621">
        <v>3500</v>
      </c>
      <c r="F902" s="599">
        <v>47208471</v>
      </c>
      <c r="G902" s="598" t="s">
        <v>3257</v>
      </c>
      <c r="H902" s="598" t="s">
        <v>2921</v>
      </c>
      <c r="I902" s="598" t="s">
        <v>1912</v>
      </c>
      <c r="J902" s="617" t="s">
        <v>1913</v>
      </c>
      <c r="K902" s="598"/>
      <c r="L902" s="598"/>
      <c r="M902" s="621"/>
      <c r="N902" s="598">
        <v>3</v>
      </c>
      <c r="O902" s="598">
        <v>5</v>
      </c>
      <c r="P902" s="618">
        <v>17500</v>
      </c>
    </row>
    <row r="903" spans="1:16" s="619" customFormat="1" ht="36" x14ac:dyDescent="0.2">
      <c r="A903" s="598" t="s">
        <v>1907</v>
      </c>
      <c r="B903" s="620" t="s">
        <v>2050</v>
      </c>
      <c r="C903" s="598" t="s">
        <v>2015</v>
      </c>
      <c r="D903" s="598" t="s">
        <v>3252</v>
      </c>
      <c r="E903" s="621">
        <v>1400</v>
      </c>
      <c r="F903" s="599">
        <v>46133592</v>
      </c>
      <c r="G903" s="598" t="s">
        <v>3258</v>
      </c>
      <c r="H903" s="598" t="s">
        <v>3022</v>
      </c>
      <c r="I903" s="598" t="s">
        <v>1912</v>
      </c>
      <c r="J903" s="617" t="s">
        <v>1913</v>
      </c>
      <c r="K903" s="598"/>
      <c r="L903" s="598"/>
      <c r="M903" s="621"/>
      <c r="N903" s="598">
        <v>1</v>
      </c>
      <c r="O903" s="598">
        <v>1</v>
      </c>
      <c r="P903" s="618">
        <v>1400</v>
      </c>
    </row>
    <row r="904" spans="1:16" s="619" customFormat="1" ht="48" x14ac:dyDescent="0.2">
      <c r="A904" s="598" t="s">
        <v>1907</v>
      </c>
      <c r="B904" s="620" t="s">
        <v>2073</v>
      </c>
      <c r="C904" s="598" t="s">
        <v>2015</v>
      </c>
      <c r="D904" s="598" t="s">
        <v>3252</v>
      </c>
      <c r="E904" s="621">
        <v>2000</v>
      </c>
      <c r="F904" s="599">
        <v>47409350</v>
      </c>
      <c r="G904" s="598" t="s">
        <v>3259</v>
      </c>
      <c r="H904" s="598" t="s">
        <v>1931</v>
      </c>
      <c r="I904" s="598" t="s">
        <v>1912</v>
      </c>
      <c r="J904" s="617" t="s">
        <v>1931</v>
      </c>
      <c r="K904" s="598"/>
      <c r="L904" s="598"/>
      <c r="M904" s="621"/>
      <c r="N904" s="598">
        <v>1</v>
      </c>
      <c r="O904" s="598">
        <v>3</v>
      </c>
      <c r="P904" s="618">
        <v>6000</v>
      </c>
    </row>
    <row r="905" spans="1:16" s="619" customFormat="1" ht="24" x14ac:dyDescent="0.2">
      <c r="A905" s="598" t="s">
        <v>1907</v>
      </c>
      <c r="B905" s="620" t="s">
        <v>2050</v>
      </c>
      <c r="C905" s="598" t="s">
        <v>2015</v>
      </c>
      <c r="D905" s="598" t="s">
        <v>3252</v>
      </c>
      <c r="E905" s="621">
        <v>1400</v>
      </c>
      <c r="F905" s="599">
        <v>45004907</v>
      </c>
      <c r="G905" s="598" t="s">
        <v>3260</v>
      </c>
      <c r="H905" s="598" t="s">
        <v>1931</v>
      </c>
      <c r="I905" s="598" t="s">
        <v>1912</v>
      </c>
      <c r="J905" s="617" t="s">
        <v>1931</v>
      </c>
      <c r="K905" s="598"/>
      <c r="L905" s="598"/>
      <c r="M905" s="621"/>
      <c r="N905" s="598">
        <v>4</v>
      </c>
      <c r="O905" s="598">
        <v>6</v>
      </c>
      <c r="P905" s="618">
        <v>8400</v>
      </c>
    </row>
    <row r="906" spans="1:16" s="619" customFormat="1" ht="36" x14ac:dyDescent="0.2">
      <c r="A906" s="598" t="s">
        <v>1907</v>
      </c>
      <c r="B906" s="620" t="s">
        <v>2050</v>
      </c>
      <c r="C906" s="598" t="s">
        <v>2015</v>
      </c>
      <c r="D906" s="598" t="s">
        <v>3252</v>
      </c>
      <c r="E906" s="621">
        <v>3000</v>
      </c>
      <c r="F906" s="599">
        <v>47031550</v>
      </c>
      <c r="G906" s="598" t="s">
        <v>3261</v>
      </c>
      <c r="H906" s="598" t="s">
        <v>2232</v>
      </c>
      <c r="I906" s="598" t="s">
        <v>1912</v>
      </c>
      <c r="J906" s="617" t="s">
        <v>1913</v>
      </c>
      <c r="K906" s="598"/>
      <c r="L906" s="598"/>
      <c r="M906" s="621"/>
      <c r="N906" s="598">
        <v>2</v>
      </c>
      <c r="O906" s="598">
        <v>3</v>
      </c>
      <c r="P906" s="618">
        <v>9000</v>
      </c>
    </row>
    <row r="907" spans="1:16" s="619" customFormat="1" ht="36" x14ac:dyDescent="0.2">
      <c r="A907" s="598" t="s">
        <v>1907</v>
      </c>
      <c r="B907" s="620" t="s">
        <v>1908</v>
      </c>
      <c r="C907" s="598" t="s">
        <v>2015</v>
      </c>
      <c r="D907" s="598" t="s">
        <v>3252</v>
      </c>
      <c r="E907" s="621">
        <v>3000</v>
      </c>
      <c r="F907" s="599"/>
      <c r="G907" s="598" t="s">
        <v>3262</v>
      </c>
      <c r="H907" s="598" t="s">
        <v>2921</v>
      </c>
      <c r="I907" s="598" t="s">
        <v>1912</v>
      </c>
      <c r="J907" s="617" t="s">
        <v>1913</v>
      </c>
      <c r="K907" s="598"/>
      <c r="L907" s="598"/>
      <c r="M907" s="621"/>
      <c r="N907" s="598">
        <v>2</v>
      </c>
      <c r="O907" s="598">
        <v>3</v>
      </c>
      <c r="P907" s="618">
        <v>9000</v>
      </c>
    </row>
    <row r="908" spans="1:16" s="619" customFormat="1" ht="36" x14ac:dyDescent="0.2">
      <c r="A908" s="598" t="s">
        <v>1907</v>
      </c>
      <c r="B908" s="620" t="s">
        <v>1908</v>
      </c>
      <c r="C908" s="598" t="s">
        <v>2015</v>
      </c>
      <c r="D908" s="598" t="s">
        <v>3252</v>
      </c>
      <c r="E908" s="621">
        <v>2000</v>
      </c>
      <c r="F908" s="599"/>
      <c r="G908" s="598" t="s">
        <v>3263</v>
      </c>
      <c r="H908" s="598" t="s">
        <v>1931</v>
      </c>
      <c r="I908" s="598" t="s">
        <v>1912</v>
      </c>
      <c r="J908" s="617" t="s">
        <v>1931</v>
      </c>
      <c r="K908" s="598"/>
      <c r="L908" s="598"/>
      <c r="M908" s="621"/>
      <c r="N908" s="598">
        <v>1</v>
      </c>
      <c r="O908" s="598">
        <v>1</v>
      </c>
      <c r="P908" s="618">
        <v>2000</v>
      </c>
    </row>
    <row r="909" spans="1:16" s="619" customFormat="1" ht="36" x14ac:dyDescent="0.2">
      <c r="A909" s="598" t="s">
        <v>1907</v>
      </c>
      <c r="B909" s="620" t="s">
        <v>1908</v>
      </c>
      <c r="C909" s="598" t="s">
        <v>2015</v>
      </c>
      <c r="D909" s="598" t="s">
        <v>3252</v>
      </c>
      <c r="E909" s="621">
        <v>2000</v>
      </c>
      <c r="F909" s="599"/>
      <c r="G909" s="598" t="s">
        <v>3264</v>
      </c>
      <c r="H909" s="598" t="s">
        <v>1931</v>
      </c>
      <c r="I909" s="598" t="s">
        <v>1912</v>
      </c>
      <c r="J909" s="617" t="s">
        <v>1931</v>
      </c>
      <c r="K909" s="598"/>
      <c r="L909" s="598"/>
      <c r="M909" s="621"/>
      <c r="N909" s="598">
        <v>1</v>
      </c>
      <c r="O909" s="598">
        <v>1</v>
      </c>
      <c r="P909" s="618">
        <v>2000</v>
      </c>
    </row>
    <row r="910" spans="1:16" s="619" customFormat="1" ht="24" x14ac:dyDescent="0.2">
      <c r="A910" s="598" t="s">
        <v>1907</v>
      </c>
      <c r="B910" s="620" t="s">
        <v>1908</v>
      </c>
      <c r="C910" s="598" t="s">
        <v>2015</v>
      </c>
      <c r="D910" s="598" t="s">
        <v>3252</v>
      </c>
      <c r="E910" s="621">
        <v>5000</v>
      </c>
      <c r="F910" s="599"/>
      <c r="G910" s="598" t="s">
        <v>3265</v>
      </c>
      <c r="H910" s="598" t="s">
        <v>2921</v>
      </c>
      <c r="I910" s="598" t="s">
        <v>1912</v>
      </c>
      <c r="J910" s="617" t="s">
        <v>1913</v>
      </c>
      <c r="K910" s="598"/>
      <c r="L910" s="598"/>
      <c r="M910" s="621"/>
      <c r="N910" s="598">
        <v>2</v>
      </c>
      <c r="O910" s="598">
        <v>3</v>
      </c>
      <c r="P910" s="618">
        <v>15000</v>
      </c>
    </row>
    <row r="911" spans="1:16" s="619" customFormat="1" ht="24" x14ac:dyDescent="0.2">
      <c r="A911" s="598" t="s">
        <v>1907</v>
      </c>
      <c r="B911" s="620" t="s">
        <v>1908</v>
      </c>
      <c r="C911" s="598" t="s">
        <v>2015</v>
      </c>
      <c r="D911" s="598" t="s">
        <v>3252</v>
      </c>
      <c r="E911" s="621">
        <v>3000</v>
      </c>
      <c r="F911" s="599"/>
      <c r="G911" s="598" t="s">
        <v>3266</v>
      </c>
      <c r="H911" s="598" t="s">
        <v>2921</v>
      </c>
      <c r="I911" s="598" t="s">
        <v>1912</v>
      </c>
      <c r="J911" s="617" t="s">
        <v>1913</v>
      </c>
      <c r="K911" s="598"/>
      <c r="L911" s="598"/>
      <c r="M911" s="621"/>
      <c r="N911" s="598">
        <v>2</v>
      </c>
      <c r="O911" s="598">
        <v>3</v>
      </c>
      <c r="P911" s="618">
        <v>9000</v>
      </c>
    </row>
    <row r="912" spans="1:16" s="619" customFormat="1" ht="36" x14ac:dyDescent="0.2">
      <c r="A912" s="598" t="s">
        <v>1907</v>
      </c>
      <c r="B912" s="620" t="s">
        <v>1908</v>
      </c>
      <c r="C912" s="598" t="s">
        <v>2015</v>
      </c>
      <c r="D912" s="598" t="s">
        <v>3252</v>
      </c>
      <c r="E912" s="621">
        <v>2000</v>
      </c>
      <c r="F912" s="599"/>
      <c r="G912" s="598" t="s">
        <v>3267</v>
      </c>
      <c r="H912" s="598" t="s">
        <v>2921</v>
      </c>
      <c r="I912" s="598" t="s">
        <v>1912</v>
      </c>
      <c r="J912" s="617" t="s">
        <v>1913</v>
      </c>
      <c r="K912" s="598"/>
      <c r="L912" s="598"/>
      <c r="M912" s="621"/>
      <c r="N912" s="598">
        <v>1</v>
      </c>
      <c r="O912" s="598">
        <v>1</v>
      </c>
      <c r="P912" s="618">
        <v>2000</v>
      </c>
    </row>
    <row r="913" spans="1:16" s="619" customFormat="1" ht="24" x14ac:dyDescent="0.2">
      <c r="A913" s="598" t="s">
        <v>1907</v>
      </c>
      <c r="B913" s="620" t="s">
        <v>1908</v>
      </c>
      <c r="C913" s="598" t="s">
        <v>2015</v>
      </c>
      <c r="D913" s="598" t="s">
        <v>3252</v>
      </c>
      <c r="E913" s="621">
        <v>2000</v>
      </c>
      <c r="F913" s="599"/>
      <c r="G913" s="598" t="s">
        <v>3268</v>
      </c>
      <c r="H913" s="598" t="s">
        <v>2921</v>
      </c>
      <c r="I913" s="598" t="s">
        <v>1912</v>
      </c>
      <c r="J913" s="617" t="s">
        <v>1913</v>
      </c>
      <c r="K913" s="598"/>
      <c r="L913" s="598"/>
      <c r="M913" s="621"/>
      <c r="N913" s="598">
        <v>1</v>
      </c>
      <c r="O913" s="598">
        <v>1</v>
      </c>
      <c r="P913" s="618">
        <v>2000</v>
      </c>
    </row>
    <row r="914" spans="1:16" s="619" customFormat="1" ht="36" x14ac:dyDescent="0.2">
      <c r="A914" s="598" t="s">
        <v>1907</v>
      </c>
      <c r="B914" s="620" t="s">
        <v>1908</v>
      </c>
      <c r="C914" s="598" t="s">
        <v>2015</v>
      </c>
      <c r="D914" s="598" t="s">
        <v>3252</v>
      </c>
      <c r="E914" s="621">
        <v>2000</v>
      </c>
      <c r="F914" s="599"/>
      <c r="G914" s="598" t="s">
        <v>3269</v>
      </c>
      <c r="H914" s="598" t="s">
        <v>2921</v>
      </c>
      <c r="I914" s="598" t="s">
        <v>1912</v>
      </c>
      <c r="J914" s="617" t="s">
        <v>1913</v>
      </c>
      <c r="K914" s="598"/>
      <c r="L914" s="598"/>
      <c r="M914" s="621"/>
      <c r="N914" s="598">
        <v>1</v>
      </c>
      <c r="O914" s="598">
        <v>1</v>
      </c>
      <c r="P914" s="618">
        <v>2000</v>
      </c>
    </row>
    <row r="915" spans="1:16" s="619" customFormat="1" ht="48" x14ac:dyDescent="0.2">
      <c r="A915" s="598" t="s">
        <v>1907</v>
      </c>
      <c r="B915" s="620" t="s">
        <v>1908</v>
      </c>
      <c r="C915" s="598" t="s">
        <v>2015</v>
      </c>
      <c r="D915" s="598" t="s">
        <v>3270</v>
      </c>
      <c r="E915" s="621">
        <v>1000</v>
      </c>
      <c r="F915" s="599">
        <v>10625192</v>
      </c>
      <c r="G915" s="598" t="s">
        <v>3271</v>
      </c>
      <c r="H915" s="598" t="s">
        <v>1919</v>
      </c>
      <c r="I915" s="598"/>
      <c r="J915" s="617"/>
      <c r="K915" s="598"/>
      <c r="L915" s="598"/>
      <c r="M915" s="621"/>
      <c r="N915" s="598">
        <v>3</v>
      </c>
      <c r="O915" s="598">
        <v>5</v>
      </c>
      <c r="P915" s="618">
        <v>5000</v>
      </c>
    </row>
    <row r="916" spans="1:16" s="619" customFormat="1" ht="24" x14ac:dyDescent="0.2">
      <c r="A916" s="598" t="s">
        <v>1907</v>
      </c>
      <c r="B916" s="620" t="s">
        <v>1908</v>
      </c>
      <c r="C916" s="598" t="s">
        <v>2015</v>
      </c>
      <c r="D916" s="598" t="s">
        <v>3270</v>
      </c>
      <c r="E916" s="621">
        <v>4000</v>
      </c>
      <c r="F916" s="599">
        <v>43735429</v>
      </c>
      <c r="G916" s="598" t="s">
        <v>3272</v>
      </c>
      <c r="H916" s="598" t="s">
        <v>2921</v>
      </c>
      <c r="I916" s="598" t="s">
        <v>1912</v>
      </c>
      <c r="J916" s="617" t="s">
        <v>1913</v>
      </c>
      <c r="K916" s="598"/>
      <c r="L916" s="598"/>
      <c r="M916" s="621"/>
      <c r="N916" s="598">
        <v>4</v>
      </c>
      <c r="O916" s="598">
        <v>6</v>
      </c>
      <c r="P916" s="618">
        <v>24000</v>
      </c>
    </row>
    <row r="917" spans="1:16" s="619" customFormat="1" ht="36" x14ac:dyDescent="0.2">
      <c r="A917" s="598" t="s">
        <v>1907</v>
      </c>
      <c r="B917" s="620" t="s">
        <v>1908</v>
      </c>
      <c r="C917" s="598" t="s">
        <v>2015</v>
      </c>
      <c r="D917" s="598" t="s">
        <v>3270</v>
      </c>
      <c r="E917" s="621">
        <v>2000</v>
      </c>
      <c r="F917" s="599">
        <v>46017127</v>
      </c>
      <c r="G917" s="598" t="s">
        <v>3273</v>
      </c>
      <c r="H917" s="598" t="s">
        <v>2921</v>
      </c>
      <c r="I917" s="598" t="s">
        <v>1912</v>
      </c>
      <c r="J917" s="617" t="s">
        <v>1913</v>
      </c>
      <c r="K917" s="598"/>
      <c r="L917" s="598"/>
      <c r="M917" s="621"/>
      <c r="N917" s="598">
        <v>3</v>
      </c>
      <c r="O917" s="598">
        <v>5</v>
      </c>
      <c r="P917" s="618">
        <v>10000</v>
      </c>
    </row>
    <row r="918" spans="1:16" s="619" customFormat="1" ht="48" x14ac:dyDescent="0.2">
      <c r="A918" s="598" t="s">
        <v>1907</v>
      </c>
      <c r="B918" s="620" t="s">
        <v>1908</v>
      </c>
      <c r="C918" s="598" t="s">
        <v>2015</v>
      </c>
      <c r="D918" s="598" t="s">
        <v>3270</v>
      </c>
      <c r="E918" s="621">
        <v>1000</v>
      </c>
      <c r="F918" s="599">
        <v>43399936</v>
      </c>
      <c r="G918" s="598" t="s">
        <v>3274</v>
      </c>
      <c r="H918" s="598" t="s">
        <v>1919</v>
      </c>
      <c r="I918" s="598"/>
      <c r="J918" s="617"/>
      <c r="K918" s="598"/>
      <c r="L918" s="598"/>
      <c r="M918" s="621"/>
      <c r="N918" s="598">
        <v>4</v>
      </c>
      <c r="O918" s="598">
        <v>6</v>
      </c>
      <c r="P918" s="618">
        <v>6000</v>
      </c>
    </row>
    <row r="919" spans="1:16" s="619" customFormat="1" ht="24" x14ac:dyDescent="0.2">
      <c r="A919" s="598" t="s">
        <v>1907</v>
      </c>
      <c r="B919" s="620" t="s">
        <v>1908</v>
      </c>
      <c r="C919" s="598" t="s">
        <v>2015</v>
      </c>
      <c r="D919" s="598" t="s">
        <v>3270</v>
      </c>
      <c r="E919" s="621">
        <v>1000</v>
      </c>
      <c r="F919" s="599">
        <v>44341177</v>
      </c>
      <c r="G919" s="598" t="s">
        <v>3275</v>
      </c>
      <c r="H919" s="598" t="s">
        <v>1919</v>
      </c>
      <c r="I919" s="598"/>
      <c r="J919" s="617"/>
      <c r="K919" s="598"/>
      <c r="L919" s="598"/>
      <c r="M919" s="621"/>
      <c r="N919" s="598">
        <v>3</v>
      </c>
      <c r="O919" s="598">
        <v>5</v>
      </c>
      <c r="P919" s="618">
        <v>5000</v>
      </c>
    </row>
    <row r="920" spans="1:16" s="619" customFormat="1" ht="24" x14ac:dyDescent="0.2">
      <c r="A920" s="598" t="s">
        <v>1907</v>
      </c>
      <c r="B920" s="620" t="s">
        <v>2050</v>
      </c>
      <c r="C920" s="598" t="s">
        <v>2015</v>
      </c>
      <c r="D920" s="598" t="s">
        <v>3270</v>
      </c>
      <c r="E920" s="621">
        <v>6000</v>
      </c>
      <c r="F920" s="599" t="s">
        <v>3276</v>
      </c>
      <c r="G920" s="598" t="s">
        <v>3277</v>
      </c>
      <c r="H920" s="598" t="s">
        <v>1911</v>
      </c>
      <c r="I920" s="598" t="s">
        <v>1912</v>
      </c>
      <c r="J920" s="617" t="s">
        <v>1913</v>
      </c>
      <c r="K920" s="598"/>
      <c r="L920" s="598"/>
      <c r="M920" s="621"/>
      <c r="N920" s="598">
        <v>4</v>
      </c>
      <c r="O920" s="598">
        <v>6</v>
      </c>
      <c r="P920" s="618">
        <v>36000</v>
      </c>
    </row>
    <row r="921" spans="1:16" s="619" customFormat="1" ht="24" x14ac:dyDescent="0.2">
      <c r="A921" s="598" t="s">
        <v>1907</v>
      </c>
      <c r="B921" s="620" t="s">
        <v>1908</v>
      </c>
      <c r="C921" s="598" t="s">
        <v>2015</v>
      </c>
      <c r="D921" s="598" t="s">
        <v>3270</v>
      </c>
      <c r="E921" s="621">
        <v>2500</v>
      </c>
      <c r="F921" s="599"/>
      <c r="G921" s="598" t="s">
        <v>3278</v>
      </c>
      <c r="H921" s="598" t="s">
        <v>3022</v>
      </c>
      <c r="I921" s="598" t="s">
        <v>1912</v>
      </c>
      <c r="J921" s="617" t="s">
        <v>1913</v>
      </c>
      <c r="K921" s="598"/>
      <c r="L921" s="598"/>
      <c r="M921" s="621"/>
      <c r="N921" s="598">
        <v>2</v>
      </c>
      <c r="O921" s="598">
        <v>3</v>
      </c>
      <c r="P921" s="618">
        <v>7500</v>
      </c>
    </row>
    <row r="922" spans="1:16" s="619" customFormat="1" ht="36" x14ac:dyDescent="0.2">
      <c r="A922" s="598" t="s">
        <v>1907</v>
      </c>
      <c r="B922" s="620" t="s">
        <v>2050</v>
      </c>
      <c r="C922" s="598" t="s">
        <v>2015</v>
      </c>
      <c r="D922" s="598" t="s">
        <v>3270</v>
      </c>
      <c r="E922" s="621">
        <v>4000</v>
      </c>
      <c r="F922" s="599">
        <v>46917914</v>
      </c>
      <c r="G922" s="598" t="s">
        <v>3279</v>
      </c>
      <c r="H922" s="598" t="s">
        <v>3280</v>
      </c>
      <c r="I922" s="598" t="s">
        <v>1912</v>
      </c>
      <c r="J922" s="617" t="s">
        <v>1913</v>
      </c>
      <c r="K922" s="598"/>
      <c r="L922" s="598"/>
      <c r="M922" s="621"/>
      <c r="N922" s="598">
        <v>4</v>
      </c>
      <c r="O922" s="598">
        <v>6</v>
      </c>
      <c r="P922" s="618">
        <v>24000</v>
      </c>
    </row>
    <row r="923" spans="1:16" s="619" customFormat="1" ht="36" x14ac:dyDescent="0.2">
      <c r="A923" s="598" t="s">
        <v>1907</v>
      </c>
      <c r="B923" s="620" t="s">
        <v>1908</v>
      </c>
      <c r="C923" s="598" t="s">
        <v>2015</v>
      </c>
      <c r="D923" s="598" t="s">
        <v>3270</v>
      </c>
      <c r="E923" s="621">
        <v>1800</v>
      </c>
      <c r="F923" s="599"/>
      <c r="G923" s="598" t="s">
        <v>3281</v>
      </c>
      <c r="H923" s="598"/>
      <c r="I923" s="598"/>
      <c r="J923" s="617"/>
      <c r="K923" s="598"/>
      <c r="L923" s="598"/>
      <c r="M923" s="621"/>
      <c r="N923" s="598">
        <v>3</v>
      </c>
      <c r="O923" s="598">
        <v>5</v>
      </c>
      <c r="P923" s="618">
        <v>9000</v>
      </c>
    </row>
    <row r="924" spans="1:16" s="619" customFormat="1" ht="48" x14ac:dyDescent="0.2">
      <c r="A924" s="598" t="s">
        <v>1907</v>
      </c>
      <c r="B924" s="620" t="s">
        <v>1908</v>
      </c>
      <c r="C924" s="598" t="s">
        <v>2015</v>
      </c>
      <c r="D924" s="598" t="s">
        <v>3270</v>
      </c>
      <c r="E924" s="621">
        <v>4500</v>
      </c>
      <c r="F924" s="599"/>
      <c r="G924" s="598" t="s">
        <v>3282</v>
      </c>
      <c r="H924" s="598" t="s">
        <v>1911</v>
      </c>
      <c r="I924" s="598" t="s">
        <v>1912</v>
      </c>
      <c r="J924" s="617" t="s">
        <v>1913</v>
      </c>
      <c r="K924" s="598"/>
      <c r="L924" s="598"/>
      <c r="M924" s="621"/>
      <c r="N924" s="598">
        <v>2</v>
      </c>
      <c r="O924" s="598">
        <v>3</v>
      </c>
      <c r="P924" s="618">
        <v>13500</v>
      </c>
    </row>
    <row r="925" spans="1:16" s="619" customFormat="1" ht="36" x14ac:dyDescent="0.2">
      <c r="A925" s="598" t="s">
        <v>1907</v>
      </c>
      <c r="B925" s="620" t="s">
        <v>2050</v>
      </c>
      <c r="C925" s="598" t="s">
        <v>2015</v>
      </c>
      <c r="D925" s="598" t="s">
        <v>3270</v>
      </c>
      <c r="E925" s="621">
        <v>3500</v>
      </c>
      <c r="F925" s="599">
        <v>45593737</v>
      </c>
      <c r="G925" s="598" t="s">
        <v>3283</v>
      </c>
      <c r="H925" s="598" t="s">
        <v>2979</v>
      </c>
      <c r="I925" s="598" t="s">
        <v>1912</v>
      </c>
      <c r="J925" s="617" t="s">
        <v>1913</v>
      </c>
      <c r="K925" s="598"/>
      <c r="L925" s="598"/>
      <c r="M925" s="621"/>
      <c r="N925" s="598">
        <v>4</v>
      </c>
      <c r="O925" s="598">
        <v>6</v>
      </c>
      <c r="P925" s="618">
        <v>21000</v>
      </c>
    </row>
    <row r="926" spans="1:16" s="619" customFormat="1" ht="36" x14ac:dyDescent="0.2">
      <c r="A926" s="598" t="s">
        <v>1907</v>
      </c>
      <c r="B926" s="620" t="s">
        <v>1908</v>
      </c>
      <c r="C926" s="598" t="s">
        <v>2015</v>
      </c>
      <c r="D926" s="598" t="s">
        <v>3270</v>
      </c>
      <c r="E926" s="621">
        <v>2500</v>
      </c>
      <c r="F926" s="599"/>
      <c r="G926" s="598" t="s">
        <v>3284</v>
      </c>
      <c r="H926" s="598" t="s">
        <v>3280</v>
      </c>
      <c r="I926" s="598" t="s">
        <v>1912</v>
      </c>
      <c r="J926" s="617" t="s">
        <v>1913</v>
      </c>
      <c r="K926" s="598"/>
      <c r="L926" s="598"/>
      <c r="M926" s="621"/>
      <c r="N926" s="598">
        <v>2</v>
      </c>
      <c r="O926" s="598">
        <v>4</v>
      </c>
      <c r="P926" s="618">
        <v>10000</v>
      </c>
    </row>
    <row r="927" spans="1:16" s="619" customFormat="1" ht="24" x14ac:dyDescent="0.2">
      <c r="A927" s="598" t="s">
        <v>1907</v>
      </c>
      <c r="B927" s="620" t="s">
        <v>1908</v>
      </c>
      <c r="C927" s="598" t="s">
        <v>2015</v>
      </c>
      <c r="D927" s="598" t="s">
        <v>3270</v>
      </c>
      <c r="E927" s="621">
        <v>1500</v>
      </c>
      <c r="F927" s="599">
        <v>45064662</v>
      </c>
      <c r="G927" s="598" t="s">
        <v>3285</v>
      </c>
      <c r="H927" s="598" t="s">
        <v>3125</v>
      </c>
      <c r="I927" s="598" t="s">
        <v>1912</v>
      </c>
      <c r="J927" s="617" t="s">
        <v>1931</v>
      </c>
      <c r="K927" s="598"/>
      <c r="L927" s="598"/>
      <c r="M927" s="621"/>
      <c r="N927" s="598">
        <v>2</v>
      </c>
      <c r="O927" s="598">
        <v>4</v>
      </c>
      <c r="P927" s="618">
        <v>6000</v>
      </c>
    </row>
    <row r="928" spans="1:16" s="619" customFormat="1" ht="24" x14ac:dyDescent="0.2">
      <c r="A928" s="598" t="s">
        <v>1907</v>
      </c>
      <c r="B928" s="620" t="s">
        <v>2050</v>
      </c>
      <c r="C928" s="598" t="s">
        <v>2015</v>
      </c>
      <c r="D928" s="598" t="s">
        <v>3270</v>
      </c>
      <c r="E928" s="621">
        <v>3000</v>
      </c>
      <c r="F928" s="599">
        <v>46552262</v>
      </c>
      <c r="G928" s="598" t="s">
        <v>3286</v>
      </c>
      <c r="H928" s="598" t="s">
        <v>1911</v>
      </c>
      <c r="I928" s="598" t="s">
        <v>1912</v>
      </c>
      <c r="J928" s="617" t="s">
        <v>1913</v>
      </c>
      <c r="K928" s="598"/>
      <c r="L928" s="598"/>
      <c r="M928" s="621"/>
      <c r="N928" s="598">
        <v>2</v>
      </c>
      <c r="O928" s="598">
        <v>4</v>
      </c>
      <c r="P928" s="618">
        <v>12000</v>
      </c>
    </row>
    <row r="929" spans="1:16" s="619" customFormat="1" ht="24" x14ac:dyDescent="0.2">
      <c r="A929" s="598" t="s">
        <v>1907</v>
      </c>
      <c r="B929" s="620" t="s">
        <v>2050</v>
      </c>
      <c r="C929" s="598" t="s">
        <v>2015</v>
      </c>
      <c r="D929" s="598" t="s">
        <v>3270</v>
      </c>
      <c r="E929" s="621">
        <v>2500</v>
      </c>
      <c r="F929" s="599">
        <v>71521387</v>
      </c>
      <c r="G929" s="598" t="s">
        <v>3287</v>
      </c>
      <c r="H929" s="598"/>
      <c r="I929" s="598"/>
      <c r="J929" s="617"/>
      <c r="K929" s="598"/>
      <c r="L929" s="598"/>
      <c r="M929" s="621"/>
      <c r="N929" s="598">
        <v>1</v>
      </c>
      <c r="O929" s="598">
        <v>2</v>
      </c>
      <c r="P929" s="618">
        <v>5000</v>
      </c>
    </row>
    <row r="930" spans="1:16" s="619" customFormat="1" ht="24" x14ac:dyDescent="0.2">
      <c r="A930" s="598" t="s">
        <v>1907</v>
      </c>
      <c r="B930" s="620" t="s">
        <v>2050</v>
      </c>
      <c r="C930" s="598" t="s">
        <v>2015</v>
      </c>
      <c r="D930" s="598" t="s">
        <v>3288</v>
      </c>
      <c r="E930" s="621">
        <v>4000</v>
      </c>
      <c r="F930" s="599">
        <v>41907778</v>
      </c>
      <c r="G930" s="598" t="s">
        <v>3289</v>
      </c>
      <c r="H930" s="598" t="s">
        <v>2921</v>
      </c>
      <c r="I930" s="598" t="s">
        <v>1912</v>
      </c>
      <c r="J930" s="617" t="s">
        <v>1913</v>
      </c>
      <c r="K930" s="598"/>
      <c r="L930" s="598"/>
      <c r="M930" s="621"/>
      <c r="N930" s="598">
        <v>4</v>
      </c>
      <c r="O930" s="598">
        <v>6</v>
      </c>
      <c r="P930" s="618">
        <v>24000</v>
      </c>
    </row>
    <row r="931" spans="1:16" s="619" customFormat="1" ht="24" x14ac:dyDescent="0.2">
      <c r="A931" s="598" t="s">
        <v>1907</v>
      </c>
      <c r="B931" s="620" t="s">
        <v>2050</v>
      </c>
      <c r="C931" s="598" t="s">
        <v>2015</v>
      </c>
      <c r="D931" s="598" t="s">
        <v>3288</v>
      </c>
      <c r="E931" s="621">
        <v>3500</v>
      </c>
      <c r="F931" s="599">
        <v>44886731</v>
      </c>
      <c r="G931" s="598" t="s">
        <v>3290</v>
      </c>
      <c r="H931" s="598" t="s">
        <v>2921</v>
      </c>
      <c r="I931" s="598" t="s">
        <v>1912</v>
      </c>
      <c r="J931" s="617" t="s">
        <v>1913</v>
      </c>
      <c r="K931" s="598"/>
      <c r="L931" s="598"/>
      <c r="M931" s="621"/>
      <c r="N931" s="598">
        <v>2</v>
      </c>
      <c r="O931" s="598">
        <v>3</v>
      </c>
      <c r="P931" s="618">
        <v>10500</v>
      </c>
    </row>
    <row r="932" spans="1:16" s="619" customFormat="1" ht="36" x14ac:dyDescent="0.2">
      <c r="A932" s="598" t="s">
        <v>1907</v>
      </c>
      <c r="B932" s="620" t="s">
        <v>2275</v>
      </c>
      <c r="C932" s="598" t="s">
        <v>2015</v>
      </c>
      <c r="D932" s="598" t="s">
        <v>3291</v>
      </c>
      <c r="E932" s="621">
        <v>3000</v>
      </c>
      <c r="F932" s="599"/>
      <c r="G932" s="598" t="s">
        <v>3292</v>
      </c>
      <c r="H932" s="598" t="s">
        <v>1911</v>
      </c>
      <c r="I932" s="598" t="s">
        <v>1912</v>
      </c>
      <c r="J932" s="617" t="s">
        <v>1913</v>
      </c>
      <c r="K932" s="598"/>
      <c r="L932" s="598"/>
      <c r="M932" s="621"/>
      <c r="N932" s="598">
        <v>4</v>
      </c>
      <c r="O932" s="598">
        <v>6</v>
      </c>
      <c r="P932" s="618">
        <v>18000</v>
      </c>
    </row>
    <row r="933" spans="1:16" s="619" customFormat="1" ht="36" x14ac:dyDescent="0.2">
      <c r="A933" s="598" t="s">
        <v>1907</v>
      </c>
      <c r="B933" s="620" t="s">
        <v>2275</v>
      </c>
      <c r="C933" s="598" t="s">
        <v>2015</v>
      </c>
      <c r="D933" s="598" t="s">
        <v>3291</v>
      </c>
      <c r="E933" s="621">
        <v>2000</v>
      </c>
      <c r="F933" s="599"/>
      <c r="G933" s="598" t="s">
        <v>3293</v>
      </c>
      <c r="H933" s="598" t="s">
        <v>2921</v>
      </c>
      <c r="I933" s="598" t="s">
        <v>1912</v>
      </c>
      <c r="J933" s="617" t="s">
        <v>1913</v>
      </c>
      <c r="K933" s="598"/>
      <c r="L933" s="598"/>
      <c r="M933" s="621"/>
      <c r="N933" s="598">
        <v>4</v>
      </c>
      <c r="O933" s="598">
        <v>6</v>
      </c>
      <c r="P933" s="618">
        <v>12000</v>
      </c>
    </row>
    <row r="934" spans="1:16" s="619" customFormat="1" ht="36" x14ac:dyDescent="0.2">
      <c r="A934" s="598" t="s">
        <v>1907</v>
      </c>
      <c r="B934" s="620" t="s">
        <v>2275</v>
      </c>
      <c r="C934" s="598" t="s">
        <v>2015</v>
      </c>
      <c r="D934" s="598" t="s">
        <v>3291</v>
      </c>
      <c r="E934" s="621">
        <v>1600</v>
      </c>
      <c r="F934" s="599">
        <v>46577562</v>
      </c>
      <c r="G934" s="598" t="s">
        <v>3294</v>
      </c>
      <c r="H934" s="598" t="s">
        <v>1931</v>
      </c>
      <c r="I934" s="598" t="s">
        <v>1912</v>
      </c>
      <c r="J934" s="617" t="s">
        <v>1931</v>
      </c>
      <c r="K934" s="598"/>
      <c r="L934" s="598"/>
      <c r="M934" s="621"/>
      <c r="N934" s="598">
        <v>4</v>
      </c>
      <c r="O934" s="598">
        <v>6</v>
      </c>
      <c r="P934" s="618">
        <v>9600</v>
      </c>
    </row>
    <row r="935" spans="1:16" s="619" customFormat="1" ht="36" x14ac:dyDescent="0.2">
      <c r="A935" s="598" t="s">
        <v>1907</v>
      </c>
      <c r="B935" s="620" t="s">
        <v>2275</v>
      </c>
      <c r="C935" s="598" t="s">
        <v>2015</v>
      </c>
      <c r="D935" s="598" t="s">
        <v>3291</v>
      </c>
      <c r="E935" s="621" t="s">
        <v>3295</v>
      </c>
      <c r="F935" s="599"/>
      <c r="G935" s="598" t="s">
        <v>3296</v>
      </c>
      <c r="H935" s="598" t="s">
        <v>1931</v>
      </c>
      <c r="I935" s="598" t="s">
        <v>1912</v>
      </c>
      <c r="J935" s="617" t="s">
        <v>1931</v>
      </c>
      <c r="K935" s="598"/>
      <c r="L935" s="598"/>
      <c r="M935" s="621"/>
      <c r="N935" s="598">
        <v>3</v>
      </c>
      <c r="O935" s="598">
        <v>5</v>
      </c>
      <c r="P935" s="618">
        <v>6000</v>
      </c>
    </row>
    <row r="936" spans="1:16" s="619" customFormat="1" ht="36" x14ac:dyDescent="0.2">
      <c r="A936" s="598" t="s">
        <v>1907</v>
      </c>
      <c r="B936" s="620" t="s">
        <v>2275</v>
      </c>
      <c r="C936" s="598" t="s">
        <v>2015</v>
      </c>
      <c r="D936" s="598" t="s">
        <v>3291</v>
      </c>
      <c r="E936" s="621">
        <v>1900</v>
      </c>
      <c r="F936" s="599"/>
      <c r="G936" s="598" t="s">
        <v>3297</v>
      </c>
      <c r="H936" s="598" t="s">
        <v>3009</v>
      </c>
      <c r="I936" s="598" t="s">
        <v>1912</v>
      </c>
      <c r="J936" s="617" t="s">
        <v>1913</v>
      </c>
      <c r="K936" s="598"/>
      <c r="L936" s="598"/>
      <c r="M936" s="621"/>
      <c r="N936" s="598">
        <v>1</v>
      </c>
      <c r="O936" s="598">
        <v>1</v>
      </c>
      <c r="P936" s="618">
        <v>1900</v>
      </c>
    </row>
    <row r="937" spans="1:16" s="619" customFormat="1" ht="36" x14ac:dyDescent="0.2">
      <c r="A937" s="598" t="s">
        <v>1907</v>
      </c>
      <c r="B937" s="620" t="s">
        <v>2275</v>
      </c>
      <c r="C937" s="598" t="s">
        <v>2015</v>
      </c>
      <c r="D937" s="598" t="s">
        <v>3291</v>
      </c>
      <c r="E937" s="621">
        <v>1500</v>
      </c>
      <c r="F937" s="599"/>
      <c r="G937" s="598" t="s">
        <v>3298</v>
      </c>
      <c r="H937" s="598"/>
      <c r="I937" s="598"/>
      <c r="J937" s="617"/>
      <c r="K937" s="598"/>
      <c r="L937" s="598"/>
      <c r="M937" s="621"/>
      <c r="N937" s="598">
        <v>3</v>
      </c>
      <c r="O937" s="598">
        <v>5</v>
      </c>
      <c r="P937" s="618">
        <v>7500</v>
      </c>
    </row>
    <row r="938" spans="1:16" s="619" customFormat="1" ht="36" x14ac:dyDescent="0.2">
      <c r="A938" s="598" t="s">
        <v>1907</v>
      </c>
      <c r="B938" s="620" t="s">
        <v>2275</v>
      </c>
      <c r="C938" s="598" t="s">
        <v>2015</v>
      </c>
      <c r="D938" s="598" t="s">
        <v>3291</v>
      </c>
      <c r="E938" s="621">
        <v>1200</v>
      </c>
      <c r="F938" s="599">
        <v>42841256</v>
      </c>
      <c r="G938" s="598" t="s">
        <v>3299</v>
      </c>
      <c r="H938" s="598" t="s">
        <v>2936</v>
      </c>
      <c r="I938" s="598" t="s">
        <v>1912</v>
      </c>
      <c r="J938" s="617" t="s">
        <v>1913</v>
      </c>
      <c r="K938" s="598"/>
      <c r="L938" s="598"/>
      <c r="M938" s="621"/>
      <c r="N938" s="598">
        <v>4</v>
      </c>
      <c r="O938" s="598">
        <v>6</v>
      </c>
      <c r="P938" s="618">
        <v>7200</v>
      </c>
    </row>
    <row r="939" spans="1:16" s="619" customFormat="1" ht="36" x14ac:dyDescent="0.2">
      <c r="A939" s="598" t="s">
        <v>1907</v>
      </c>
      <c r="B939" s="620" t="s">
        <v>2275</v>
      </c>
      <c r="C939" s="598" t="s">
        <v>2015</v>
      </c>
      <c r="D939" s="598" t="s">
        <v>3291</v>
      </c>
      <c r="E939" s="621">
        <v>1000</v>
      </c>
      <c r="F939" s="599">
        <v>33578392</v>
      </c>
      <c r="G939" s="598" t="s">
        <v>3300</v>
      </c>
      <c r="H939" s="598" t="s">
        <v>1919</v>
      </c>
      <c r="I939" s="598"/>
      <c r="J939" s="617"/>
      <c r="K939" s="598"/>
      <c r="L939" s="598"/>
      <c r="M939" s="621"/>
      <c r="N939" s="598">
        <v>3</v>
      </c>
      <c r="O939" s="598">
        <v>4</v>
      </c>
      <c r="P939" s="618">
        <v>4000</v>
      </c>
    </row>
    <row r="940" spans="1:16" s="619" customFormat="1" ht="36" x14ac:dyDescent="0.2">
      <c r="A940" s="598" t="s">
        <v>1907</v>
      </c>
      <c r="B940" s="620" t="s">
        <v>2275</v>
      </c>
      <c r="C940" s="598" t="s">
        <v>2015</v>
      </c>
      <c r="D940" s="598" t="s">
        <v>3291</v>
      </c>
      <c r="E940" s="621">
        <v>1000</v>
      </c>
      <c r="F940" s="599"/>
      <c r="G940" s="598" t="s">
        <v>3301</v>
      </c>
      <c r="H940" s="598" t="s">
        <v>1919</v>
      </c>
      <c r="I940" s="598"/>
      <c r="J940" s="617"/>
      <c r="K940" s="598"/>
      <c r="L940" s="598"/>
      <c r="M940" s="621"/>
      <c r="N940" s="598">
        <v>2</v>
      </c>
      <c r="O940" s="598">
        <v>3</v>
      </c>
      <c r="P940" s="618">
        <v>3000</v>
      </c>
    </row>
    <row r="941" spans="1:16" s="619" customFormat="1" ht="36" x14ac:dyDescent="0.2">
      <c r="A941" s="598" t="s">
        <v>1907</v>
      </c>
      <c r="B941" s="620" t="s">
        <v>2275</v>
      </c>
      <c r="C941" s="598" t="s">
        <v>2015</v>
      </c>
      <c r="D941" s="598" t="s">
        <v>3291</v>
      </c>
      <c r="E941" s="621">
        <v>1000</v>
      </c>
      <c r="F941" s="599">
        <v>44618539</v>
      </c>
      <c r="G941" s="598" t="s">
        <v>3302</v>
      </c>
      <c r="H941" s="598" t="s">
        <v>1919</v>
      </c>
      <c r="I941" s="598"/>
      <c r="J941" s="617"/>
      <c r="K941" s="598"/>
      <c r="L941" s="598"/>
      <c r="M941" s="621"/>
      <c r="N941" s="598">
        <v>1</v>
      </c>
      <c r="O941" s="598">
        <v>2</v>
      </c>
      <c r="P941" s="618">
        <v>2000</v>
      </c>
    </row>
    <row r="942" spans="1:16" s="619" customFormat="1" ht="24" x14ac:dyDescent="0.2">
      <c r="A942" s="598" t="s">
        <v>1907</v>
      </c>
      <c r="B942" s="620" t="s">
        <v>2032</v>
      </c>
      <c r="C942" s="598" t="s">
        <v>2015</v>
      </c>
      <c r="D942" s="598" t="s">
        <v>3303</v>
      </c>
      <c r="E942" s="621">
        <v>5500</v>
      </c>
      <c r="F942" s="599">
        <v>42292585</v>
      </c>
      <c r="G942" s="598" t="s">
        <v>3304</v>
      </c>
      <c r="H942" s="598" t="s">
        <v>2921</v>
      </c>
      <c r="I942" s="598" t="s">
        <v>1912</v>
      </c>
      <c r="J942" s="617" t="s">
        <v>1913</v>
      </c>
      <c r="K942" s="598"/>
      <c r="L942" s="598"/>
      <c r="M942" s="621"/>
      <c r="N942" s="598">
        <v>1</v>
      </c>
      <c r="O942" s="598">
        <v>1</v>
      </c>
      <c r="P942" s="618">
        <v>5500</v>
      </c>
    </row>
    <row r="943" spans="1:16" s="619" customFormat="1" ht="24" x14ac:dyDescent="0.2">
      <c r="A943" s="598" t="s">
        <v>1907</v>
      </c>
      <c r="B943" s="620" t="s">
        <v>2050</v>
      </c>
      <c r="C943" s="598" t="s">
        <v>2015</v>
      </c>
      <c r="D943" s="598" t="s">
        <v>3305</v>
      </c>
      <c r="E943" s="621">
        <v>1800</v>
      </c>
      <c r="F943" s="599">
        <v>45412778</v>
      </c>
      <c r="G943" s="598" t="s">
        <v>3306</v>
      </c>
      <c r="H943" s="598" t="s">
        <v>3307</v>
      </c>
      <c r="I943" s="598" t="s">
        <v>1912</v>
      </c>
      <c r="J943" s="617" t="s">
        <v>1913</v>
      </c>
      <c r="K943" s="598"/>
      <c r="L943" s="598"/>
      <c r="M943" s="621"/>
      <c r="N943" s="598">
        <v>2</v>
      </c>
      <c r="O943" s="598">
        <v>3</v>
      </c>
      <c r="P943" s="618">
        <v>5400</v>
      </c>
    </row>
    <row r="944" spans="1:16" s="619" customFormat="1" ht="24" x14ac:dyDescent="0.2">
      <c r="A944" s="598" t="s">
        <v>1907</v>
      </c>
      <c r="B944" s="620" t="s">
        <v>2050</v>
      </c>
      <c r="C944" s="598" t="s">
        <v>2015</v>
      </c>
      <c r="D944" s="598" t="s">
        <v>3305</v>
      </c>
      <c r="E944" s="621">
        <v>2500</v>
      </c>
      <c r="F944" s="599"/>
      <c r="G944" s="598" t="s">
        <v>3308</v>
      </c>
      <c r="H944" s="598" t="s">
        <v>1931</v>
      </c>
      <c r="I944" s="598" t="s">
        <v>1912</v>
      </c>
      <c r="J944" s="617" t="s">
        <v>1931</v>
      </c>
      <c r="K944" s="598"/>
      <c r="L944" s="598"/>
      <c r="M944" s="621"/>
      <c r="N944" s="598">
        <v>2</v>
      </c>
      <c r="O944" s="598">
        <v>4</v>
      </c>
      <c r="P944" s="618">
        <v>10000</v>
      </c>
    </row>
    <row r="945" spans="1:16" s="619" customFormat="1" ht="48" x14ac:dyDescent="0.2">
      <c r="A945" s="598" t="s">
        <v>1907</v>
      </c>
      <c r="B945" s="620" t="s">
        <v>2050</v>
      </c>
      <c r="C945" s="598" t="s">
        <v>2015</v>
      </c>
      <c r="D945" s="598" t="s">
        <v>3305</v>
      </c>
      <c r="E945" s="621">
        <v>1500</v>
      </c>
      <c r="F945" s="599"/>
      <c r="G945" s="598" t="s">
        <v>3309</v>
      </c>
      <c r="H945" s="598" t="s">
        <v>1931</v>
      </c>
      <c r="I945" s="598" t="s">
        <v>1912</v>
      </c>
      <c r="J945" s="617" t="s">
        <v>1931</v>
      </c>
      <c r="K945" s="598"/>
      <c r="L945" s="598"/>
      <c r="M945" s="621"/>
      <c r="N945" s="598">
        <v>4</v>
      </c>
      <c r="O945" s="598">
        <v>6</v>
      </c>
      <c r="P945" s="618">
        <v>9000</v>
      </c>
    </row>
    <row r="946" spans="1:16" s="619" customFormat="1" ht="24" x14ac:dyDescent="0.2">
      <c r="A946" s="598" t="s">
        <v>1907</v>
      </c>
      <c r="B946" s="620" t="s">
        <v>2050</v>
      </c>
      <c r="C946" s="598" t="s">
        <v>2015</v>
      </c>
      <c r="D946" s="598" t="s">
        <v>3305</v>
      </c>
      <c r="E946" s="621">
        <v>1200</v>
      </c>
      <c r="F946" s="599">
        <v>72558328</v>
      </c>
      <c r="G946" s="598" t="s">
        <v>3310</v>
      </c>
      <c r="H946" s="598" t="s">
        <v>2971</v>
      </c>
      <c r="I946" s="598"/>
      <c r="J946" s="617"/>
      <c r="K946" s="598"/>
      <c r="L946" s="598"/>
      <c r="M946" s="621"/>
      <c r="N946" s="598">
        <v>4</v>
      </c>
      <c r="O946" s="598">
        <v>6</v>
      </c>
      <c r="P946" s="618">
        <v>7200</v>
      </c>
    </row>
    <row r="947" spans="1:16" s="619" customFormat="1" ht="48" x14ac:dyDescent="0.2">
      <c r="A947" s="598" t="s">
        <v>1907</v>
      </c>
      <c r="B947" s="620" t="s">
        <v>2050</v>
      </c>
      <c r="C947" s="598" t="s">
        <v>2015</v>
      </c>
      <c r="D947" s="598" t="s">
        <v>3305</v>
      </c>
      <c r="E947" s="621">
        <v>4500</v>
      </c>
      <c r="F947" s="599"/>
      <c r="G947" s="598" t="s">
        <v>3311</v>
      </c>
      <c r="H947" s="598" t="s">
        <v>2921</v>
      </c>
      <c r="I947" s="598" t="s">
        <v>1912</v>
      </c>
      <c r="J947" s="617" t="s">
        <v>1913</v>
      </c>
      <c r="K947" s="598"/>
      <c r="L947" s="598"/>
      <c r="M947" s="621"/>
      <c r="N947" s="598">
        <v>2</v>
      </c>
      <c r="O947" s="598">
        <v>3</v>
      </c>
      <c r="P947" s="618">
        <v>13500</v>
      </c>
    </row>
    <row r="948" spans="1:16" s="619" customFormat="1" ht="36" x14ac:dyDescent="0.2">
      <c r="A948" s="598" t="s">
        <v>1907</v>
      </c>
      <c r="B948" s="620" t="s">
        <v>2050</v>
      </c>
      <c r="C948" s="598" t="s">
        <v>2015</v>
      </c>
      <c r="D948" s="598" t="s">
        <v>3305</v>
      </c>
      <c r="E948" s="621">
        <v>5000</v>
      </c>
      <c r="F948" s="599">
        <v>33423350</v>
      </c>
      <c r="G948" s="598" t="s">
        <v>3312</v>
      </c>
      <c r="H948" s="598" t="s">
        <v>2921</v>
      </c>
      <c r="I948" s="598" t="s">
        <v>1912</v>
      </c>
      <c r="J948" s="617" t="s">
        <v>1913</v>
      </c>
      <c r="K948" s="598"/>
      <c r="L948" s="598"/>
      <c r="M948" s="621"/>
      <c r="N948" s="598">
        <v>4</v>
      </c>
      <c r="O948" s="598">
        <v>6</v>
      </c>
      <c r="P948" s="618">
        <v>30000</v>
      </c>
    </row>
    <row r="949" spans="1:16" s="619" customFormat="1" ht="36" x14ac:dyDescent="0.2">
      <c r="A949" s="598" t="s">
        <v>1907</v>
      </c>
      <c r="B949" s="620" t="s">
        <v>2050</v>
      </c>
      <c r="C949" s="598" t="s">
        <v>2015</v>
      </c>
      <c r="D949" s="598" t="s">
        <v>3305</v>
      </c>
      <c r="E949" s="621">
        <v>2500</v>
      </c>
      <c r="F949" s="599">
        <v>72842163</v>
      </c>
      <c r="G949" s="598" t="s">
        <v>3313</v>
      </c>
      <c r="H949" s="598" t="s">
        <v>1931</v>
      </c>
      <c r="I949" s="598" t="s">
        <v>1912</v>
      </c>
      <c r="J949" s="617" t="s">
        <v>1931</v>
      </c>
      <c r="K949" s="598"/>
      <c r="L949" s="598"/>
      <c r="M949" s="621"/>
      <c r="N949" s="598">
        <v>4</v>
      </c>
      <c r="O949" s="598">
        <v>6</v>
      </c>
      <c r="P949" s="618">
        <v>15000</v>
      </c>
    </row>
    <row r="950" spans="1:16" s="619" customFormat="1" ht="24" x14ac:dyDescent="0.2">
      <c r="A950" s="598" t="s">
        <v>1907</v>
      </c>
      <c r="B950" s="620" t="s">
        <v>2050</v>
      </c>
      <c r="C950" s="598" t="s">
        <v>2015</v>
      </c>
      <c r="D950" s="598" t="s">
        <v>3305</v>
      </c>
      <c r="E950" s="621">
        <v>2000</v>
      </c>
      <c r="F950" s="599"/>
      <c r="G950" s="598" t="s">
        <v>3314</v>
      </c>
      <c r="H950" s="598"/>
      <c r="I950" s="598"/>
      <c r="J950" s="617"/>
      <c r="K950" s="598"/>
      <c r="L950" s="598"/>
      <c r="M950" s="621"/>
      <c r="N950" s="598">
        <v>4</v>
      </c>
      <c r="O950" s="598">
        <v>6</v>
      </c>
      <c r="P950" s="618">
        <v>12000</v>
      </c>
    </row>
    <row r="951" spans="1:16" s="619" customFormat="1" ht="36" x14ac:dyDescent="0.2">
      <c r="A951" s="598" t="s">
        <v>1907</v>
      </c>
      <c r="B951" s="620" t="s">
        <v>2050</v>
      </c>
      <c r="C951" s="598" t="s">
        <v>2015</v>
      </c>
      <c r="D951" s="598" t="s">
        <v>3305</v>
      </c>
      <c r="E951" s="621">
        <v>2500</v>
      </c>
      <c r="F951" s="599">
        <v>33430457</v>
      </c>
      <c r="G951" s="598" t="s">
        <v>3315</v>
      </c>
      <c r="H951" s="598" t="s">
        <v>1931</v>
      </c>
      <c r="I951" s="598" t="s">
        <v>1912</v>
      </c>
      <c r="J951" s="617" t="s">
        <v>1931</v>
      </c>
      <c r="K951" s="598"/>
      <c r="L951" s="598"/>
      <c r="M951" s="621"/>
      <c r="N951" s="598">
        <v>4</v>
      </c>
      <c r="O951" s="598">
        <v>6</v>
      </c>
      <c r="P951" s="618">
        <v>15000</v>
      </c>
    </row>
    <row r="952" spans="1:16" s="619" customFormat="1" ht="24" x14ac:dyDescent="0.2">
      <c r="A952" s="598" t="s">
        <v>1907</v>
      </c>
      <c r="B952" s="620" t="s">
        <v>2050</v>
      </c>
      <c r="C952" s="598" t="s">
        <v>2015</v>
      </c>
      <c r="D952" s="598" t="s">
        <v>3305</v>
      </c>
      <c r="E952" s="621">
        <v>2500</v>
      </c>
      <c r="F952" s="599">
        <v>72031644</v>
      </c>
      <c r="G952" s="598" t="s">
        <v>3316</v>
      </c>
      <c r="H952" s="598" t="s">
        <v>3022</v>
      </c>
      <c r="I952" s="598" t="s">
        <v>1912</v>
      </c>
      <c r="J952" s="617" t="s">
        <v>1913</v>
      </c>
      <c r="K952" s="598"/>
      <c r="L952" s="598"/>
      <c r="M952" s="621"/>
      <c r="N952" s="598">
        <v>2</v>
      </c>
      <c r="O952" s="598">
        <v>3</v>
      </c>
      <c r="P952" s="618">
        <v>7500</v>
      </c>
    </row>
    <row r="953" spans="1:16" s="619" customFormat="1" ht="24" x14ac:dyDescent="0.2">
      <c r="A953" s="598" t="s">
        <v>1907</v>
      </c>
      <c r="B953" s="620" t="s">
        <v>2050</v>
      </c>
      <c r="C953" s="598" t="s">
        <v>2015</v>
      </c>
      <c r="D953" s="598" t="s">
        <v>3305</v>
      </c>
      <c r="E953" s="621">
        <v>1500</v>
      </c>
      <c r="F953" s="599">
        <v>46878758</v>
      </c>
      <c r="G953" s="598" t="s">
        <v>3317</v>
      </c>
      <c r="H953" s="598" t="s">
        <v>1931</v>
      </c>
      <c r="I953" s="598" t="s">
        <v>1912</v>
      </c>
      <c r="J953" s="617" t="s">
        <v>1931</v>
      </c>
      <c r="K953" s="598"/>
      <c r="L953" s="598"/>
      <c r="M953" s="621"/>
      <c r="N953" s="598">
        <v>4</v>
      </c>
      <c r="O953" s="598">
        <v>6</v>
      </c>
      <c r="P953" s="618">
        <v>9000</v>
      </c>
    </row>
    <row r="954" spans="1:16" s="619" customFormat="1" ht="24" x14ac:dyDescent="0.2">
      <c r="A954" s="598" t="s">
        <v>1907</v>
      </c>
      <c r="B954" s="620" t="s">
        <v>2050</v>
      </c>
      <c r="C954" s="598" t="s">
        <v>2015</v>
      </c>
      <c r="D954" s="598" t="s">
        <v>3305</v>
      </c>
      <c r="E954" s="621">
        <v>3500</v>
      </c>
      <c r="F954" s="599">
        <v>44113931</v>
      </c>
      <c r="G954" s="598" t="s">
        <v>3318</v>
      </c>
      <c r="H954" s="598" t="s">
        <v>2921</v>
      </c>
      <c r="I954" s="598" t="s">
        <v>1912</v>
      </c>
      <c r="J954" s="617" t="s">
        <v>1913</v>
      </c>
      <c r="K954" s="598"/>
      <c r="L954" s="598"/>
      <c r="M954" s="621"/>
      <c r="N954" s="598">
        <v>4</v>
      </c>
      <c r="O954" s="598">
        <v>6</v>
      </c>
      <c r="P954" s="618">
        <v>21000</v>
      </c>
    </row>
    <row r="955" spans="1:16" s="619" customFormat="1" ht="36" x14ac:dyDescent="0.2">
      <c r="A955" s="598" t="s">
        <v>1907</v>
      </c>
      <c r="B955" s="620" t="s">
        <v>2050</v>
      </c>
      <c r="C955" s="598" t="s">
        <v>2015</v>
      </c>
      <c r="D955" s="598" t="s">
        <v>3305</v>
      </c>
      <c r="E955" s="621">
        <v>3500</v>
      </c>
      <c r="F955" s="599">
        <v>43752720</v>
      </c>
      <c r="G955" s="598" t="s">
        <v>3319</v>
      </c>
      <c r="H955" s="598" t="s">
        <v>2921</v>
      </c>
      <c r="I955" s="598" t="s">
        <v>1912</v>
      </c>
      <c r="J955" s="617" t="s">
        <v>1913</v>
      </c>
      <c r="K955" s="598"/>
      <c r="L955" s="598"/>
      <c r="M955" s="621"/>
      <c r="N955" s="598">
        <v>4</v>
      </c>
      <c r="O955" s="598">
        <v>6</v>
      </c>
      <c r="P955" s="618">
        <v>21000</v>
      </c>
    </row>
    <row r="956" spans="1:16" s="619" customFormat="1" ht="36" x14ac:dyDescent="0.2">
      <c r="A956" s="598" t="s">
        <v>1907</v>
      </c>
      <c r="B956" s="620" t="s">
        <v>2050</v>
      </c>
      <c r="C956" s="598" t="s">
        <v>2015</v>
      </c>
      <c r="D956" s="598" t="s">
        <v>3305</v>
      </c>
      <c r="E956" s="621">
        <v>2500</v>
      </c>
      <c r="F956" s="599">
        <v>42602724</v>
      </c>
      <c r="G956" s="598" t="s">
        <v>3320</v>
      </c>
      <c r="H956" s="598" t="s">
        <v>3022</v>
      </c>
      <c r="I956" s="598" t="s">
        <v>1912</v>
      </c>
      <c r="J956" s="617" t="s">
        <v>1913</v>
      </c>
      <c r="K956" s="598"/>
      <c r="L956" s="598"/>
      <c r="M956" s="621"/>
      <c r="N956" s="598">
        <v>4</v>
      </c>
      <c r="O956" s="598">
        <v>6</v>
      </c>
      <c r="P956" s="618">
        <v>15000</v>
      </c>
    </row>
    <row r="957" spans="1:16" s="619" customFormat="1" ht="36" x14ac:dyDescent="0.2">
      <c r="A957" s="598" t="s">
        <v>1907</v>
      </c>
      <c r="B957" s="620" t="s">
        <v>2050</v>
      </c>
      <c r="C957" s="598" t="s">
        <v>2015</v>
      </c>
      <c r="D957" s="598" t="s">
        <v>3305</v>
      </c>
      <c r="E957" s="621">
        <v>1500</v>
      </c>
      <c r="F957" s="599"/>
      <c r="G957" s="598" t="s">
        <v>3321</v>
      </c>
      <c r="H957" s="598" t="s">
        <v>1931</v>
      </c>
      <c r="I957" s="598" t="s">
        <v>1912</v>
      </c>
      <c r="J957" s="617" t="s">
        <v>1931</v>
      </c>
      <c r="K957" s="598"/>
      <c r="L957" s="598"/>
      <c r="M957" s="621"/>
      <c r="N957" s="598">
        <v>3</v>
      </c>
      <c r="O957" s="598">
        <v>5</v>
      </c>
      <c r="P957" s="618">
        <v>7500</v>
      </c>
    </row>
    <row r="958" spans="1:16" s="619" customFormat="1" ht="36" x14ac:dyDescent="0.2">
      <c r="A958" s="598" t="s">
        <v>1907</v>
      </c>
      <c r="B958" s="620" t="s">
        <v>2050</v>
      </c>
      <c r="C958" s="598" t="s">
        <v>2015</v>
      </c>
      <c r="D958" s="598" t="s">
        <v>3305</v>
      </c>
      <c r="E958" s="621">
        <v>1000</v>
      </c>
      <c r="F958" s="599">
        <v>48141788</v>
      </c>
      <c r="G958" s="598" t="s">
        <v>3322</v>
      </c>
      <c r="H958" s="598" t="s">
        <v>1931</v>
      </c>
      <c r="I958" s="598" t="s">
        <v>1912</v>
      </c>
      <c r="J958" s="617" t="s">
        <v>1931</v>
      </c>
      <c r="K958" s="598"/>
      <c r="L958" s="598"/>
      <c r="M958" s="621"/>
      <c r="N958" s="598">
        <v>3</v>
      </c>
      <c r="O958" s="598">
        <v>5</v>
      </c>
      <c r="P958" s="618">
        <v>5000</v>
      </c>
    </row>
    <row r="959" spans="1:16" s="619" customFormat="1" ht="36" x14ac:dyDescent="0.2">
      <c r="A959" s="598" t="s">
        <v>1907</v>
      </c>
      <c r="B959" s="620" t="s">
        <v>2050</v>
      </c>
      <c r="C959" s="598" t="s">
        <v>2015</v>
      </c>
      <c r="D959" s="598" t="s">
        <v>3305</v>
      </c>
      <c r="E959" s="621">
        <v>2500</v>
      </c>
      <c r="F959" s="599"/>
      <c r="G959" s="598" t="s">
        <v>3323</v>
      </c>
      <c r="H959" s="598" t="s">
        <v>1931</v>
      </c>
      <c r="I959" s="598" t="s">
        <v>1912</v>
      </c>
      <c r="J959" s="617" t="s">
        <v>1931</v>
      </c>
      <c r="K959" s="598"/>
      <c r="L959" s="598"/>
      <c r="M959" s="621"/>
      <c r="N959" s="598">
        <v>3</v>
      </c>
      <c r="O959" s="598">
        <v>5</v>
      </c>
      <c r="P959" s="618">
        <v>12500</v>
      </c>
    </row>
    <row r="960" spans="1:16" s="619" customFormat="1" ht="24" x14ac:dyDescent="0.2">
      <c r="A960" s="598" t="s">
        <v>1907</v>
      </c>
      <c r="B960" s="620" t="s">
        <v>2050</v>
      </c>
      <c r="C960" s="598" t="s">
        <v>2015</v>
      </c>
      <c r="D960" s="598" t="s">
        <v>3305</v>
      </c>
      <c r="E960" s="621">
        <v>1500</v>
      </c>
      <c r="F960" s="599"/>
      <c r="G960" s="598" t="s">
        <v>3324</v>
      </c>
      <c r="H960" s="598" t="s">
        <v>1931</v>
      </c>
      <c r="I960" s="598" t="s">
        <v>1912</v>
      </c>
      <c r="J960" s="617" t="s">
        <v>1931</v>
      </c>
      <c r="K960" s="598"/>
      <c r="L960" s="598"/>
      <c r="M960" s="621"/>
      <c r="N960" s="598">
        <v>4</v>
      </c>
      <c r="O960" s="598">
        <v>6</v>
      </c>
      <c r="P960" s="618">
        <v>9000</v>
      </c>
    </row>
    <row r="961" spans="1:16" s="619" customFormat="1" ht="24" x14ac:dyDescent="0.2">
      <c r="A961" s="598" t="s">
        <v>1907</v>
      </c>
      <c r="B961" s="620" t="s">
        <v>2050</v>
      </c>
      <c r="C961" s="598" t="s">
        <v>2015</v>
      </c>
      <c r="D961" s="598" t="s">
        <v>3305</v>
      </c>
      <c r="E961" s="621">
        <v>1100</v>
      </c>
      <c r="F961" s="599"/>
      <c r="G961" s="598" t="s">
        <v>3325</v>
      </c>
      <c r="H961" s="598"/>
      <c r="I961" s="598"/>
      <c r="J961" s="617"/>
      <c r="K961" s="598"/>
      <c r="L961" s="598"/>
      <c r="M961" s="621"/>
      <c r="N961" s="598">
        <v>2</v>
      </c>
      <c r="O961" s="598">
        <v>3</v>
      </c>
      <c r="P961" s="618">
        <v>3300</v>
      </c>
    </row>
    <row r="962" spans="1:16" s="619" customFormat="1" ht="24" x14ac:dyDescent="0.2">
      <c r="A962" s="598" t="s">
        <v>1907</v>
      </c>
      <c r="B962" s="620" t="s">
        <v>2050</v>
      </c>
      <c r="C962" s="598" t="s">
        <v>2015</v>
      </c>
      <c r="D962" s="598" t="s">
        <v>3305</v>
      </c>
      <c r="E962" s="621">
        <v>1500</v>
      </c>
      <c r="F962" s="599">
        <v>40813388</v>
      </c>
      <c r="G962" s="598" t="s">
        <v>3326</v>
      </c>
      <c r="H962" s="598"/>
      <c r="I962" s="598"/>
      <c r="J962" s="617"/>
      <c r="K962" s="598"/>
      <c r="L962" s="598"/>
      <c r="M962" s="621"/>
      <c r="N962" s="598">
        <v>3</v>
      </c>
      <c r="O962" s="598">
        <v>5</v>
      </c>
      <c r="P962" s="618">
        <v>7500</v>
      </c>
    </row>
    <row r="963" spans="1:16" s="619" customFormat="1" ht="36" x14ac:dyDescent="0.2">
      <c r="A963" s="598" t="s">
        <v>1907</v>
      </c>
      <c r="B963" s="620" t="s">
        <v>2050</v>
      </c>
      <c r="C963" s="598" t="s">
        <v>2015</v>
      </c>
      <c r="D963" s="598" t="s">
        <v>3305</v>
      </c>
      <c r="E963" s="621">
        <v>1500</v>
      </c>
      <c r="F963" s="599">
        <v>48432258</v>
      </c>
      <c r="G963" s="598" t="s">
        <v>3327</v>
      </c>
      <c r="H963" s="598"/>
      <c r="I963" s="598"/>
      <c r="J963" s="617"/>
      <c r="K963" s="598"/>
      <c r="L963" s="598"/>
      <c r="M963" s="621"/>
      <c r="N963" s="598">
        <v>3</v>
      </c>
      <c r="O963" s="598">
        <v>5</v>
      </c>
      <c r="P963" s="618">
        <v>7500</v>
      </c>
    </row>
    <row r="964" spans="1:16" s="619" customFormat="1" ht="36" x14ac:dyDescent="0.2">
      <c r="A964" s="598" t="s">
        <v>1907</v>
      </c>
      <c r="B964" s="620" t="s">
        <v>2050</v>
      </c>
      <c r="C964" s="598" t="s">
        <v>2015</v>
      </c>
      <c r="D964" s="598" t="s">
        <v>3305</v>
      </c>
      <c r="E964" s="621">
        <v>2500</v>
      </c>
      <c r="F964" s="599">
        <v>43574089</v>
      </c>
      <c r="G964" s="598" t="s">
        <v>3328</v>
      </c>
      <c r="H964" s="598"/>
      <c r="I964" s="598"/>
      <c r="J964" s="617"/>
      <c r="K964" s="598"/>
      <c r="L964" s="598"/>
      <c r="M964" s="621"/>
      <c r="N964" s="598">
        <v>3</v>
      </c>
      <c r="O964" s="598">
        <v>5</v>
      </c>
      <c r="P964" s="618">
        <v>12500</v>
      </c>
    </row>
    <row r="965" spans="1:16" s="619" customFormat="1" ht="36" x14ac:dyDescent="0.2">
      <c r="A965" s="598" t="s">
        <v>1907</v>
      </c>
      <c r="B965" s="620" t="s">
        <v>2050</v>
      </c>
      <c r="C965" s="598" t="s">
        <v>2015</v>
      </c>
      <c r="D965" s="598" t="s">
        <v>3305</v>
      </c>
      <c r="E965" s="621">
        <v>2900</v>
      </c>
      <c r="F965" s="599">
        <v>47031550</v>
      </c>
      <c r="G965" s="598" t="s">
        <v>3261</v>
      </c>
      <c r="H965" s="598"/>
      <c r="I965" s="598"/>
      <c r="J965" s="617"/>
      <c r="K965" s="598"/>
      <c r="L965" s="598"/>
      <c r="M965" s="621"/>
      <c r="N965" s="598">
        <v>3</v>
      </c>
      <c r="O965" s="598">
        <v>5</v>
      </c>
      <c r="P965" s="618">
        <v>14500</v>
      </c>
    </row>
    <row r="966" spans="1:16" s="619" customFormat="1" ht="24" x14ac:dyDescent="0.2">
      <c r="A966" s="598" t="s">
        <v>1907</v>
      </c>
      <c r="B966" s="620" t="s">
        <v>2050</v>
      </c>
      <c r="C966" s="598" t="s">
        <v>2015</v>
      </c>
      <c r="D966" s="598" t="s">
        <v>3305</v>
      </c>
      <c r="E966" s="621">
        <v>4500</v>
      </c>
      <c r="F966" s="599">
        <v>16512765</v>
      </c>
      <c r="G966" s="598" t="s">
        <v>3329</v>
      </c>
      <c r="H966" s="598"/>
      <c r="I966" s="598"/>
      <c r="J966" s="617"/>
      <c r="K966" s="598"/>
      <c r="L966" s="598"/>
      <c r="M966" s="621"/>
      <c r="N966" s="598">
        <v>1</v>
      </c>
      <c r="O966" s="598">
        <v>2</v>
      </c>
      <c r="P966" s="618">
        <v>9000</v>
      </c>
    </row>
    <row r="967" spans="1:16" s="619" customFormat="1" ht="24" x14ac:dyDescent="0.2">
      <c r="A967" s="598" t="s">
        <v>1907</v>
      </c>
      <c r="B967" s="620" t="s">
        <v>2050</v>
      </c>
      <c r="C967" s="598" t="s">
        <v>2015</v>
      </c>
      <c r="D967" s="598" t="s">
        <v>3305</v>
      </c>
      <c r="E967" s="621">
        <v>1100</v>
      </c>
      <c r="F967" s="599">
        <v>44618539</v>
      </c>
      <c r="G967" s="598" t="s">
        <v>3330</v>
      </c>
      <c r="H967" s="598" t="s">
        <v>1919</v>
      </c>
      <c r="I967" s="598"/>
      <c r="J967" s="617"/>
      <c r="K967" s="598"/>
      <c r="L967" s="598"/>
      <c r="M967" s="621"/>
      <c r="N967" s="598">
        <v>1</v>
      </c>
      <c r="O967" s="598">
        <v>1</v>
      </c>
      <c r="P967" s="618">
        <v>1100</v>
      </c>
    </row>
    <row r="968" spans="1:16" s="619" customFormat="1" ht="24" x14ac:dyDescent="0.2">
      <c r="A968" s="598" t="s">
        <v>1907</v>
      </c>
      <c r="B968" s="620" t="s">
        <v>2050</v>
      </c>
      <c r="C968" s="598" t="s">
        <v>2015</v>
      </c>
      <c r="D968" s="598" t="s">
        <v>3331</v>
      </c>
      <c r="E968" s="621">
        <v>2500</v>
      </c>
      <c r="F968" s="599">
        <v>41778613</v>
      </c>
      <c r="G968" s="598" t="s">
        <v>3332</v>
      </c>
      <c r="H968" s="598" t="s">
        <v>1931</v>
      </c>
      <c r="I968" s="598" t="s">
        <v>1912</v>
      </c>
      <c r="J968" s="617" t="s">
        <v>1931</v>
      </c>
      <c r="K968" s="598"/>
      <c r="L968" s="598"/>
      <c r="M968" s="621"/>
      <c r="N968" s="598">
        <v>4</v>
      </c>
      <c r="O968" s="598">
        <v>6</v>
      </c>
      <c r="P968" s="618">
        <v>15000</v>
      </c>
    </row>
    <row r="969" spans="1:16" s="619" customFormat="1" ht="36" x14ac:dyDescent="0.2">
      <c r="A969" s="598" t="s">
        <v>1907</v>
      </c>
      <c r="B969" s="620" t="s">
        <v>2050</v>
      </c>
      <c r="C969" s="598" t="s">
        <v>2015</v>
      </c>
      <c r="D969" s="598" t="s">
        <v>3331</v>
      </c>
      <c r="E969" s="621">
        <v>900</v>
      </c>
      <c r="F969" s="599">
        <v>33741974</v>
      </c>
      <c r="G969" s="598" t="s">
        <v>3333</v>
      </c>
      <c r="H969" s="598" t="s">
        <v>1919</v>
      </c>
      <c r="I969" s="598"/>
      <c r="J969" s="617"/>
      <c r="K969" s="598"/>
      <c r="L969" s="598"/>
      <c r="M969" s="621"/>
      <c r="N969" s="598">
        <v>4</v>
      </c>
      <c r="O969" s="598">
        <v>6</v>
      </c>
      <c r="P969" s="618">
        <v>5400</v>
      </c>
    </row>
    <row r="970" spans="1:16" s="619" customFormat="1" ht="36" x14ac:dyDescent="0.2">
      <c r="A970" s="598" t="s">
        <v>1907</v>
      </c>
      <c r="B970" s="620" t="s">
        <v>2050</v>
      </c>
      <c r="C970" s="598" t="s">
        <v>2015</v>
      </c>
      <c r="D970" s="598" t="s">
        <v>3331</v>
      </c>
      <c r="E970" s="621">
        <v>4250</v>
      </c>
      <c r="F970" s="599">
        <v>41480671</v>
      </c>
      <c r="G970" s="598" t="s">
        <v>3334</v>
      </c>
      <c r="H970" s="598" t="s">
        <v>2921</v>
      </c>
      <c r="I970" s="598" t="s">
        <v>1912</v>
      </c>
      <c r="J970" s="617" t="s">
        <v>1913</v>
      </c>
      <c r="K970" s="598"/>
      <c r="L970" s="598"/>
      <c r="M970" s="621"/>
      <c r="N970" s="598">
        <v>4</v>
      </c>
      <c r="O970" s="598">
        <v>6</v>
      </c>
      <c r="P970" s="618">
        <v>25500</v>
      </c>
    </row>
    <row r="971" spans="1:16" s="619" customFormat="1" ht="24" x14ac:dyDescent="0.2">
      <c r="A971" s="598" t="s">
        <v>1907</v>
      </c>
      <c r="B971" s="620" t="s">
        <v>2050</v>
      </c>
      <c r="C971" s="598" t="s">
        <v>2015</v>
      </c>
      <c r="D971" s="598" t="s">
        <v>3331</v>
      </c>
      <c r="E971" s="621">
        <v>3000</v>
      </c>
      <c r="F971" s="599">
        <v>41778613</v>
      </c>
      <c r="G971" s="598" t="s">
        <v>3335</v>
      </c>
      <c r="H971" s="598" t="s">
        <v>2939</v>
      </c>
      <c r="I971" s="598" t="s">
        <v>1912</v>
      </c>
      <c r="J971" s="617" t="s">
        <v>1913</v>
      </c>
      <c r="K971" s="598"/>
      <c r="L971" s="598"/>
      <c r="M971" s="621"/>
      <c r="N971" s="598">
        <v>4</v>
      </c>
      <c r="O971" s="598">
        <v>6</v>
      </c>
      <c r="P971" s="618">
        <v>18000</v>
      </c>
    </row>
    <row r="972" spans="1:16" s="619" customFormat="1" ht="24" x14ac:dyDescent="0.2">
      <c r="A972" s="598" t="s">
        <v>1907</v>
      </c>
      <c r="B972" s="620" t="s">
        <v>2050</v>
      </c>
      <c r="C972" s="598" t="s">
        <v>2015</v>
      </c>
      <c r="D972" s="598" t="s">
        <v>3331</v>
      </c>
      <c r="E972" s="621">
        <v>2500</v>
      </c>
      <c r="F972" s="599"/>
      <c r="G972" s="598" t="s">
        <v>3336</v>
      </c>
      <c r="H972" s="598" t="s">
        <v>1931</v>
      </c>
      <c r="I972" s="598" t="s">
        <v>1912</v>
      </c>
      <c r="J972" s="617" t="s">
        <v>1931</v>
      </c>
      <c r="K972" s="598"/>
      <c r="L972" s="598"/>
      <c r="M972" s="621"/>
      <c r="N972" s="598">
        <v>4</v>
      </c>
      <c r="O972" s="598">
        <v>6</v>
      </c>
      <c r="P972" s="618">
        <v>15000</v>
      </c>
    </row>
    <row r="973" spans="1:16" s="619" customFormat="1" ht="24" x14ac:dyDescent="0.2">
      <c r="A973" s="598" t="s">
        <v>1907</v>
      </c>
      <c r="B973" s="620" t="s">
        <v>2050</v>
      </c>
      <c r="C973" s="598" t="s">
        <v>2015</v>
      </c>
      <c r="D973" s="598" t="s">
        <v>3331</v>
      </c>
      <c r="E973" s="621">
        <v>900</v>
      </c>
      <c r="F973" s="599">
        <v>42119028</v>
      </c>
      <c r="G973" s="598" t="s">
        <v>3337</v>
      </c>
      <c r="H973" s="598"/>
      <c r="I973" s="598"/>
      <c r="J973" s="617"/>
      <c r="K973" s="598"/>
      <c r="L973" s="598"/>
      <c r="M973" s="621"/>
      <c r="N973" s="598">
        <v>2</v>
      </c>
      <c r="O973" s="598">
        <v>3</v>
      </c>
      <c r="P973" s="618">
        <v>2700</v>
      </c>
    </row>
    <row r="974" spans="1:16" s="619" customFormat="1" ht="36" x14ac:dyDescent="0.2">
      <c r="A974" s="598" t="s">
        <v>1907</v>
      </c>
      <c r="B974" s="620" t="s">
        <v>2050</v>
      </c>
      <c r="C974" s="598" t="s">
        <v>2015</v>
      </c>
      <c r="D974" s="598" t="s">
        <v>3338</v>
      </c>
      <c r="E974" s="621">
        <v>1800</v>
      </c>
      <c r="F974" s="599">
        <v>46406267</v>
      </c>
      <c r="G974" s="598" t="s">
        <v>3339</v>
      </c>
      <c r="H974" s="598" t="s">
        <v>3022</v>
      </c>
      <c r="I974" s="598" t="s">
        <v>1912</v>
      </c>
      <c r="J974" s="617" t="s">
        <v>1913</v>
      </c>
      <c r="K974" s="598"/>
      <c r="L974" s="598"/>
      <c r="M974" s="621"/>
      <c r="N974" s="598">
        <v>1</v>
      </c>
      <c r="O974" s="598">
        <v>1</v>
      </c>
      <c r="P974" s="618">
        <v>1800</v>
      </c>
    </row>
    <row r="975" spans="1:16" s="619" customFormat="1" ht="36" x14ac:dyDescent="0.2">
      <c r="A975" s="598" t="s">
        <v>1907</v>
      </c>
      <c r="B975" s="620" t="s">
        <v>2050</v>
      </c>
      <c r="C975" s="598" t="s">
        <v>2015</v>
      </c>
      <c r="D975" s="598" t="s">
        <v>3338</v>
      </c>
      <c r="E975" s="621">
        <v>2000</v>
      </c>
      <c r="F975" s="599">
        <v>73622974</v>
      </c>
      <c r="G975" s="598" t="s">
        <v>3340</v>
      </c>
      <c r="H975" s="598" t="s">
        <v>3341</v>
      </c>
      <c r="I975" s="598" t="s">
        <v>1912</v>
      </c>
      <c r="J975" s="617" t="s">
        <v>1931</v>
      </c>
      <c r="K975" s="598"/>
      <c r="L975" s="598"/>
      <c r="M975" s="621"/>
      <c r="N975" s="598">
        <v>3</v>
      </c>
      <c r="O975" s="598">
        <v>5</v>
      </c>
      <c r="P975" s="618">
        <v>10000</v>
      </c>
    </row>
    <row r="976" spans="1:16" s="619" customFormat="1" ht="24" x14ac:dyDescent="0.2">
      <c r="A976" s="598" t="s">
        <v>1907</v>
      </c>
      <c r="B976" s="620" t="s">
        <v>2050</v>
      </c>
      <c r="C976" s="598" t="s">
        <v>2015</v>
      </c>
      <c r="D976" s="598" t="s">
        <v>3338</v>
      </c>
      <c r="E976" s="621">
        <v>1800</v>
      </c>
      <c r="F976" s="599">
        <v>42015721</v>
      </c>
      <c r="G976" s="598" t="s">
        <v>3342</v>
      </c>
      <c r="H976" s="598" t="s">
        <v>3022</v>
      </c>
      <c r="I976" s="598" t="s">
        <v>1912</v>
      </c>
      <c r="J976" s="617" t="s">
        <v>1913</v>
      </c>
      <c r="K976" s="598"/>
      <c r="L976" s="598"/>
      <c r="M976" s="621"/>
      <c r="N976" s="598">
        <v>4</v>
      </c>
      <c r="O976" s="598">
        <v>6</v>
      </c>
      <c r="P976" s="618">
        <v>10800</v>
      </c>
    </row>
    <row r="977" spans="1:16" s="619" customFormat="1" ht="36" x14ac:dyDescent="0.2">
      <c r="A977" s="598" t="s">
        <v>1907</v>
      </c>
      <c r="B977" s="620" t="s">
        <v>2050</v>
      </c>
      <c r="C977" s="598" t="s">
        <v>2015</v>
      </c>
      <c r="D977" s="598" t="s">
        <v>3338</v>
      </c>
      <c r="E977" s="621">
        <v>3000</v>
      </c>
      <c r="F977" s="599">
        <v>44640431</v>
      </c>
      <c r="G977" s="598" t="s">
        <v>3343</v>
      </c>
      <c r="H977" s="598" t="s">
        <v>2921</v>
      </c>
      <c r="I977" s="598" t="s">
        <v>1912</v>
      </c>
      <c r="J977" s="617" t="s">
        <v>1913</v>
      </c>
      <c r="K977" s="598"/>
      <c r="L977" s="598"/>
      <c r="M977" s="621"/>
      <c r="N977" s="598">
        <v>3</v>
      </c>
      <c r="O977" s="598">
        <v>3</v>
      </c>
      <c r="P977" s="618">
        <v>9000</v>
      </c>
    </row>
    <row r="978" spans="1:16" s="619" customFormat="1" ht="48" x14ac:dyDescent="0.2">
      <c r="A978" s="598" t="s">
        <v>1907</v>
      </c>
      <c r="B978" s="620" t="s">
        <v>2050</v>
      </c>
      <c r="C978" s="598" t="s">
        <v>2015</v>
      </c>
      <c r="D978" s="598" t="s">
        <v>3338</v>
      </c>
      <c r="E978" s="621">
        <v>3000</v>
      </c>
      <c r="F978" s="599">
        <v>46449406</v>
      </c>
      <c r="G978" s="598" t="s">
        <v>3344</v>
      </c>
      <c r="H978" s="598" t="s">
        <v>2921</v>
      </c>
      <c r="I978" s="598" t="s">
        <v>1912</v>
      </c>
      <c r="J978" s="617" t="s">
        <v>1913</v>
      </c>
      <c r="K978" s="598"/>
      <c r="L978" s="598"/>
      <c r="M978" s="621"/>
      <c r="N978" s="598">
        <v>4</v>
      </c>
      <c r="O978" s="598">
        <v>6</v>
      </c>
      <c r="P978" s="618">
        <v>18000</v>
      </c>
    </row>
    <row r="979" spans="1:16" s="619" customFormat="1" ht="36" x14ac:dyDescent="0.2">
      <c r="A979" s="598" t="s">
        <v>1907</v>
      </c>
      <c r="B979" s="620" t="s">
        <v>2050</v>
      </c>
      <c r="C979" s="598" t="s">
        <v>2015</v>
      </c>
      <c r="D979" s="598" t="s">
        <v>3338</v>
      </c>
      <c r="E979" s="621">
        <v>1200</v>
      </c>
      <c r="F979" s="599">
        <v>70304455</v>
      </c>
      <c r="G979" s="598" t="s">
        <v>3345</v>
      </c>
      <c r="H979" s="598" t="s">
        <v>3346</v>
      </c>
      <c r="I979" s="598" t="s">
        <v>1912</v>
      </c>
      <c r="J979" s="617" t="s">
        <v>1931</v>
      </c>
      <c r="K979" s="598"/>
      <c r="L979" s="598"/>
      <c r="M979" s="621"/>
      <c r="N979" s="598">
        <v>2</v>
      </c>
      <c r="O979" s="598">
        <v>3</v>
      </c>
      <c r="P979" s="618">
        <v>3600</v>
      </c>
    </row>
    <row r="980" spans="1:16" s="619" customFormat="1" ht="36" x14ac:dyDescent="0.2">
      <c r="A980" s="598" t="s">
        <v>1907</v>
      </c>
      <c r="B980" s="620" t="s">
        <v>2050</v>
      </c>
      <c r="C980" s="598" t="s">
        <v>2015</v>
      </c>
      <c r="D980" s="598" t="s">
        <v>3338</v>
      </c>
      <c r="E980" s="621">
        <v>1200</v>
      </c>
      <c r="F980" s="599">
        <v>33789039</v>
      </c>
      <c r="G980" s="598" t="s">
        <v>3347</v>
      </c>
      <c r="H980" s="598" t="s">
        <v>1919</v>
      </c>
      <c r="I980" s="598"/>
      <c r="J980" s="617"/>
      <c r="K980" s="598"/>
      <c r="L980" s="598"/>
      <c r="M980" s="621"/>
      <c r="N980" s="598">
        <v>4</v>
      </c>
      <c r="O980" s="598">
        <v>6</v>
      </c>
      <c r="P980" s="618">
        <v>7200</v>
      </c>
    </row>
    <row r="981" spans="1:16" s="619" customFormat="1" ht="36" x14ac:dyDescent="0.2">
      <c r="A981" s="598" t="s">
        <v>1907</v>
      </c>
      <c r="B981" s="620" t="s">
        <v>2050</v>
      </c>
      <c r="C981" s="598" t="s">
        <v>2015</v>
      </c>
      <c r="D981" s="598" t="s">
        <v>3338</v>
      </c>
      <c r="E981" s="621">
        <v>1800</v>
      </c>
      <c r="F981" s="599">
        <v>43113061</v>
      </c>
      <c r="G981" s="598" t="s">
        <v>3348</v>
      </c>
      <c r="H981" s="598" t="s">
        <v>3022</v>
      </c>
      <c r="I981" s="598" t="s">
        <v>1912</v>
      </c>
      <c r="J981" s="617" t="s">
        <v>1913</v>
      </c>
      <c r="K981" s="598"/>
      <c r="L981" s="598"/>
      <c r="M981" s="621"/>
      <c r="N981" s="598">
        <v>4</v>
      </c>
      <c r="O981" s="598">
        <v>6</v>
      </c>
      <c r="P981" s="618">
        <v>10800</v>
      </c>
    </row>
    <row r="982" spans="1:16" s="619" customFormat="1" ht="24" x14ac:dyDescent="0.2">
      <c r="A982" s="598" t="s">
        <v>1907</v>
      </c>
      <c r="B982" s="620" t="s">
        <v>2050</v>
      </c>
      <c r="C982" s="598" t="s">
        <v>2015</v>
      </c>
      <c r="D982" s="598" t="s">
        <v>3338</v>
      </c>
      <c r="E982" s="621">
        <v>3000</v>
      </c>
      <c r="F982" s="599">
        <v>45763050</v>
      </c>
      <c r="G982" s="598" t="s">
        <v>3349</v>
      </c>
      <c r="H982" s="598" t="s">
        <v>3022</v>
      </c>
      <c r="I982" s="598" t="s">
        <v>1912</v>
      </c>
      <c r="J982" s="617" t="s">
        <v>1913</v>
      </c>
      <c r="K982" s="598"/>
      <c r="L982" s="598"/>
      <c r="M982" s="621"/>
      <c r="N982" s="598">
        <v>2</v>
      </c>
      <c r="O982" s="598">
        <v>2</v>
      </c>
      <c r="P982" s="618">
        <v>6000</v>
      </c>
    </row>
    <row r="983" spans="1:16" s="619" customFormat="1" ht="24" x14ac:dyDescent="0.2">
      <c r="A983" s="598" t="s">
        <v>1907</v>
      </c>
      <c r="B983" s="620" t="s">
        <v>2050</v>
      </c>
      <c r="C983" s="598" t="s">
        <v>2015</v>
      </c>
      <c r="D983" s="598" t="s">
        <v>3338</v>
      </c>
      <c r="E983" s="621">
        <v>5000</v>
      </c>
      <c r="F983" s="599">
        <v>43788834</v>
      </c>
      <c r="G983" s="598" t="s">
        <v>3350</v>
      </c>
      <c r="H983" s="598" t="s">
        <v>2921</v>
      </c>
      <c r="I983" s="598" t="s">
        <v>1912</v>
      </c>
      <c r="J983" s="617" t="s">
        <v>1913</v>
      </c>
      <c r="K983" s="598"/>
      <c r="L983" s="598"/>
      <c r="M983" s="621"/>
      <c r="N983" s="598">
        <v>4</v>
      </c>
      <c r="O983" s="598">
        <v>6</v>
      </c>
      <c r="P983" s="618">
        <v>30000</v>
      </c>
    </row>
    <row r="984" spans="1:16" s="619" customFormat="1" ht="48" x14ac:dyDescent="0.2">
      <c r="A984" s="598" t="s">
        <v>1907</v>
      </c>
      <c r="B984" s="620" t="s">
        <v>2050</v>
      </c>
      <c r="C984" s="598" t="s">
        <v>2015</v>
      </c>
      <c r="D984" s="598" t="s">
        <v>3338</v>
      </c>
      <c r="E984" s="621">
        <v>3000</v>
      </c>
      <c r="F984" s="599">
        <v>41752099</v>
      </c>
      <c r="G984" s="598" t="s">
        <v>3351</v>
      </c>
      <c r="H984" s="598" t="s">
        <v>2921</v>
      </c>
      <c r="I984" s="598" t="s">
        <v>1912</v>
      </c>
      <c r="J984" s="617" t="s">
        <v>1913</v>
      </c>
      <c r="K984" s="598"/>
      <c r="L984" s="598"/>
      <c r="M984" s="621"/>
      <c r="N984" s="598">
        <v>4</v>
      </c>
      <c r="O984" s="598">
        <v>6</v>
      </c>
      <c r="P984" s="618">
        <v>18000</v>
      </c>
    </row>
    <row r="985" spans="1:16" s="619" customFormat="1" ht="36" x14ac:dyDescent="0.2">
      <c r="A985" s="598" t="s">
        <v>1907</v>
      </c>
      <c r="B985" s="620" t="s">
        <v>2050</v>
      </c>
      <c r="C985" s="598" t="s">
        <v>2015</v>
      </c>
      <c r="D985" s="598" t="s">
        <v>3338</v>
      </c>
      <c r="E985" s="621">
        <v>3000</v>
      </c>
      <c r="F985" s="599">
        <v>43004250</v>
      </c>
      <c r="G985" s="598" t="s">
        <v>3352</v>
      </c>
      <c r="H985" s="598" t="s">
        <v>2921</v>
      </c>
      <c r="I985" s="598" t="s">
        <v>1912</v>
      </c>
      <c r="J985" s="617" t="s">
        <v>1913</v>
      </c>
      <c r="K985" s="598"/>
      <c r="L985" s="598"/>
      <c r="M985" s="621"/>
      <c r="N985" s="598">
        <v>4</v>
      </c>
      <c r="O985" s="598">
        <v>6</v>
      </c>
      <c r="P985" s="618">
        <v>18000</v>
      </c>
    </row>
    <row r="986" spans="1:16" s="619" customFormat="1" ht="24" x14ac:dyDescent="0.2">
      <c r="A986" s="598" t="s">
        <v>1907</v>
      </c>
      <c r="B986" s="620" t="s">
        <v>2050</v>
      </c>
      <c r="C986" s="598" t="s">
        <v>2015</v>
      </c>
      <c r="D986" s="598" t="s">
        <v>3338</v>
      </c>
      <c r="E986" s="621">
        <v>3000</v>
      </c>
      <c r="F986" s="599">
        <v>27737878</v>
      </c>
      <c r="G986" s="598" t="s">
        <v>3353</v>
      </c>
      <c r="H986" s="598"/>
      <c r="I986" s="598"/>
      <c r="J986" s="617"/>
      <c r="K986" s="598"/>
      <c r="L986" s="598"/>
      <c r="M986" s="621"/>
      <c r="N986" s="598">
        <v>1</v>
      </c>
      <c r="O986" s="598">
        <v>2</v>
      </c>
      <c r="P986" s="618">
        <v>6000</v>
      </c>
    </row>
    <row r="987" spans="1:16" s="619" customFormat="1" ht="24" x14ac:dyDescent="0.2">
      <c r="A987" s="598" t="s">
        <v>1907</v>
      </c>
      <c r="B987" s="620" t="s">
        <v>2050</v>
      </c>
      <c r="C987" s="598" t="s">
        <v>2015</v>
      </c>
      <c r="D987" s="598" t="s">
        <v>3338</v>
      </c>
      <c r="E987" s="621">
        <v>1500</v>
      </c>
      <c r="F987" s="599">
        <v>33432672</v>
      </c>
      <c r="G987" s="598" t="s">
        <v>3354</v>
      </c>
      <c r="H987" s="598"/>
      <c r="I987" s="598"/>
      <c r="J987" s="617"/>
      <c r="K987" s="598"/>
      <c r="L987" s="598"/>
      <c r="M987" s="621"/>
      <c r="N987" s="598">
        <v>4</v>
      </c>
      <c r="O987" s="598">
        <v>6</v>
      </c>
      <c r="P987" s="618">
        <v>9000</v>
      </c>
    </row>
    <row r="988" spans="1:16" s="619" customFormat="1" ht="24" x14ac:dyDescent="0.2">
      <c r="A988" s="598" t="s">
        <v>1907</v>
      </c>
      <c r="B988" s="620" t="s">
        <v>2050</v>
      </c>
      <c r="C988" s="598" t="s">
        <v>2015</v>
      </c>
      <c r="D988" s="598" t="s">
        <v>3338</v>
      </c>
      <c r="E988" s="621">
        <v>3000</v>
      </c>
      <c r="F988" s="599">
        <v>70672560</v>
      </c>
      <c r="G988" s="598" t="s">
        <v>3355</v>
      </c>
      <c r="H988" s="598"/>
      <c r="I988" s="598"/>
      <c r="J988" s="617"/>
      <c r="K988" s="598"/>
      <c r="L988" s="598"/>
      <c r="M988" s="621"/>
      <c r="N988" s="598">
        <v>2</v>
      </c>
      <c r="O988" s="598">
        <v>4</v>
      </c>
      <c r="P988" s="618">
        <v>12000</v>
      </c>
    </row>
    <row r="989" spans="1:16" s="619" customFormat="1" ht="24" x14ac:dyDescent="0.2">
      <c r="A989" s="598" t="s">
        <v>1907</v>
      </c>
      <c r="B989" s="620" t="s">
        <v>2050</v>
      </c>
      <c r="C989" s="598" t="s">
        <v>2015</v>
      </c>
      <c r="D989" s="598" t="s">
        <v>3338</v>
      </c>
      <c r="E989" s="621">
        <v>3500</v>
      </c>
      <c r="F989" s="599">
        <v>42664441</v>
      </c>
      <c r="G989" s="598" t="s">
        <v>3356</v>
      </c>
      <c r="H989" s="598" t="s">
        <v>2939</v>
      </c>
      <c r="I989" s="598" t="s">
        <v>1912</v>
      </c>
      <c r="J989" s="617" t="s">
        <v>1913</v>
      </c>
      <c r="K989" s="598"/>
      <c r="L989" s="598"/>
      <c r="M989" s="621"/>
      <c r="N989" s="598">
        <v>4</v>
      </c>
      <c r="O989" s="598">
        <v>6</v>
      </c>
      <c r="P989" s="618">
        <v>21000</v>
      </c>
    </row>
    <row r="990" spans="1:16" s="619" customFormat="1" ht="36" x14ac:dyDescent="0.2">
      <c r="A990" s="598" t="s">
        <v>1907</v>
      </c>
      <c r="B990" s="620" t="s">
        <v>2050</v>
      </c>
      <c r="C990" s="598" t="s">
        <v>2015</v>
      </c>
      <c r="D990" s="598" t="s">
        <v>3338</v>
      </c>
      <c r="E990" s="621">
        <v>1800</v>
      </c>
      <c r="F990" s="599">
        <v>43969575</v>
      </c>
      <c r="G990" s="598" t="s">
        <v>3357</v>
      </c>
      <c r="H990" s="598"/>
      <c r="I990" s="598"/>
      <c r="J990" s="617"/>
      <c r="K990" s="598"/>
      <c r="L990" s="598"/>
      <c r="M990" s="621"/>
      <c r="N990" s="598">
        <v>3</v>
      </c>
      <c r="O990" s="598">
        <v>4</v>
      </c>
      <c r="P990" s="618">
        <v>7200</v>
      </c>
    </row>
    <row r="991" spans="1:16" s="619" customFormat="1" ht="36" x14ac:dyDescent="0.2">
      <c r="A991" s="598" t="s">
        <v>1907</v>
      </c>
      <c r="B991" s="620" t="s">
        <v>2050</v>
      </c>
      <c r="C991" s="598" t="s">
        <v>2015</v>
      </c>
      <c r="D991" s="598" t="s">
        <v>3338</v>
      </c>
      <c r="E991" s="621">
        <v>2000</v>
      </c>
      <c r="F991" s="599">
        <v>72515316</v>
      </c>
      <c r="G991" s="598" t="s">
        <v>3358</v>
      </c>
      <c r="H991" s="598" t="s">
        <v>2921</v>
      </c>
      <c r="I991" s="598" t="s">
        <v>1912</v>
      </c>
      <c r="J991" s="617" t="s">
        <v>1913</v>
      </c>
      <c r="K991" s="598"/>
      <c r="L991" s="598"/>
      <c r="M991" s="621"/>
      <c r="N991" s="598">
        <v>4</v>
      </c>
      <c r="O991" s="598">
        <v>6</v>
      </c>
      <c r="P991" s="618">
        <v>12000</v>
      </c>
    </row>
    <row r="992" spans="1:16" s="619" customFormat="1" ht="36" x14ac:dyDescent="0.2">
      <c r="A992" s="598" t="s">
        <v>1907</v>
      </c>
      <c r="B992" s="620" t="s">
        <v>2050</v>
      </c>
      <c r="C992" s="598" t="s">
        <v>2015</v>
      </c>
      <c r="D992" s="598" t="s">
        <v>3338</v>
      </c>
      <c r="E992" s="621">
        <v>3000</v>
      </c>
      <c r="F992" s="599">
        <v>41812088</v>
      </c>
      <c r="G992" s="598" t="s">
        <v>3359</v>
      </c>
      <c r="H992" s="598" t="s">
        <v>2921</v>
      </c>
      <c r="I992" s="598" t="s">
        <v>1912</v>
      </c>
      <c r="J992" s="617" t="s">
        <v>1913</v>
      </c>
      <c r="K992" s="598"/>
      <c r="L992" s="598"/>
      <c r="M992" s="621"/>
      <c r="N992" s="598">
        <v>4</v>
      </c>
      <c r="O992" s="598">
        <v>6</v>
      </c>
      <c r="P992" s="618">
        <v>18000</v>
      </c>
    </row>
    <row r="993" spans="1:16" s="619" customFormat="1" ht="36" x14ac:dyDescent="0.2">
      <c r="A993" s="598" t="s">
        <v>1907</v>
      </c>
      <c r="B993" s="620" t="s">
        <v>2050</v>
      </c>
      <c r="C993" s="598" t="s">
        <v>2015</v>
      </c>
      <c r="D993" s="598" t="s">
        <v>3338</v>
      </c>
      <c r="E993" s="621">
        <v>5000</v>
      </c>
      <c r="F993" s="599" t="s">
        <v>3360</v>
      </c>
      <c r="G993" s="598" t="s">
        <v>3361</v>
      </c>
      <c r="H993" s="598" t="s">
        <v>2921</v>
      </c>
      <c r="I993" s="598" t="s">
        <v>1912</v>
      </c>
      <c r="J993" s="617" t="s">
        <v>1913</v>
      </c>
      <c r="K993" s="598"/>
      <c r="L993" s="598"/>
      <c r="M993" s="621"/>
      <c r="N993" s="598">
        <v>4</v>
      </c>
      <c r="O993" s="598">
        <v>6</v>
      </c>
      <c r="P993" s="618">
        <v>30000</v>
      </c>
    </row>
    <row r="994" spans="1:16" s="619" customFormat="1" ht="36" x14ac:dyDescent="0.2">
      <c r="A994" s="598" t="s">
        <v>1907</v>
      </c>
      <c r="B994" s="620" t="s">
        <v>2050</v>
      </c>
      <c r="C994" s="598" t="s">
        <v>2015</v>
      </c>
      <c r="D994" s="598" t="s">
        <v>3338</v>
      </c>
      <c r="E994" s="621">
        <v>2500</v>
      </c>
      <c r="F994" s="599">
        <v>16691885</v>
      </c>
      <c r="G994" s="598" t="s">
        <v>3362</v>
      </c>
      <c r="H994" s="598" t="s">
        <v>2921</v>
      </c>
      <c r="I994" s="598" t="s">
        <v>1912</v>
      </c>
      <c r="J994" s="617" t="s">
        <v>1913</v>
      </c>
      <c r="K994" s="598"/>
      <c r="L994" s="598"/>
      <c r="M994" s="621"/>
      <c r="N994" s="598">
        <v>4</v>
      </c>
      <c r="O994" s="598">
        <v>6</v>
      </c>
      <c r="P994" s="618">
        <v>15000</v>
      </c>
    </row>
    <row r="995" spans="1:16" s="619" customFormat="1" ht="36" x14ac:dyDescent="0.2">
      <c r="A995" s="598" t="s">
        <v>1907</v>
      </c>
      <c r="B995" s="620" t="s">
        <v>2050</v>
      </c>
      <c r="C995" s="598" t="s">
        <v>2015</v>
      </c>
      <c r="D995" s="598" t="s">
        <v>3338</v>
      </c>
      <c r="E995" s="621">
        <v>1800</v>
      </c>
      <c r="F995" s="599">
        <v>33598279</v>
      </c>
      <c r="G995" s="598" t="s">
        <v>3363</v>
      </c>
      <c r="H995" s="598" t="s">
        <v>3022</v>
      </c>
      <c r="I995" s="598" t="s">
        <v>1912</v>
      </c>
      <c r="J995" s="617" t="s">
        <v>1913</v>
      </c>
      <c r="K995" s="598"/>
      <c r="L995" s="598"/>
      <c r="M995" s="621"/>
      <c r="N995" s="598">
        <v>4</v>
      </c>
      <c r="O995" s="598">
        <v>6</v>
      </c>
      <c r="P995" s="618">
        <v>10800</v>
      </c>
    </row>
    <row r="996" spans="1:16" s="619" customFormat="1" ht="36" x14ac:dyDescent="0.2">
      <c r="A996" s="598" t="s">
        <v>1907</v>
      </c>
      <c r="B996" s="620" t="s">
        <v>2050</v>
      </c>
      <c r="C996" s="598" t="s">
        <v>2015</v>
      </c>
      <c r="D996" s="598" t="s">
        <v>3338</v>
      </c>
      <c r="E996" s="621">
        <v>3000</v>
      </c>
      <c r="F996" s="599">
        <v>27725881</v>
      </c>
      <c r="G996" s="598" t="s">
        <v>3364</v>
      </c>
      <c r="H996" s="598" t="s">
        <v>2921</v>
      </c>
      <c r="I996" s="598" t="s">
        <v>1912</v>
      </c>
      <c r="J996" s="617" t="s">
        <v>1913</v>
      </c>
      <c r="K996" s="598"/>
      <c r="L996" s="598"/>
      <c r="M996" s="621"/>
      <c r="N996" s="598">
        <v>2</v>
      </c>
      <c r="O996" s="598">
        <v>3</v>
      </c>
      <c r="P996" s="618">
        <v>9000</v>
      </c>
    </row>
    <row r="997" spans="1:16" s="619" customFormat="1" ht="36" x14ac:dyDescent="0.2">
      <c r="A997" s="598" t="s">
        <v>1907</v>
      </c>
      <c r="B997" s="620" t="s">
        <v>2050</v>
      </c>
      <c r="C997" s="598" t="s">
        <v>2015</v>
      </c>
      <c r="D997" s="598" t="s">
        <v>3338</v>
      </c>
      <c r="E997" s="621">
        <v>1800</v>
      </c>
      <c r="F997" s="599">
        <v>73895351</v>
      </c>
      <c r="G997" s="598" t="s">
        <v>3365</v>
      </c>
      <c r="H997" s="598" t="s">
        <v>1931</v>
      </c>
      <c r="I997" s="598" t="s">
        <v>1912</v>
      </c>
      <c r="J997" s="617" t="s">
        <v>1931</v>
      </c>
      <c r="K997" s="598"/>
      <c r="L997" s="598"/>
      <c r="M997" s="621"/>
      <c r="N997" s="598">
        <v>4</v>
      </c>
      <c r="O997" s="598">
        <v>6</v>
      </c>
      <c r="P997" s="618">
        <v>10800</v>
      </c>
    </row>
    <row r="998" spans="1:16" s="619" customFormat="1" ht="36" x14ac:dyDescent="0.2">
      <c r="A998" s="598" t="s">
        <v>1907</v>
      </c>
      <c r="B998" s="620" t="s">
        <v>2050</v>
      </c>
      <c r="C998" s="598" t="s">
        <v>2015</v>
      </c>
      <c r="D998" s="598" t="s">
        <v>3338</v>
      </c>
      <c r="E998" s="621">
        <v>2200</v>
      </c>
      <c r="F998" s="599">
        <v>48332031</v>
      </c>
      <c r="G998" s="598" t="s">
        <v>3366</v>
      </c>
      <c r="H998" s="598" t="s">
        <v>2921</v>
      </c>
      <c r="I998" s="598" t="s">
        <v>1912</v>
      </c>
      <c r="J998" s="617" t="s">
        <v>1913</v>
      </c>
      <c r="K998" s="598"/>
      <c r="L998" s="598"/>
      <c r="M998" s="621"/>
      <c r="N998" s="598">
        <v>4</v>
      </c>
      <c r="O998" s="598">
        <v>6</v>
      </c>
      <c r="P998" s="618">
        <v>13200</v>
      </c>
    </row>
    <row r="999" spans="1:16" s="619" customFormat="1" ht="24" x14ac:dyDescent="0.2">
      <c r="A999" s="598" t="s">
        <v>1907</v>
      </c>
      <c r="B999" s="620" t="s">
        <v>2050</v>
      </c>
      <c r="C999" s="598" t="s">
        <v>2015</v>
      </c>
      <c r="D999" s="598" t="s">
        <v>3338</v>
      </c>
      <c r="E999" s="621">
        <v>1000</v>
      </c>
      <c r="F999" s="599">
        <v>44618539</v>
      </c>
      <c r="G999" s="598" t="s">
        <v>3330</v>
      </c>
      <c r="H999" s="598" t="s">
        <v>1919</v>
      </c>
      <c r="I999" s="598"/>
      <c r="J999" s="617"/>
      <c r="K999" s="598"/>
      <c r="L999" s="598"/>
      <c r="M999" s="621"/>
      <c r="N999" s="598">
        <v>1</v>
      </c>
      <c r="O999" s="598">
        <v>1</v>
      </c>
      <c r="P999" s="618">
        <v>1000</v>
      </c>
    </row>
    <row r="1000" spans="1:16" s="619" customFormat="1" ht="36" x14ac:dyDescent="0.2">
      <c r="A1000" s="598" t="s">
        <v>1907</v>
      </c>
      <c r="B1000" s="620" t="s">
        <v>2050</v>
      </c>
      <c r="C1000" s="598" t="s">
        <v>2015</v>
      </c>
      <c r="D1000" s="598" t="s">
        <v>3338</v>
      </c>
      <c r="E1000" s="621">
        <v>1800</v>
      </c>
      <c r="F1000" s="599">
        <v>70551005</v>
      </c>
      <c r="G1000" s="598" t="s">
        <v>3367</v>
      </c>
      <c r="H1000" s="598"/>
      <c r="I1000" s="598"/>
      <c r="J1000" s="617"/>
      <c r="K1000" s="598"/>
      <c r="L1000" s="598"/>
      <c r="M1000" s="621"/>
      <c r="N1000" s="598">
        <v>2</v>
      </c>
      <c r="O1000" s="598">
        <v>4</v>
      </c>
      <c r="P1000" s="618">
        <v>7200</v>
      </c>
    </row>
    <row r="1001" spans="1:16" s="619" customFormat="1" ht="36" x14ac:dyDescent="0.2">
      <c r="A1001" s="598" t="s">
        <v>1907</v>
      </c>
      <c r="B1001" s="620" t="s">
        <v>2050</v>
      </c>
      <c r="C1001" s="598" t="s">
        <v>2015</v>
      </c>
      <c r="D1001" s="598" t="s">
        <v>3338</v>
      </c>
      <c r="E1001" s="621">
        <v>3000</v>
      </c>
      <c r="F1001" s="599"/>
      <c r="G1001" s="598" t="s">
        <v>3368</v>
      </c>
      <c r="H1001" s="598" t="s">
        <v>2921</v>
      </c>
      <c r="I1001" s="598" t="s">
        <v>1912</v>
      </c>
      <c r="J1001" s="617" t="s">
        <v>1913</v>
      </c>
      <c r="K1001" s="598"/>
      <c r="L1001" s="598"/>
      <c r="M1001" s="621"/>
      <c r="N1001" s="598">
        <v>2</v>
      </c>
      <c r="O1001" s="598">
        <v>3</v>
      </c>
      <c r="P1001" s="618">
        <v>9000</v>
      </c>
    </row>
    <row r="1002" spans="1:16" s="619" customFormat="1" ht="24" x14ac:dyDescent="0.2">
      <c r="A1002" s="598" t="s">
        <v>1907</v>
      </c>
      <c r="B1002" s="620" t="s">
        <v>2050</v>
      </c>
      <c r="C1002" s="598" t="s">
        <v>2015</v>
      </c>
      <c r="D1002" s="598" t="s">
        <v>3338</v>
      </c>
      <c r="E1002" s="621">
        <v>1500</v>
      </c>
      <c r="F1002" s="599"/>
      <c r="G1002" s="598" t="s">
        <v>3369</v>
      </c>
      <c r="H1002" s="598" t="s">
        <v>3022</v>
      </c>
      <c r="I1002" s="598" t="s">
        <v>1912</v>
      </c>
      <c r="J1002" s="617" t="s">
        <v>1913</v>
      </c>
      <c r="K1002" s="598"/>
      <c r="L1002" s="598"/>
      <c r="M1002" s="621"/>
      <c r="N1002" s="598">
        <v>3</v>
      </c>
      <c r="O1002" s="598">
        <v>5</v>
      </c>
      <c r="P1002" s="618">
        <v>7500</v>
      </c>
    </row>
    <row r="1003" spans="1:16" s="619" customFormat="1" ht="36" x14ac:dyDescent="0.2">
      <c r="A1003" s="598" t="s">
        <v>1907</v>
      </c>
      <c r="B1003" s="620" t="s">
        <v>2050</v>
      </c>
      <c r="C1003" s="598" t="s">
        <v>2015</v>
      </c>
      <c r="D1003" s="598" t="s">
        <v>3338</v>
      </c>
      <c r="E1003" s="621">
        <v>3000</v>
      </c>
      <c r="F1003" s="599"/>
      <c r="G1003" s="598" t="s">
        <v>3370</v>
      </c>
      <c r="H1003" s="598"/>
      <c r="I1003" s="598"/>
      <c r="J1003" s="617"/>
      <c r="K1003" s="598"/>
      <c r="L1003" s="598"/>
      <c r="M1003" s="621"/>
      <c r="N1003" s="598">
        <v>2</v>
      </c>
      <c r="O1003" s="598">
        <v>3</v>
      </c>
      <c r="P1003" s="618">
        <v>9000</v>
      </c>
    </row>
    <row r="1004" spans="1:16" s="619" customFormat="1" ht="24" x14ac:dyDescent="0.2">
      <c r="A1004" s="598" t="s">
        <v>1907</v>
      </c>
      <c r="B1004" s="620" t="s">
        <v>2050</v>
      </c>
      <c r="C1004" s="598" t="s">
        <v>2015</v>
      </c>
      <c r="D1004" s="598" t="s">
        <v>3338</v>
      </c>
      <c r="E1004" s="621">
        <v>1800</v>
      </c>
      <c r="F1004" s="599"/>
      <c r="G1004" s="598" t="s">
        <v>3371</v>
      </c>
      <c r="H1004" s="598" t="s">
        <v>3022</v>
      </c>
      <c r="I1004" s="598" t="s">
        <v>1912</v>
      </c>
      <c r="J1004" s="617" t="s">
        <v>1913</v>
      </c>
      <c r="K1004" s="598"/>
      <c r="L1004" s="598"/>
      <c r="M1004" s="621"/>
      <c r="N1004" s="598">
        <v>3</v>
      </c>
      <c r="O1004" s="598">
        <v>4</v>
      </c>
      <c r="P1004" s="618">
        <v>7200</v>
      </c>
    </row>
    <row r="1005" spans="1:16" s="619" customFormat="1" ht="24" x14ac:dyDescent="0.2">
      <c r="A1005" s="598" t="s">
        <v>1907</v>
      </c>
      <c r="B1005" s="620" t="s">
        <v>2050</v>
      </c>
      <c r="C1005" s="598" t="s">
        <v>2015</v>
      </c>
      <c r="D1005" s="598" t="s">
        <v>3338</v>
      </c>
      <c r="E1005" s="621">
        <v>1800</v>
      </c>
      <c r="F1005" s="599"/>
      <c r="G1005" s="598" t="s">
        <v>3372</v>
      </c>
      <c r="H1005" s="598" t="s">
        <v>3022</v>
      </c>
      <c r="I1005" s="598" t="s">
        <v>1912</v>
      </c>
      <c r="J1005" s="617" t="s">
        <v>1913</v>
      </c>
      <c r="K1005" s="598"/>
      <c r="L1005" s="598"/>
      <c r="M1005" s="621"/>
      <c r="N1005" s="598">
        <v>4</v>
      </c>
      <c r="O1005" s="598">
        <v>6</v>
      </c>
      <c r="P1005" s="618">
        <v>10800</v>
      </c>
    </row>
    <row r="1006" spans="1:16" s="619" customFormat="1" ht="24" x14ac:dyDescent="0.2">
      <c r="A1006" s="598" t="s">
        <v>1907</v>
      </c>
      <c r="B1006" s="620" t="s">
        <v>2050</v>
      </c>
      <c r="C1006" s="598" t="s">
        <v>2015</v>
      </c>
      <c r="D1006" s="598" t="s">
        <v>3338</v>
      </c>
      <c r="E1006" s="621">
        <v>3000</v>
      </c>
      <c r="F1006" s="599"/>
      <c r="G1006" s="598" t="s">
        <v>3373</v>
      </c>
      <c r="H1006" s="598"/>
      <c r="I1006" s="598"/>
      <c r="J1006" s="617"/>
      <c r="K1006" s="598"/>
      <c r="L1006" s="598"/>
      <c r="M1006" s="621"/>
      <c r="N1006" s="598">
        <v>2</v>
      </c>
      <c r="O1006" s="598">
        <v>3</v>
      </c>
      <c r="P1006" s="618">
        <v>9000</v>
      </c>
    </row>
    <row r="1007" spans="1:16" s="619" customFormat="1" ht="48" x14ac:dyDescent="0.2">
      <c r="A1007" s="598" t="s">
        <v>1907</v>
      </c>
      <c r="B1007" s="620" t="s">
        <v>2050</v>
      </c>
      <c r="C1007" s="598" t="s">
        <v>2015</v>
      </c>
      <c r="D1007" s="598" t="s">
        <v>3338</v>
      </c>
      <c r="E1007" s="621">
        <v>3000</v>
      </c>
      <c r="F1007" s="599"/>
      <c r="G1007" s="598" t="s">
        <v>3374</v>
      </c>
      <c r="H1007" s="598"/>
      <c r="I1007" s="598"/>
      <c r="J1007" s="617"/>
      <c r="K1007" s="598"/>
      <c r="L1007" s="598"/>
      <c r="M1007" s="621"/>
      <c r="N1007" s="598">
        <v>2</v>
      </c>
      <c r="O1007" s="598">
        <v>3</v>
      </c>
      <c r="P1007" s="618">
        <v>9000</v>
      </c>
    </row>
    <row r="1008" spans="1:16" s="619" customFormat="1" ht="36" x14ac:dyDescent="0.2">
      <c r="A1008" s="598" t="s">
        <v>1907</v>
      </c>
      <c r="B1008" s="620" t="s">
        <v>2050</v>
      </c>
      <c r="C1008" s="598" t="s">
        <v>2015</v>
      </c>
      <c r="D1008" s="598" t="s">
        <v>3338</v>
      </c>
      <c r="E1008" s="621">
        <v>3000</v>
      </c>
      <c r="F1008" s="599"/>
      <c r="G1008" s="598" t="s">
        <v>3375</v>
      </c>
      <c r="H1008" s="598" t="s">
        <v>3022</v>
      </c>
      <c r="I1008" s="598" t="s">
        <v>1912</v>
      </c>
      <c r="J1008" s="617" t="s">
        <v>1913</v>
      </c>
      <c r="K1008" s="598"/>
      <c r="L1008" s="598"/>
      <c r="M1008" s="621"/>
      <c r="N1008" s="598">
        <v>3</v>
      </c>
      <c r="O1008" s="598">
        <v>5</v>
      </c>
      <c r="P1008" s="618">
        <v>15000</v>
      </c>
    </row>
    <row r="1009" spans="1:16" s="619" customFormat="1" ht="36" x14ac:dyDescent="0.2">
      <c r="A1009" s="598" t="s">
        <v>1907</v>
      </c>
      <c r="B1009" s="620" t="s">
        <v>2050</v>
      </c>
      <c r="C1009" s="598" t="s">
        <v>2015</v>
      </c>
      <c r="D1009" s="598" t="s">
        <v>3338</v>
      </c>
      <c r="E1009" s="621">
        <v>1900</v>
      </c>
      <c r="F1009" s="599"/>
      <c r="G1009" s="598" t="s">
        <v>3376</v>
      </c>
      <c r="H1009" s="598" t="s">
        <v>3377</v>
      </c>
      <c r="I1009" s="598" t="s">
        <v>1912</v>
      </c>
      <c r="J1009" s="617" t="s">
        <v>1913</v>
      </c>
      <c r="K1009" s="598"/>
      <c r="L1009" s="598"/>
      <c r="M1009" s="621"/>
      <c r="N1009" s="598">
        <v>2</v>
      </c>
      <c r="O1009" s="598">
        <v>4</v>
      </c>
      <c r="P1009" s="618">
        <v>7600</v>
      </c>
    </row>
    <row r="1010" spans="1:16" s="619" customFormat="1" ht="24" x14ac:dyDescent="0.2">
      <c r="A1010" s="598" t="s">
        <v>1907</v>
      </c>
      <c r="B1010" s="620" t="s">
        <v>2050</v>
      </c>
      <c r="C1010" s="598" t="s">
        <v>2015</v>
      </c>
      <c r="D1010" s="598" t="s">
        <v>3338</v>
      </c>
      <c r="E1010" s="621">
        <v>1600</v>
      </c>
      <c r="F1010" s="599"/>
      <c r="G1010" s="598" t="s">
        <v>3378</v>
      </c>
      <c r="H1010" s="598" t="s">
        <v>3379</v>
      </c>
      <c r="I1010" s="598" t="s">
        <v>1912</v>
      </c>
      <c r="J1010" s="617" t="s">
        <v>1913</v>
      </c>
      <c r="K1010" s="598"/>
      <c r="L1010" s="598"/>
      <c r="M1010" s="621"/>
      <c r="N1010" s="598">
        <v>3</v>
      </c>
      <c r="O1010" s="598">
        <v>5</v>
      </c>
      <c r="P1010" s="618">
        <v>8000</v>
      </c>
    </row>
    <row r="1011" spans="1:16" s="619" customFormat="1" ht="48" x14ac:dyDescent="0.2">
      <c r="A1011" s="598" t="s">
        <v>1907</v>
      </c>
      <c r="B1011" s="620" t="s">
        <v>2073</v>
      </c>
      <c r="C1011" s="598" t="s">
        <v>2015</v>
      </c>
      <c r="D1011" s="598" t="s">
        <v>3380</v>
      </c>
      <c r="E1011" s="621">
        <v>1800</v>
      </c>
      <c r="F1011" s="599">
        <v>33407040</v>
      </c>
      <c r="G1011" s="598" t="s">
        <v>3381</v>
      </c>
      <c r="H1011" s="598" t="s">
        <v>1931</v>
      </c>
      <c r="I1011" s="598" t="s">
        <v>1912</v>
      </c>
      <c r="J1011" s="617" t="s">
        <v>1931</v>
      </c>
      <c r="K1011" s="598"/>
      <c r="L1011" s="598"/>
      <c r="M1011" s="621"/>
      <c r="N1011" s="598">
        <v>4</v>
      </c>
      <c r="O1011" s="598">
        <v>6</v>
      </c>
      <c r="P1011" s="618">
        <v>10800</v>
      </c>
    </row>
    <row r="1012" spans="1:16" s="619" customFormat="1" ht="48" x14ac:dyDescent="0.2">
      <c r="A1012" s="598" t="s">
        <v>1907</v>
      </c>
      <c r="B1012" s="620" t="s">
        <v>2073</v>
      </c>
      <c r="C1012" s="598" t="s">
        <v>2015</v>
      </c>
      <c r="D1012" s="598" t="s">
        <v>3380</v>
      </c>
      <c r="E1012" s="621">
        <v>6000</v>
      </c>
      <c r="F1012" s="599"/>
      <c r="G1012" s="598" t="s">
        <v>3382</v>
      </c>
      <c r="H1012" s="598" t="s">
        <v>1911</v>
      </c>
      <c r="I1012" s="598" t="s">
        <v>1912</v>
      </c>
      <c r="J1012" s="617" t="s">
        <v>1913</v>
      </c>
      <c r="K1012" s="598"/>
      <c r="L1012" s="598"/>
      <c r="M1012" s="621"/>
      <c r="N1012" s="598">
        <v>4</v>
      </c>
      <c r="O1012" s="598">
        <v>6</v>
      </c>
      <c r="P1012" s="618">
        <v>36000</v>
      </c>
    </row>
    <row r="1013" spans="1:16" s="619" customFormat="1" ht="48" x14ac:dyDescent="0.2">
      <c r="A1013" s="598" t="s">
        <v>1907</v>
      </c>
      <c r="B1013" s="620" t="s">
        <v>2073</v>
      </c>
      <c r="C1013" s="598" t="s">
        <v>2015</v>
      </c>
      <c r="D1013" s="598" t="s">
        <v>3380</v>
      </c>
      <c r="E1013" s="621">
        <v>1800</v>
      </c>
      <c r="F1013" s="599"/>
      <c r="G1013" s="598" t="s">
        <v>3383</v>
      </c>
      <c r="H1013" s="598" t="s">
        <v>1931</v>
      </c>
      <c r="I1013" s="598" t="s">
        <v>1912</v>
      </c>
      <c r="J1013" s="617" t="s">
        <v>1931</v>
      </c>
      <c r="K1013" s="598"/>
      <c r="L1013" s="598"/>
      <c r="M1013" s="621"/>
      <c r="N1013" s="598">
        <v>4</v>
      </c>
      <c r="O1013" s="598">
        <v>6</v>
      </c>
      <c r="P1013" s="618">
        <v>10800</v>
      </c>
    </row>
    <row r="1014" spans="1:16" s="619" customFormat="1" ht="48" x14ac:dyDescent="0.2">
      <c r="A1014" s="598" t="s">
        <v>1907</v>
      </c>
      <c r="B1014" s="620" t="s">
        <v>2073</v>
      </c>
      <c r="C1014" s="598" t="s">
        <v>2015</v>
      </c>
      <c r="D1014" s="598" t="s">
        <v>3380</v>
      </c>
      <c r="E1014" s="621">
        <v>1800</v>
      </c>
      <c r="F1014" s="599">
        <v>33429734</v>
      </c>
      <c r="G1014" s="598" t="s">
        <v>3384</v>
      </c>
      <c r="H1014" s="598"/>
      <c r="I1014" s="598"/>
      <c r="J1014" s="617"/>
      <c r="K1014" s="598"/>
      <c r="L1014" s="598"/>
      <c r="M1014" s="621"/>
      <c r="N1014" s="598">
        <v>4</v>
      </c>
      <c r="O1014" s="598">
        <v>6</v>
      </c>
      <c r="P1014" s="618">
        <v>10800</v>
      </c>
    </row>
    <row r="1015" spans="1:16" s="619" customFormat="1" ht="36" x14ac:dyDescent="0.2">
      <c r="A1015" s="598" t="s">
        <v>1907</v>
      </c>
      <c r="B1015" s="620" t="s">
        <v>1908</v>
      </c>
      <c r="C1015" s="598" t="s">
        <v>2015</v>
      </c>
      <c r="D1015" s="598" t="s">
        <v>3385</v>
      </c>
      <c r="E1015" s="621">
        <v>3000</v>
      </c>
      <c r="F1015" s="599">
        <v>48097304</v>
      </c>
      <c r="G1015" s="598" t="s">
        <v>3386</v>
      </c>
      <c r="H1015" s="598"/>
      <c r="I1015" s="598"/>
      <c r="J1015" s="617"/>
      <c r="K1015" s="598"/>
      <c r="L1015" s="598"/>
      <c r="M1015" s="621"/>
      <c r="N1015" s="598">
        <v>4</v>
      </c>
      <c r="O1015" s="598">
        <v>6</v>
      </c>
      <c r="P1015" s="618">
        <v>18000</v>
      </c>
    </row>
    <row r="1016" spans="1:16" s="619" customFormat="1" ht="48" x14ac:dyDescent="0.2">
      <c r="A1016" s="598" t="s">
        <v>1907</v>
      </c>
      <c r="B1016" s="620" t="s">
        <v>2050</v>
      </c>
      <c r="C1016" s="598" t="s">
        <v>2015</v>
      </c>
      <c r="D1016" s="598" t="s">
        <v>3385</v>
      </c>
      <c r="E1016" s="621">
        <v>2000</v>
      </c>
      <c r="F1016" s="599">
        <v>44558080</v>
      </c>
      <c r="G1016" s="598" t="s">
        <v>3387</v>
      </c>
      <c r="H1016" s="598" t="s">
        <v>2921</v>
      </c>
      <c r="I1016" s="598" t="s">
        <v>1912</v>
      </c>
      <c r="J1016" s="617" t="s">
        <v>1913</v>
      </c>
      <c r="K1016" s="598"/>
      <c r="L1016" s="598"/>
      <c r="M1016" s="621"/>
      <c r="N1016" s="598">
        <v>4</v>
      </c>
      <c r="O1016" s="598">
        <v>6</v>
      </c>
      <c r="P1016" s="618">
        <v>12000</v>
      </c>
    </row>
    <row r="1017" spans="1:16" s="619" customFormat="1" ht="24" x14ac:dyDescent="0.2">
      <c r="A1017" s="598" t="s">
        <v>1907</v>
      </c>
      <c r="B1017" s="620" t="s">
        <v>1908</v>
      </c>
      <c r="C1017" s="598" t="s">
        <v>2015</v>
      </c>
      <c r="D1017" s="598" t="s">
        <v>3388</v>
      </c>
      <c r="E1017" s="621">
        <v>5000</v>
      </c>
      <c r="F1017" s="599">
        <v>43796844</v>
      </c>
      <c r="G1017" s="598" t="s">
        <v>3389</v>
      </c>
      <c r="H1017" s="598" t="s">
        <v>2921</v>
      </c>
      <c r="I1017" s="598" t="s">
        <v>1912</v>
      </c>
      <c r="J1017" s="617" t="s">
        <v>1913</v>
      </c>
      <c r="K1017" s="598"/>
      <c r="L1017" s="598"/>
      <c r="M1017" s="621"/>
      <c r="N1017" s="598">
        <v>4</v>
      </c>
      <c r="O1017" s="598">
        <v>6</v>
      </c>
      <c r="P1017" s="618">
        <v>30000</v>
      </c>
    </row>
    <row r="1018" spans="1:16" s="619" customFormat="1" ht="36" x14ac:dyDescent="0.2">
      <c r="A1018" s="598" t="s">
        <v>1907</v>
      </c>
      <c r="B1018" s="620" t="s">
        <v>1908</v>
      </c>
      <c r="C1018" s="598" t="s">
        <v>2015</v>
      </c>
      <c r="D1018" s="598" t="s">
        <v>3388</v>
      </c>
      <c r="E1018" s="621">
        <v>6000</v>
      </c>
      <c r="F1018" s="599">
        <v>33431713</v>
      </c>
      <c r="G1018" s="598" t="s">
        <v>3390</v>
      </c>
      <c r="H1018" s="598" t="s">
        <v>2921</v>
      </c>
      <c r="I1018" s="598" t="s">
        <v>1912</v>
      </c>
      <c r="J1018" s="617" t="s">
        <v>1913</v>
      </c>
      <c r="K1018" s="598"/>
      <c r="L1018" s="598"/>
      <c r="M1018" s="621"/>
      <c r="N1018" s="598">
        <v>4</v>
      </c>
      <c r="O1018" s="598">
        <v>6</v>
      </c>
      <c r="P1018" s="618">
        <v>36000</v>
      </c>
    </row>
    <row r="1019" spans="1:16" s="619" customFormat="1" ht="36" x14ac:dyDescent="0.2">
      <c r="A1019" s="598" t="s">
        <v>1907</v>
      </c>
      <c r="B1019" s="620" t="s">
        <v>1908</v>
      </c>
      <c r="C1019" s="598" t="s">
        <v>2015</v>
      </c>
      <c r="D1019" s="598" t="s">
        <v>3391</v>
      </c>
      <c r="E1019" s="621">
        <v>2500</v>
      </c>
      <c r="F1019" s="599">
        <v>41085917</v>
      </c>
      <c r="G1019" s="598" t="s">
        <v>3392</v>
      </c>
      <c r="H1019" s="598" t="s">
        <v>3022</v>
      </c>
      <c r="I1019" s="598" t="s">
        <v>1912</v>
      </c>
      <c r="J1019" s="617" t="s">
        <v>1913</v>
      </c>
      <c r="K1019" s="598"/>
      <c r="L1019" s="598"/>
      <c r="M1019" s="621"/>
      <c r="N1019" s="598">
        <v>4</v>
      </c>
      <c r="O1019" s="598">
        <v>6</v>
      </c>
      <c r="P1019" s="618">
        <v>15000</v>
      </c>
    </row>
    <row r="1020" spans="1:16" s="619" customFormat="1" ht="24" x14ac:dyDescent="0.2">
      <c r="A1020" s="598" t="s">
        <v>1907</v>
      </c>
      <c r="B1020" s="620" t="s">
        <v>1908</v>
      </c>
      <c r="C1020" s="598" t="s">
        <v>2015</v>
      </c>
      <c r="D1020" s="598" t="s">
        <v>3391</v>
      </c>
      <c r="E1020" s="621">
        <v>1900</v>
      </c>
      <c r="F1020" s="599">
        <v>71653711</v>
      </c>
      <c r="G1020" s="598" t="s">
        <v>3393</v>
      </c>
      <c r="H1020" s="598" t="s">
        <v>3394</v>
      </c>
      <c r="I1020" s="598" t="s">
        <v>1912</v>
      </c>
      <c r="J1020" s="617" t="s">
        <v>1913</v>
      </c>
      <c r="K1020" s="598"/>
      <c r="L1020" s="598"/>
      <c r="M1020" s="621"/>
      <c r="N1020" s="598">
        <v>4</v>
      </c>
      <c r="O1020" s="598">
        <v>6</v>
      </c>
      <c r="P1020" s="618">
        <v>11400</v>
      </c>
    </row>
    <row r="1021" spans="1:16" s="619" customFormat="1" ht="48" x14ac:dyDescent="0.2">
      <c r="A1021" s="598" t="s">
        <v>1907</v>
      </c>
      <c r="B1021" s="620" t="s">
        <v>1908</v>
      </c>
      <c r="C1021" s="598" t="s">
        <v>2015</v>
      </c>
      <c r="D1021" s="598" t="s">
        <v>3391</v>
      </c>
      <c r="E1021" s="621">
        <v>1900</v>
      </c>
      <c r="F1021" s="599">
        <v>71539703</v>
      </c>
      <c r="G1021" s="598" t="s">
        <v>3395</v>
      </c>
      <c r="H1021" s="598" t="s">
        <v>3022</v>
      </c>
      <c r="I1021" s="598" t="s">
        <v>1912</v>
      </c>
      <c r="J1021" s="617" t="s">
        <v>1913</v>
      </c>
      <c r="K1021" s="598"/>
      <c r="L1021" s="598"/>
      <c r="M1021" s="621"/>
      <c r="N1021" s="598">
        <v>4</v>
      </c>
      <c r="O1021" s="598">
        <v>6</v>
      </c>
      <c r="P1021" s="618">
        <v>11400</v>
      </c>
    </row>
    <row r="1022" spans="1:16" s="619" customFormat="1" ht="36" x14ac:dyDescent="0.2">
      <c r="A1022" s="598" t="s">
        <v>1907</v>
      </c>
      <c r="B1022" s="620" t="s">
        <v>1908</v>
      </c>
      <c r="C1022" s="598" t="s">
        <v>2015</v>
      </c>
      <c r="D1022" s="598" t="s">
        <v>3391</v>
      </c>
      <c r="E1022" s="621">
        <v>1500</v>
      </c>
      <c r="F1022" s="599">
        <v>43552560</v>
      </c>
      <c r="G1022" s="598" t="s">
        <v>3396</v>
      </c>
      <c r="H1022" s="598" t="s">
        <v>1931</v>
      </c>
      <c r="I1022" s="598" t="s">
        <v>1912</v>
      </c>
      <c r="J1022" s="617" t="s">
        <v>1931</v>
      </c>
      <c r="K1022" s="598"/>
      <c r="L1022" s="598"/>
      <c r="M1022" s="621"/>
      <c r="N1022" s="598">
        <v>4</v>
      </c>
      <c r="O1022" s="598">
        <v>6</v>
      </c>
      <c r="P1022" s="618">
        <v>9000</v>
      </c>
    </row>
    <row r="1023" spans="1:16" s="619" customFormat="1" ht="36" x14ac:dyDescent="0.2">
      <c r="A1023" s="598" t="s">
        <v>1907</v>
      </c>
      <c r="B1023" s="620" t="s">
        <v>1908</v>
      </c>
      <c r="C1023" s="598" t="s">
        <v>2015</v>
      </c>
      <c r="D1023" s="598" t="s">
        <v>3391</v>
      </c>
      <c r="E1023" s="621">
        <v>5000</v>
      </c>
      <c r="F1023" s="599">
        <v>45512592</v>
      </c>
      <c r="G1023" s="598" t="s">
        <v>3397</v>
      </c>
      <c r="H1023" s="598" t="s">
        <v>2921</v>
      </c>
      <c r="I1023" s="598" t="s">
        <v>1912</v>
      </c>
      <c r="J1023" s="617" t="s">
        <v>1913</v>
      </c>
      <c r="K1023" s="598"/>
      <c r="L1023" s="598"/>
      <c r="M1023" s="621"/>
      <c r="N1023" s="598">
        <v>4</v>
      </c>
      <c r="O1023" s="598">
        <v>6</v>
      </c>
      <c r="P1023" s="618">
        <v>30000</v>
      </c>
    </row>
    <row r="1024" spans="1:16" s="619" customFormat="1" ht="48" x14ac:dyDescent="0.2">
      <c r="A1024" s="598" t="s">
        <v>1907</v>
      </c>
      <c r="B1024" s="620" t="s">
        <v>1908</v>
      </c>
      <c r="C1024" s="598" t="s">
        <v>2015</v>
      </c>
      <c r="D1024" s="598" t="s">
        <v>3391</v>
      </c>
      <c r="E1024" s="621">
        <v>3000</v>
      </c>
      <c r="F1024" s="599">
        <v>72228457</v>
      </c>
      <c r="G1024" s="598" t="s">
        <v>3398</v>
      </c>
      <c r="H1024" s="598" t="s">
        <v>2921</v>
      </c>
      <c r="I1024" s="598" t="s">
        <v>1912</v>
      </c>
      <c r="J1024" s="617" t="s">
        <v>1913</v>
      </c>
      <c r="K1024" s="598"/>
      <c r="L1024" s="598"/>
      <c r="M1024" s="621"/>
      <c r="N1024" s="598">
        <v>4</v>
      </c>
      <c r="O1024" s="598">
        <v>6</v>
      </c>
      <c r="P1024" s="618">
        <v>18000</v>
      </c>
    </row>
    <row r="1025" spans="1:16" s="619" customFormat="1" ht="48" x14ac:dyDescent="0.2">
      <c r="A1025" s="598" t="s">
        <v>1907</v>
      </c>
      <c r="B1025" s="620" t="s">
        <v>1908</v>
      </c>
      <c r="C1025" s="598" t="s">
        <v>2015</v>
      </c>
      <c r="D1025" s="598" t="s">
        <v>3391</v>
      </c>
      <c r="E1025" s="621">
        <v>1900</v>
      </c>
      <c r="F1025" s="599">
        <v>73006702</v>
      </c>
      <c r="G1025" s="598" t="s">
        <v>3399</v>
      </c>
      <c r="H1025" s="598" t="s">
        <v>3022</v>
      </c>
      <c r="I1025" s="598" t="s">
        <v>1912</v>
      </c>
      <c r="J1025" s="617" t="s">
        <v>1913</v>
      </c>
      <c r="K1025" s="598"/>
      <c r="L1025" s="598"/>
      <c r="M1025" s="621"/>
      <c r="N1025" s="598">
        <v>4</v>
      </c>
      <c r="O1025" s="598">
        <v>6</v>
      </c>
      <c r="P1025" s="618">
        <v>11400</v>
      </c>
    </row>
    <row r="1026" spans="1:16" s="619" customFormat="1" ht="36" x14ac:dyDescent="0.2">
      <c r="A1026" s="598" t="s">
        <v>1907</v>
      </c>
      <c r="B1026" s="620" t="s">
        <v>1908</v>
      </c>
      <c r="C1026" s="598" t="s">
        <v>2015</v>
      </c>
      <c r="D1026" s="598" t="s">
        <v>3391</v>
      </c>
      <c r="E1026" s="621">
        <v>5000</v>
      </c>
      <c r="F1026" s="599">
        <v>45059500</v>
      </c>
      <c r="G1026" s="598" t="s">
        <v>3400</v>
      </c>
      <c r="H1026" s="598" t="s">
        <v>2921</v>
      </c>
      <c r="I1026" s="598" t="s">
        <v>1912</v>
      </c>
      <c r="J1026" s="617" t="s">
        <v>1913</v>
      </c>
      <c r="K1026" s="598"/>
      <c r="L1026" s="598"/>
      <c r="M1026" s="621"/>
      <c r="N1026" s="598">
        <v>4</v>
      </c>
      <c r="O1026" s="598">
        <v>6</v>
      </c>
      <c r="P1026" s="618">
        <v>30000</v>
      </c>
    </row>
    <row r="1027" spans="1:16" s="619" customFormat="1" ht="36" x14ac:dyDescent="0.2">
      <c r="A1027" s="598" t="s">
        <v>1907</v>
      </c>
      <c r="B1027" s="620" t="s">
        <v>1908</v>
      </c>
      <c r="C1027" s="598" t="s">
        <v>2015</v>
      </c>
      <c r="D1027" s="598" t="s">
        <v>3391</v>
      </c>
      <c r="E1027" s="621">
        <v>5000</v>
      </c>
      <c r="F1027" s="599">
        <v>41589714</v>
      </c>
      <c r="G1027" s="598" t="s">
        <v>3401</v>
      </c>
      <c r="H1027" s="598" t="s">
        <v>2921</v>
      </c>
      <c r="I1027" s="598" t="s">
        <v>1912</v>
      </c>
      <c r="J1027" s="617" t="s">
        <v>1913</v>
      </c>
      <c r="K1027" s="598"/>
      <c r="L1027" s="598"/>
      <c r="M1027" s="621"/>
      <c r="N1027" s="598">
        <v>4</v>
      </c>
      <c r="O1027" s="598">
        <v>6</v>
      </c>
      <c r="P1027" s="618">
        <v>30000</v>
      </c>
    </row>
    <row r="1028" spans="1:16" s="619" customFormat="1" ht="24" x14ac:dyDescent="0.2">
      <c r="A1028" s="598" t="s">
        <v>1907</v>
      </c>
      <c r="B1028" s="620" t="s">
        <v>1908</v>
      </c>
      <c r="C1028" s="598" t="s">
        <v>2015</v>
      </c>
      <c r="D1028" s="598" t="s">
        <v>3391</v>
      </c>
      <c r="E1028" s="621">
        <v>5000</v>
      </c>
      <c r="F1028" s="599">
        <v>40368714</v>
      </c>
      <c r="G1028" s="598" t="s">
        <v>3402</v>
      </c>
      <c r="H1028" s="598" t="s">
        <v>2921</v>
      </c>
      <c r="I1028" s="598" t="s">
        <v>1912</v>
      </c>
      <c r="J1028" s="617" t="s">
        <v>1913</v>
      </c>
      <c r="K1028" s="598"/>
      <c r="L1028" s="598"/>
      <c r="M1028" s="621"/>
      <c r="N1028" s="598">
        <v>4</v>
      </c>
      <c r="O1028" s="598">
        <v>6</v>
      </c>
      <c r="P1028" s="618">
        <v>30000</v>
      </c>
    </row>
    <row r="1029" spans="1:16" s="619" customFormat="1" ht="24" x14ac:dyDescent="0.2">
      <c r="A1029" s="598" t="s">
        <v>1907</v>
      </c>
      <c r="B1029" s="620" t="s">
        <v>1908</v>
      </c>
      <c r="C1029" s="598" t="s">
        <v>2015</v>
      </c>
      <c r="D1029" s="598" t="s">
        <v>3391</v>
      </c>
      <c r="E1029" s="621">
        <v>1200</v>
      </c>
      <c r="F1029" s="599">
        <v>47114827</v>
      </c>
      <c r="G1029" s="598" t="s">
        <v>3403</v>
      </c>
      <c r="H1029" s="598" t="s">
        <v>1931</v>
      </c>
      <c r="I1029" s="598" t="s">
        <v>1912</v>
      </c>
      <c r="J1029" s="617" t="s">
        <v>1931</v>
      </c>
      <c r="K1029" s="598"/>
      <c r="L1029" s="598"/>
      <c r="M1029" s="621"/>
      <c r="N1029" s="598">
        <v>4</v>
      </c>
      <c r="O1029" s="598">
        <v>6</v>
      </c>
      <c r="P1029" s="618">
        <v>7200</v>
      </c>
    </row>
    <row r="1030" spans="1:16" s="619" customFormat="1" ht="48" x14ac:dyDescent="0.2">
      <c r="A1030" s="598" t="s">
        <v>1907</v>
      </c>
      <c r="B1030" s="620" t="s">
        <v>1908</v>
      </c>
      <c r="C1030" s="598" t="s">
        <v>2015</v>
      </c>
      <c r="D1030" s="598" t="s">
        <v>3391</v>
      </c>
      <c r="E1030" s="621">
        <v>2000</v>
      </c>
      <c r="F1030" s="599">
        <v>70932130</v>
      </c>
      <c r="G1030" s="598" t="s">
        <v>3404</v>
      </c>
      <c r="H1030" s="598" t="s">
        <v>3022</v>
      </c>
      <c r="I1030" s="598" t="s">
        <v>1912</v>
      </c>
      <c r="J1030" s="617" t="s">
        <v>1913</v>
      </c>
      <c r="K1030" s="598"/>
      <c r="L1030" s="598"/>
      <c r="M1030" s="621"/>
      <c r="N1030" s="598">
        <v>1</v>
      </c>
      <c r="O1030" s="598">
        <v>2</v>
      </c>
      <c r="P1030" s="618">
        <v>4000</v>
      </c>
    </row>
    <row r="1031" spans="1:16" s="619" customFormat="1" ht="36" x14ac:dyDescent="0.2">
      <c r="A1031" s="598" t="s">
        <v>1907</v>
      </c>
      <c r="B1031" s="620" t="s">
        <v>1908</v>
      </c>
      <c r="C1031" s="598" t="s">
        <v>2015</v>
      </c>
      <c r="D1031" s="598" t="s">
        <v>3388</v>
      </c>
      <c r="E1031" s="621">
        <v>3000</v>
      </c>
      <c r="F1031" s="599">
        <v>48110242</v>
      </c>
      <c r="G1031" s="598" t="s">
        <v>3405</v>
      </c>
      <c r="H1031" s="598" t="s">
        <v>2921</v>
      </c>
      <c r="I1031" s="598" t="s">
        <v>1912</v>
      </c>
      <c r="J1031" s="617" t="s">
        <v>1913</v>
      </c>
      <c r="K1031" s="598"/>
      <c r="L1031" s="598"/>
      <c r="M1031" s="621"/>
      <c r="N1031" s="598">
        <v>1</v>
      </c>
      <c r="O1031" s="598">
        <v>2</v>
      </c>
      <c r="P1031" s="618">
        <v>6000</v>
      </c>
    </row>
    <row r="1032" spans="1:16" s="619" customFormat="1" ht="36" x14ac:dyDescent="0.2">
      <c r="A1032" s="598" t="s">
        <v>1907</v>
      </c>
      <c r="B1032" s="620" t="s">
        <v>1908</v>
      </c>
      <c r="C1032" s="598" t="s">
        <v>2015</v>
      </c>
      <c r="D1032" s="598" t="s">
        <v>3391</v>
      </c>
      <c r="E1032" s="621">
        <v>7500</v>
      </c>
      <c r="F1032" s="599">
        <v>42577913</v>
      </c>
      <c r="G1032" s="598" t="s">
        <v>3406</v>
      </c>
      <c r="H1032" s="598" t="s">
        <v>2921</v>
      </c>
      <c r="I1032" s="598" t="s">
        <v>1912</v>
      </c>
      <c r="J1032" s="617" t="s">
        <v>1913</v>
      </c>
      <c r="K1032" s="598"/>
      <c r="L1032" s="598"/>
      <c r="M1032" s="621"/>
      <c r="N1032" s="598">
        <v>4</v>
      </c>
      <c r="O1032" s="598">
        <v>6</v>
      </c>
      <c r="P1032" s="618">
        <v>45000</v>
      </c>
    </row>
    <row r="1033" spans="1:16" s="619" customFormat="1" ht="24" x14ac:dyDescent="0.2">
      <c r="A1033" s="598" t="s">
        <v>1907</v>
      </c>
      <c r="B1033" s="620" t="s">
        <v>1908</v>
      </c>
      <c r="C1033" s="598" t="s">
        <v>2015</v>
      </c>
      <c r="D1033" s="598" t="s">
        <v>3391</v>
      </c>
      <c r="E1033" s="621">
        <v>5000</v>
      </c>
      <c r="F1033" s="599"/>
      <c r="G1033" s="598" t="s">
        <v>3407</v>
      </c>
      <c r="H1033" s="598" t="s">
        <v>2472</v>
      </c>
      <c r="I1033" s="598" t="s">
        <v>1912</v>
      </c>
      <c r="J1033" s="617" t="s">
        <v>1913</v>
      </c>
      <c r="K1033" s="598"/>
      <c r="L1033" s="598"/>
      <c r="M1033" s="621"/>
      <c r="N1033" s="598">
        <v>4</v>
      </c>
      <c r="O1033" s="598">
        <v>6</v>
      </c>
      <c r="P1033" s="618">
        <v>30000</v>
      </c>
    </row>
    <row r="1034" spans="1:16" s="619" customFormat="1" ht="36" x14ac:dyDescent="0.2">
      <c r="A1034" s="598" t="s">
        <v>1907</v>
      </c>
      <c r="B1034" s="620" t="s">
        <v>1908</v>
      </c>
      <c r="C1034" s="598" t="s">
        <v>2015</v>
      </c>
      <c r="D1034" s="598" t="s">
        <v>3391</v>
      </c>
      <c r="E1034" s="621">
        <v>1800</v>
      </c>
      <c r="F1034" s="599">
        <v>75997205</v>
      </c>
      <c r="G1034" s="598" t="s">
        <v>3408</v>
      </c>
      <c r="H1034" s="598" t="s">
        <v>3022</v>
      </c>
      <c r="I1034" s="598" t="s">
        <v>1912</v>
      </c>
      <c r="J1034" s="617" t="s">
        <v>1913</v>
      </c>
      <c r="K1034" s="598"/>
      <c r="L1034" s="598"/>
      <c r="M1034" s="621"/>
      <c r="N1034" s="598">
        <v>1</v>
      </c>
      <c r="O1034" s="598">
        <v>1</v>
      </c>
      <c r="P1034" s="618">
        <v>1800</v>
      </c>
    </row>
    <row r="1035" spans="1:16" s="619" customFormat="1" ht="36" x14ac:dyDescent="0.2">
      <c r="A1035" s="598" t="s">
        <v>1907</v>
      </c>
      <c r="B1035" s="620" t="s">
        <v>1908</v>
      </c>
      <c r="C1035" s="598" t="s">
        <v>2015</v>
      </c>
      <c r="D1035" s="598" t="s">
        <v>3391</v>
      </c>
      <c r="E1035" s="621">
        <v>2000</v>
      </c>
      <c r="F1035" s="599"/>
      <c r="G1035" s="598" t="s">
        <v>3409</v>
      </c>
      <c r="H1035" s="598" t="s">
        <v>3410</v>
      </c>
      <c r="I1035" s="598" t="s">
        <v>1912</v>
      </c>
      <c r="J1035" s="617" t="s">
        <v>1913</v>
      </c>
      <c r="K1035" s="598"/>
      <c r="L1035" s="598"/>
      <c r="M1035" s="621"/>
      <c r="N1035" s="598">
        <v>2</v>
      </c>
      <c r="O1035" s="598">
        <v>3</v>
      </c>
      <c r="P1035" s="618">
        <v>6000</v>
      </c>
    </row>
    <row r="1036" spans="1:16" s="619" customFormat="1" ht="24" x14ac:dyDescent="0.2">
      <c r="A1036" s="598" t="s">
        <v>1907</v>
      </c>
      <c r="B1036" s="620" t="s">
        <v>1908</v>
      </c>
      <c r="C1036" s="598" t="s">
        <v>2015</v>
      </c>
      <c r="D1036" s="598" t="s">
        <v>3391</v>
      </c>
      <c r="E1036" s="621">
        <v>6500</v>
      </c>
      <c r="F1036" s="599"/>
      <c r="G1036" s="598" t="s">
        <v>3411</v>
      </c>
      <c r="H1036" s="598" t="s">
        <v>2921</v>
      </c>
      <c r="I1036" s="598" t="s">
        <v>1912</v>
      </c>
      <c r="J1036" s="617" t="s">
        <v>1913</v>
      </c>
      <c r="K1036" s="598"/>
      <c r="L1036" s="598"/>
      <c r="M1036" s="621"/>
      <c r="N1036" s="598">
        <v>3</v>
      </c>
      <c r="O1036" s="598">
        <v>5</v>
      </c>
      <c r="P1036" s="618">
        <v>32500</v>
      </c>
    </row>
    <row r="1037" spans="1:16" s="619" customFormat="1" ht="24" x14ac:dyDescent="0.2">
      <c r="A1037" s="598" t="s">
        <v>1907</v>
      </c>
      <c r="B1037" s="620" t="s">
        <v>1908</v>
      </c>
      <c r="C1037" s="598" t="s">
        <v>2015</v>
      </c>
      <c r="D1037" s="598" t="s">
        <v>3391</v>
      </c>
      <c r="E1037" s="621">
        <v>6000</v>
      </c>
      <c r="F1037" s="599"/>
      <c r="G1037" s="598" t="s">
        <v>3412</v>
      </c>
      <c r="H1037" s="598" t="s">
        <v>2921</v>
      </c>
      <c r="I1037" s="598" t="s">
        <v>1912</v>
      </c>
      <c r="J1037" s="617" t="s">
        <v>1913</v>
      </c>
      <c r="K1037" s="598"/>
      <c r="L1037" s="598"/>
      <c r="M1037" s="621"/>
      <c r="N1037" s="598">
        <v>3</v>
      </c>
      <c r="O1037" s="598">
        <v>5</v>
      </c>
      <c r="P1037" s="618">
        <v>30000</v>
      </c>
    </row>
    <row r="1038" spans="1:16" s="619" customFormat="1" ht="48" x14ac:dyDescent="0.2">
      <c r="A1038" s="598" t="s">
        <v>1907</v>
      </c>
      <c r="B1038" s="620" t="s">
        <v>1908</v>
      </c>
      <c r="C1038" s="598" t="s">
        <v>2015</v>
      </c>
      <c r="D1038" s="598" t="s">
        <v>3391</v>
      </c>
      <c r="E1038" s="621">
        <v>5000</v>
      </c>
      <c r="F1038" s="599"/>
      <c r="G1038" s="598" t="s">
        <v>3413</v>
      </c>
      <c r="H1038" s="598" t="s">
        <v>2921</v>
      </c>
      <c r="I1038" s="598" t="s">
        <v>1912</v>
      </c>
      <c r="J1038" s="617" t="s">
        <v>1913</v>
      </c>
      <c r="K1038" s="598"/>
      <c r="L1038" s="598"/>
      <c r="M1038" s="621"/>
      <c r="N1038" s="598">
        <v>2</v>
      </c>
      <c r="O1038" s="598">
        <v>3</v>
      </c>
      <c r="P1038" s="618">
        <v>18000</v>
      </c>
    </row>
    <row r="1039" spans="1:16" s="619" customFormat="1" ht="36" x14ac:dyDescent="0.2">
      <c r="A1039" s="598" t="s">
        <v>1907</v>
      </c>
      <c r="B1039" s="620" t="s">
        <v>1908</v>
      </c>
      <c r="C1039" s="598" t="s">
        <v>2015</v>
      </c>
      <c r="D1039" s="598" t="s">
        <v>3391</v>
      </c>
      <c r="E1039" s="621">
        <v>5000</v>
      </c>
      <c r="F1039" s="599"/>
      <c r="G1039" s="598" t="s">
        <v>3414</v>
      </c>
      <c r="H1039" s="598" t="s">
        <v>2472</v>
      </c>
      <c r="I1039" s="598" t="s">
        <v>1912</v>
      </c>
      <c r="J1039" s="617" t="s">
        <v>1913</v>
      </c>
      <c r="K1039" s="598"/>
      <c r="L1039" s="598"/>
      <c r="M1039" s="621"/>
      <c r="N1039" s="598">
        <v>3</v>
      </c>
      <c r="O1039" s="598">
        <v>5</v>
      </c>
      <c r="P1039" s="618">
        <v>25000</v>
      </c>
    </row>
    <row r="1040" spans="1:16" s="619" customFormat="1" ht="36" x14ac:dyDescent="0.2">
      <c r="A1040" s="598" t="s">
        <v>1907</v>
      </c>
      <c r="B1040" s="620" t="s">
        <v>1908</v>
      </c>
      <c r="C1040" s="598" t="s">
        <v>2015</v>
      </c>
      <c r="D1040" s="598" t="s">
        <v>3391</v>
      </c>
      <c r="E1040" s="621">
        <v>1800</v>
      </c>
      <c r="F1040" s="599"/>
      <c r="G1040" s="598" t="s">
        <v>3415</v>
      </c>
      <c r="H1040" s="598" t="s">
        <v>3117</v>
      </c>
      <c r="I1040" s="598" t="s">
        <v>1912</v>
      </c>
      <c r="J1040" s="617" t="s">
        <v>1913</v>
      </c>
      <c r="K1040" s="598"/>
      <c r="L1040" s="598"/>
      <c r="M1040" s="621"/>
      <c r="N1040" s="598">
        <v>3</v>
      </c>
      <c r="O1040" s="598">
        <v>5</v>
      </c>
      <c r="P1040" s="618">
        <v>9000</v>
      </c>
    </row>
    <row r="1041" spans="1:16" s="619" customFormat="1" ht="24" x14ac:dyDescent="0.2">
      <c r="A1041" s="598" t="s">
        <v>1907</v>
      </c>
      <c r="B1041" s="620" t="s">
        <v>1908</v>
      </c>
      <c r="C1041" s="598" t="s">
        <v>2015</v>
      </c>
      <c r="D1041" s="598" t="s">
        <v>3391</v>
      </c>
      <c r="E1041" s="621">
        <v>3000</v>
      </c>
      <c r="F1041" s="599"/>
      <c r="G1041" s="598" t="s">
        <v>3416</v>
      </c>
      <c r="H1041" s="598" t="s">
        <v>2921</v>
      </c>
      <c r="I1041" s="598" t="s">
        <v>1912</v>
      </c>
      <c r="J1041" s="617" t="s">
        <v>1913</v>
      </c>
      <c r="K1041" s="598"/>
      <c r="L1041" s="598"/>
      <c r="M1041" s="621"/>
      <c r="N1041" s="598">
        <v>3</v>
      </c>
      <c r="O1041" s="598">
        <v>5</v>
      </c>
      <c r="P1041" s="618">
        <v>15000</v>
      </c>
    </row>
    <row r="1042" spans="1:16" s="619" customFormat="1" ht="48" x14ac:dyDescent="0.2">
      <c r="A1042" s="598" t="s">
        <v>1907</v>
      </c>
      <c r="B1042" s="620" t="s">
        <v>1908</v>
      </c>
      <c r="C1042" s="598" t="s">
        <v>2015</v>
      </c>
      <c r="D1042" s="598" t="s">
        <v>3391</v>
      </c>
      <c r="E1042" s="621">
        <v>5000</v>
      </c>
      <c r="F1042" s="599">
        <v>42153496</v>
      </c>
      <c r="G1042" s="598" t="s">
        <v>3417</v>
      </c>
      <c r="H1042" s="598" t="s">
        <v>2921</v>
      </c>
      <c r="I1042" s="598" t="s">
        <v>1912</v>
      </c>
      <c r="J1042" s="617" t="s">
        <v>1913</v>
      </c>
      <c r="K1042" s="598"/>
      <c r="L1042" s="598"/>
      <c r="M1042" s="621"/>
      <c r="N1042" s="598">
        <v>4</v>
      </c>
      <c r="O1042" s="598">
        <v>6</v>
      </c>
      <c r="P1042" s="618">
        <v>30000</v>
      </c>
    </row>
    <row r="1043" spans="1:16" s="619" customFormat="1" ht="36" x14ac:dyDescent="0.2">
      <c r="A1043" s="598" t="s">
        <v>1907</v>
      </c>
      <c r="B1043" s="620" t="s">
        <v>1908</v>
      </c>
      <c r="C1043" s="598" t="s">
        <v>2015</v>
      </c>
      <c r="D1043" s="598" t="s">
        <v>3391</v>
      </c>
      <c r="E1043" s="621">
        <v>1900</v>
      </c>
      <c r="F1043" s="599">
        <v>73972487</v>
      </c>
      <c r="G1043" s="598" t="s">
        <v>3418</v>
      </c>
      <c r="H1043" s="598" t="s">
        <v>3022</v>
      </c>
      <c r="I1043" s="598" t="s">
        <v>1912</v>
      </c>
      <c r="J1043" s="617" t="s">
        <v>1913</v>
      </c>
      <c r="K1043" s="598"/>
      <c r="L1043" s="598"/>
      <c r="M1043" s="621"/>
      <c r="N1043" s="598">
        <v>4</v>
      </c>
      <c r="O1043" s="598">
        <v>6</v>
      </c>
      <c r="P1043" s="618">
        <v>11400</v>
      </c>
    </row>
    <row r="1044" spans="1:16" s="619" customFormat="1" ht="48" x14ac:dyDescent="0.2">
      <c r="A1044" s="598" t="s">
        <v>1907</v>
      </c>
      <c r="B1044" s="620" t="s">
        <v>2073</v>
      </c>
      <c r="C1044" s="598" t="s">
        <v>2015</v>
      </c>
      <c r="D1044" s="598" t="s">
        <v>3391</v>
      </c>
      <c r="E1044" s="621">
        <v>3000</v>
      </c>
      <c r="F1044" s="599">
        <v>73981060</v>
      </c>
      <c r="G1044" s="598" t="s">
        <v>3419</v>
      </c>
      <c r="H1044" s="598" t="s">
        <v>2921</v>
      </c>
      <c r="I1044" s="598" t="s">
        <v>1912</v>
      </c>
      <c r="J1044" s="617" t="s">
        <v>1913</v>
      </c>
      <c r="K1044" s="598"/>
      <c r="L1044" s="598"/>
      <c r="M1044" s="621"/>
      <c r="N1044" s="598">
        <v>1</v>
      </c>
      <c r="O1044" s="598">
        <v>2</v>
      </c>
      <c r="P1044" s="618">
        <v>6000</v>
      </c>
    </row>
    <row r="1045" spans="1:16" s="619" customFormat="1" ht="24" x14ac:dyDescent="0.2">
      <c r="A1045" s="598" t="s">
        <v>1907</v>
      </c>
      <c r="B1045" s="620" t="s">
        <v>1908</v>
      </c>
      <c r="C1045" s="598" t="s">
        <v>2015</v>
      </c>
      <c r="D1045" s="598" t="s">
        <v>3391</v>
      </c>
      <c r="E1045" s="621"/>
      <c r="F1045" s="599"/>
      <c r="G1045" s="598" t="s">
        <v>3420</v>
      </c>
      <c r="H1045" s="598"/>
      <c r="I1045" s="598"/>
      <c r="J1045" s="617"/>
      <c r="K1045" s="598"/>
      <c r="L1045" s="598"/>
      <c r="M1045" s="621"/>
      <c r="N1045" s="598">
        <v>1</v>
      </c>
      <c r="O1045" s="598">
        <v>1</v>
      </c>
      <c r="P1045" s="618"/>
    </row>
    <row r="1046" spans="1:16" s="619" customFormat="1" ht="48" x14ac:dyDescent="0.2">
      <c r="A1046" s="598" t="s">
        <v>1907</v>
      </c>
      <c r="B1046" s="620" t="s">
        <v>2073</v>
      </c>
      <c r="C1046" s="598" t="s">
        <v>2015</v>
      </c>
      <c r="D1046" s="598" t="s">
        <v>3391</v>
      </c>
      <c r="E1046" s="621">
        <v>5000</v>
      </c>
      <c r="F1046" s="599">
        <v>16691885</v>
      </c>
      <c r="G1046" s="598" t="s">
        <v>3421</v>
      </c>
      <c r="H1046" s="598" t="s">
        <v>2921</v>
      </c>
      <c r="I1046" s="598" t="s">
        <v>1912</v>
      </c>
      <c r="J1046" s="617" t="s">
        <v>1913</v>
      </c>
      <c r="K1046" s="598"/>
      <c r="L1046" s="598"/>
      <c r="M1046" s="621"/>
      <c r="N1046" s="598">
        <v>1</v>
      </c>
      <c r="O1046" s="598">
        <v>2</v>
      </c>
      <c r="P1046" s="618">
        <v>10000</v>
      </c>
    </row>
    <row r="1047" spans="1:16" s="619" customFormat="1" ht="48" x14ac:dyDescent="0.2">
      <c r="A1047" s="598" t="s">
        <v>1907</v>
      </c>
      <c r="B1047" s="620" t="s">
        <v>2073</v>
      </c>
      <c r="C1047" s="598" t="s">
        <v>2015</v>
      </c>
      <c r="D1047" s="598" t="s">
        <v>3391</v>
      </c>
      <c r="E1047" s="621">
        <v>3000</v>
      </c>
      <c r="F1047" s="599">
        <v>73709984</v>
      </c>
      <c r="G1047" s="598" t="s">
        <v>3422</v>
      </c>
      <c r="H1047" s="598"/>
      <c r="I1047" s="598"/>
      <c r="J1047" s="617"/>
      <c r="K1047" s="598"/>
      <c r="L1047" s="598"/>
      <c r="M1047" s="621"/>
      <c r="N1047" s="598">
        <v>1</v>
      </c>
      <c r="O1047" s="598">
        <v>1</v>
      </c>
      <c r="P1047" s="618">
        <v>3000</v>
      </c>
    </row>
    <row r="1048" spans="1:16" s="619" customFormat="1" ht="36" x14ac:dyDescent="0.2">
      <c r="A1048" s="598" t="s">
        <v>1907</v>
      </c>
      <c r="B1048" s="620" t="s">
        <v>1908</v>
      </c>
      <c r="C1048" s="598" t="s">
        <v>2015</v>
      </c>
      <c r="D1048" s="598" t="s">
        <v>3391</v>
      </c>
      <c r="E1048" s="621">
        <v>1800</v>
      </c>
      <c r="F1048" s="599">
        <v>47209156</v>
      </c>
      <c r="G1048" s="598" t="s">
        <v>3423</v>
      </c>
      <c r="H1048" s="598" t="s">
        <v>1919</v>
      </c>
      <c r="I1048" s="598"/>
      <c r="J1048" s="617"/>
      <c r="K1048" s="598"/>
      <c r="L1048" s="598"/>
      <c r="M1048" s="621"/>
      <c r="N1048" s="598">
        <v>2</v>
      </c>
      <c r="O1048" s="598">
        <v>4</v>
      </c>
      <c r="P1048" s="618">
        <v>7200</v>
      </c>
    </row>
    <row r="1049" spans="1:16" s="619" customFormat="1" ht="36" x14ac:dyDescent="0.2">
      <c r="A1049" s="598" t="s">
        <v>1907</v>
      </c>
      <c r="B1049" s="620" t="s">
        <v>2050</v>
      </c>
      <c r="C1049" s="598" t="s">
        <v>2015</v>
      </c>
      <c r="D1049" s="598" t="s">
        <v>3424</v>
      </c>
      <c r="E1049" s="621">
        <v>2500</v>
      </c>
      <c r="F1049" s="599">
        <v>40661906</v>
      </c>
      <c r="G1049" s="598" t="s">
        <v>3425</v>
      </c>
      <c r="H1049" s="598" t="s">
        <v>2939</v>
      </c>
      <c r="I1049" s="598" t="s">
        <v>1912</v>
      </c>
      <c r="J1049" s="617" t="s">
        <v>1913</v>
      </c>
      <c r="K1049" s="598"/>
      <c r="L1049" s="598"/>
      <c r="M1049" s="621"/>
      <c r="N1049" s="598">
        <v>3</v>
      </c>
      <c r="O1049" s="598">
        <v>5</v>
      </c>
      <c r="P1049" s="618">
        <v>12500</v>
      </c>
    </row>
    <row r="1050" spans="1:16" s="619" customFormat="1" ht="48" x14ac:dyDescent="0.2">
      <c r="A1050" s="598" t="s">
        <v>1907</v>
      </c>
      <c r="B1050" s="620" t="s">
        <v>2073</v>
      </c>
      <c r="C1050" s="598" t="s">
        <v>2015</v>
      </c>
      <c r="D1050" s="598" t="s">
        <v>3424</v>
      </c>
      <c r="E1050" s="621">
        <v>1200</v>
      </c>
      <c r="F1050" s="599">
        <v>76148688</v>
      </c>
      <c r="G1050" s="598" t="s">
        <v>3426</v>
      </c>
      <c r="H1050" s="598" t="s">
        <v>3427</v>
      </c>
      <c r="I1050" s="598" t="s">
        <v>1912</v>
      </c>
      <c r="J1050" s="617" t="s">
        <v>1931</v>
      </c>
      <c r="K1050" s="598"/>
      <c r="L1050" s="598"/>
      <c r="M1050" s="621"/>
      <c r="N1050" s="598">
        <v>2</v>
      </c>
      <c r="O1050" s="598">
        <v>3</v>
      </c>
      <c r="P1050" s="618">
        <v>3600</v>
      </c>
    </row>
    <row r="1051" spans="1:16" s="619" customFormat="1" ht="48" x14ac:dyDescent="0.2">
      <c r="A1051" s="598" t="s">
        <v>1907</v>
      </c>
      <c r="B1051" s="620" t="s">
        <v>2073</v>
      </c>
      <c r="C1051" s="598" t="s">
        <v>2015</v>
      </c>
      <c r="D1051" s="598" t="s">
        <v>3424</v>
      </c>
      <c r="E1051" s="621">
        <v>1500</v>
      </c>
      <c r="F1051" s="599">
        <v>33413106</v>
      </c>
      <c r="G1051" s="598" t="s">
        <v>3428</v>
      </c>
      <c r="H1051" s="598"/>
      <c r="I1051" s="598"/>
      <c r="J1051" s="617"/>
      <c r="K1051" s="598"/>
      <c r="L1051" s="598"/>
      <c r="M1051" s="621"/>
      <c r="N1051" s="598">
        <v>4</v>
      </c>
      <c r="O1051" s="598">
        <v>6</v>
      </c>
      <c r="P1051" s="618">
        <v>9000</v>
      </c>
    </row>
    <row r="1052" spans="1:16" s="619" customFormat="1" ht="48" x14ac:dyDescent="0.2">
      <c r="A1052" s="598" t="s">
        <v>1907</v>
      </c>
      <c r="B1052" s="620" t="s">
        <v>2073</v>
      </c>
      <c r="C1052" s="598" t="s">
        <v>2015</v>
      </c>
      <c r="D1052" s="598" t="s">
        <v>3424</v>
      </c>
      <c r="E1052" s="621">
        <v>6000</v>
      </c>
      <c r="F1052" s="599">
        <v>33407177</v>
      </c>
      <c r="G1052" s="598" t="s">
        <v>3429</v>
      </c>
      <c r="H1052" s="598" t="s">
        <v>2921</v>
      </c>
      <c r="I1052" s="598" t="s">
        <v>1912</v>
      </c>
      <c r="J1052" s="617" t="s">
        <v>1913</v>
      </c>
      <c r="K1052" s="598"/>
      <c r="L1052" s="598"/>
      <c r="M1052" s="621"/>
      <c r="N1052" s="598">
        <v>3</v>
      </c>
      <c r="O1052" s="598">
        <v>5</v>
      </c>
      <c r="P1052" s="618">
        <v>30000</v>
      </c>
    </row>
    <row r="1053" spans="1:16" s="619" customFormat="1" ht="48" x14ac:dyDescent="0.2">
      <c r="A1053" s="598" t="s">
        <v>1907</v>
      </c>
      <c r="B1053" s="620" t="s">
        <v>2073</v>
      </c>
      <c r="C1053" s="598" t="s">
        <v>2015</v>
      </c>
      <c r="D1053" s="598" t="s">
        <v>3424</v>
      </c>
      <c r="E1053" s="621">
        <v>5000</v>
      </c>
      <c r="F1053" s="599">
        <v>25539304</v>
      </c>
      <c r="G1053" s="598" t="s">
        <v>3430</v>
      </c>
      <c r="H1053" s="598" t="s">
        <v>2921</v>
      </c>
      <c r="I1053" s="598" t="s">
        <v>1912</v>
      </c>
      <c r="J1053" s="617" t="s">
        <v>1913</v>
      </c>
      <c r="K1053" s="598"/>
      <c r="L1053" s="598"/>
      <c r="M1053" s="621"/>
      <c r="N1053" s="598">
        <v>3</v>
      </c>
      <c r="O1053" s="598">
        <v>5</v>
      </c>
      <c r="P1053" s="618">
        <v>25000</v>
      </c>
    </row>
    <row r="1054" spans="1:16" s="619" customFormat="1" ht="48" x14ac:dyDescent="0.2">
      <c r="A1054" s="598" t="s">
        <v>1907</v>
      </c>
      <c r="B1054" s="620" t="s">
        <v>2073</v>
      </c>
      <c r="C1054" s="598" t="s">
        <v>2015</v>
      </c>
      <c r="D1054" s="598" t="s">
        <v>3424</v>
      </c>
      <c r="E1054" s="621">
        <v>3500</v>
      </c>
      <c r="F1054" s="599">
        <v>71073167</v>
      </c>
      <c r="G1054" s="598" t="s">
        <v>3431</v>
      </c>
      <c r="H1054" s="598" t="s">
        <v>2939</v>
      </c>
      <c r="I1054" s="598" t="s">
        <v>1912</v>
      </c>
      <c r="J1054" s="617" t="s">
        <v>1913</v>
      </c>
      <c r="K1054" s="598"/>
      <c r="L1054" s="598"/>
      <c r="M1054" s="621"/>
      <c r="N1054" s="598">
        <v>1</v>
      </c>
      <c r="O1054" s="598">
        <v>1</v>
      </c>
      <c r="P1054" s="618">
        <v>3500</v>
      </c>
    </row>
    <row r="1055" spans="1:16" s="619" customFormat="1" ht="48" x14ac:dyDescent="0.2">
      <c r="A1055" s="598" t="s">
        <v>1907</v>
      </c>
      <c r="B1055" s="620" t="s">
        <v>2073</v>
      </c>
      <c r="C1055" s="598" t="s">
        <v>2015</v>
      </c>
      <c r="D1055" s="598" t="s">
        <v>3424</v>
      </c>
      <c r="E1055" s="621">
        <v>2200</v>
      </c>
      <c r="F1055" s="599"/>
      <c r="G1055" s="598" t="s">
        <v>3432</v>
      </c>
      <c r="H1055" s="598"/>
      <c r="I1055" s="598"/>
      <c r="J1055" s="617"/>
      <c r="K1055" s="598"/>
      <c r="L1055" s="598"/>
      <c r="M1055" s="621"/>
      <c r="N1055" s="598">
        <v>2</v>
      </c>
      <c r="O1055" s="598">
        <v>3</v>
      </c>
      <c r="P1055" s="618">
        <v>6600</v>
      </c>
    </row>
    <row r="1056" spans="1:16" s="619" customFormat="1" ht="48" x14ac:dyDescent="0.2">
      <c r="A1056" s="598" t="s">
        <v>1907</v>
      </c>
      <c r="B1056" s="620" t="s">
        <v>2073</v>
      </c>
      <c r="C1056" s="598" t="s">
        <v>2015</v>
      </c>
      <c r="D1056" s="598" t="s">
        <v>3424</v>
      </c>
      <c r="E1056" s="621">
        <v>1200</v>
      </c>
      <c r="F1056" s="599"/>
      <c r="G1056" s="598" t="s">
        <v>3433</v>
      </c>
      <c r="H1056" s="598"/>
      <c r="I1056" s="598"/>
      <c r="J1056" s="617"/>
      <c r="K1056" s="598"/>
      <c r="L1056" s="598"/>
      <c r="M1056" s="621"/>
      <c r="N1056" s="598">
        <v>3</v>
      </c>
      <c r="O1056" s="598">
        <v>5</v>
      </c>
      <c r="P1056" s="618">
        <v>6000</v>
      </c>
    </row>
    <row r="1057" spans="1:16" s="619" customFormat="1" ht="48" x14ac:dyDescent="0.2">
      <c r="A1057" s="598" t="s">
        <v>1907</v>
      </c>
      <c r="B1057" s="620" t="s">
        <v>2073</v>
      </c>
      <c r="C1057" s="598" t="s">
        <v>2015</v>
      </c>
      <c r="D1057" s="598" t="s">
        <v>3424</v>
      </c>
      <c r="E1057" s="621">
        <v>1800</v>
      </c>
      <c r="F1057" s="599"/>
      <c r="G1057" s="598" t="s">
        <v>3434</v>
      </c>
      <c r="H1057" s="598" t="s">
        <v>1931</v>
      </c>
      <c r="I1057" s="598" t="s">
        <v>1912</v>
      </c>
      <c r="J1057" s="617" t="s">
        <v>1931</v>
      </c>
      <c r="K1057" s="598"/>
      <c r="L1057" s="598"/>
      <c r="M1057" s="621"/>
      <c r="N1057" s="598">
        <v>2</v>
      </c>
      <c r="O1057" s="598">
        <v>3</v>
      </c>
      <c r="P1057" s="618">
        <v>5400</v>
      </c>
    </row>
    <row r="1058" spans="1:16" s="619" customFormat="1" ht="48" x14ac:dyDescent="0.2">
      <c r="A1058" s="598" t="s">
        <v>1907</v>
      </c>
      <c r="B1058" s="620" t="s">
        <v>2073</v>
      </c>
      <c r="C1058" s="598" t="s">
        <v>2015</v>
      </c>
      <c r="D1058" s="598" t="s">
        <v>3424</v>
      </c>
      <c r="E1058" s="621">
        <v>1200</v>
      </c>
      <c r="F1058" s="599"/>
      <c r="G1058" s="598" t="s">
        <v>3435</v>
      </c>
      <c r="H1058" s="598" t="s">
        <v>3427</v>
      </c>
      <c r="I1058" s="598" t="s">
        <v>1912</v>
      </c>
      <c r="J1058" s="617" t="s">
        <v>1931</v>
      </c>
      <c r="K1058" s="598"/>
      <c r="L1058" s="598"/>
      <c r="M1058" s="621"/>
      <c r="N1058" s="598">
        <v>3</v>
      </c>
      <c r="O1058" s="598">
        <v>5</v>
      </c>
      <c r="P1058" s="618">
        <v>6000</v>
      </c>
    </row>
    <row r="1059" spans="1:16" s="619" customFormat="1" ht="48" x14ac:dyDescent="0.2">
      <c r="A1059" s="598" t="s">
        <v>1907</v>
      </c>
      <c r="B1059" s="620" t="s">
        <v>2073</v>
      </c>
      <c r="C1059" s="598" t="s">
        <v>2015</v>
      </c>
      <c r="D1059" s="598" t="s">
        <v>3424</v>
      </c>
      <c r="E1059" s="621">
        <v>1100</v>
      </c>
      <c r="F1059" s="599"/>
      <c r="G1059" s="598" t="s">
        <v>3436</v>
      </c>
      <c r="H1059" s="598" t="s">
        <v>1919</v>
      </c>
      <c r="I1059" s="598"/>
      <c r="J1059" s="617"/>
      <c r="K1059" s="598"/>
      <c r="L1059" s="598"/>
      <c r="M1059" s="621"/>
      <c r="N1059" s="598">
        <v>3</v>
      </c>
      <c r="O1059" s="598">
        <v>5</v>
      </c>
      <c r="P1059" s="618">
        <v>5500</v>
      </c>
    </row>
    <row r="1060" spans="1:16" s="619" customFormat="1" ht="48" x14ac:dyDescent="0.2">
      <c r="A1060" s="598" t="s">
        <v>1907</v>
      </c>
      <c r="B1060" s="620" t="s">
        <v>2073</v>
      </c>
      <c r="C1060" s="598" t="s">
        <v>2015</v>
      </c>
      <c r="D1060" s="598" t="s">
        <v>3424</v>
      </c>
      <c r="E1060" s="621">
        <v>2200</v>
      </c>
      <c r="F1060" s="599"/>
      <c r="G1060" s="598" t="s">
        <v>3437</v>
      </c>
      <c r="H1060" s="598"/>
      <c r="I1060" s="598"/>
      <c r="J1060" s="617"/>
      <c r="K1060" s="598"/>
      <c r="L1060" s="598"/>
      <c r="M1060" s="621"/>
      <c r="N1060" s="598">
        <v>1</v>
      </c>
      <c r="O1060" s="598">
        <v>2</v>
      </c>
      <c r="P1060" s="618">
        <v>4400</v>
      </c>
    </row>
    <row r="1061" spans="1:16" s="619" customFormat="1" ht="48" x14ac:dyDescent="0.2">
      <c r="A1061" s="598" t="s">
        <v>1907</v>
      </c>
      <c r="B1061" s="620" t="s">
        <v>2073</v>
      </c>
      <c r="C1061" s="598" t="s">
        <v>2015</v>
      </c>
      <c r="D1061" s="598" t="s">
        <v>3424</v>
      </c>
      <c r="E1061" s="621">
        <v>2200</v>
      </c>
      <c r="F1061" s="599">
        <v>47732888</v>
      </c>
      <c r="G1061" s="598" t="s">
        <v>3438</v>
      </c>
      <c r="H1061" s="598"/>
      <c r="I1061" s="598"/>
      <c r="J1061" s="617"/>
      <c r="K1061" s="598"/>
      <c r="L1061" s="598"/>
      <c r="M1061" s="621"/>
      <c r="N1061" s="598">
        <v>3</v>
      </c>
      <c r="O1061" s="598">
        <v>4</v>
      </c>
      <c r="P1061" s="618">
        <v>8800</v>
      </c>
    </row>
    <row r="1062" spans="1:16" s="619" customFormat="1" ht="48" x14ac:dyDescent="0.2">
      <c r="A1062" s="598" t="s">
        <v>1907</v>
      </c>
      <c r="B1062" s="620" t="s">
        <v>2073</v>
      </c>
      <c r="C1062" s="598" t="s">
        <v>2015</v>
      </c>
      <c r="D1062" s="598" t="s">
        <v>3424</v>
      </c>
      <c r="E1062" s="621">
        <v>3500</v>
      </c>
      <c r="F1062" s="599">
        <v>33401614</v>
      </c>
      <c r="G1062" s="598" t="s">
        <v>3439</v>
      </c>
      <c r="H1062" s="598" t="s">
        <v>1919</v>
      </c>
      <c r="I1062" s="598"/>
      <c r="J1062" s="617"/>
      <c r="K1062" s="598"/>
      <c r="L1062" s="598"/>
      <c r="M1062" s="621"/>
      <c r="N1062" s="598">
        <v>1</v>
      </c>
      <c r="O1062" s="598">
        <v>1</v>
      </c>
      <c r="P1062" s="618">
        <v>3500</v>
      </c>
    </row>
    <row r="1063" spans="1:16" s="619" customFormat="1" ht="24" x14ac:dyDescent="0.2">
      <c r="A1063" s="598" t="s">
        <v>1907</v>
      </c>
      <c r="B1063" s="620" t="s">
        <v>2050</v>
      </c>
      <c r="C1063" s="598" t="s">
        <v>2015</v>
      </c>
      <c r="D1063" s="598" t="s">
        <v>3424</v>
      </c>
      <c r="E1063" s="621">
        <v>1100</v>
      </c>
      <c r="F1063" s="599"/>
      <c r="G1063" s="598" t="s">
        <v>3440</v>
      </c>
      <c r="H1063" s="598" t="s">
        <v>1919</v>
      </c>
      <c r="I1063" s="598"/>
      <c r="J1063" s="617"/>
      <c r="K1063" s="598"/>
      <c r="L1063" s="598"/>
      <c r="M1063" s="621"/>
      <c r="N1063" s="598">
        <v>4</v>
      </c>
      <c r="O1063" s="598">
        <v>6</v>
      </c>
      <c r="P1063" s="618">
        <v>6600</v>
      </c>
    </row>
    <row r="1064" spans="1:16" s="619" customFormat="1" ht="48" x14ac:dyDescent="0.2">
      <c r="A1064" s="598" t="s">
        <v>1907</v>
      </c>
      <c r="B1064" s="620" t="s">
        <v>2073</v>
      </c>
      <c r="C1064" s="598" t="s">
        <v>2015</v>
      </c>
      <c r="D1064" s="598" t="s">
        <v>3424</v>
      </c>
      <c r="E1064" s="621">
        <v>1100</v>
      </c>
      <c r="F1064" s="599" t="s">
        <v>3441</v>
      </c>
      <c r="G1064" s="598" t="s">
        <v>3442</v>
      </c>
      <c r="H1064" s="598" t="s">
        <v>1919</v>
      </c>
      <c r="I1064" s="598"/>
      <c r="J1064" s="617"/>
      <c r="K1064" s="598"/>
      <c r="L1064" s="598"/>
      <c r="M1064" s="621"/>
      <c r="N1064" s="598">
        <v>4</v>
      </c>
      <c r="O1064" s="598">
        <v>6</v>
      </c>
      <c r="P1064" s="618">
        <v>6600</v>
      </c>
    </row>
    <row r="1065" spans="1:16" s="619" customFormat="1" ht="36" x14ac:dyDescent="0.2">
      <c r="A1065" s="598" t="s">
        <v>1907</v>
      </c>
      <c r="B1065" s="620" t="s">
        <v>2050</v>
      </c>
      <c r="C1065" s="598" t="s">
        <v>2015</v>
      </c>
      <c r="D1065" s="598" t="s">
        <v>3424</v>
      </c>
      <c r="E1065" s="621">
        <v>3000</v>
      </c>
      <c r="F1065" s="599">
        <v>72160399</v>
      </c>
      <c r="G1065" s="598" t="s">
        <v>3443</v>
      </c>
      <c r="H1065" s="598" t="s">
        <v>2921</v>
      </c>
      <c r="I1065" s="598" t="s">
        <v>1912</v>
      </c>
      <c r="J1065" s="617" t="s">
        <v>1913</v>
      </c>
      <c r="K1065" s="598"/>
      <c r="L1065" s="598"/>
      <c r="M1065" s="621"/>
      <c r="N1065" s="598">
        <v>4</v>
      </c>
      <c r="O1065" s="598">
        <v>6</v>
      </c>
      <c r="P1065" s="618">
        <v>18000</v>
      </c>
    </row>
    <row r="1066" spans="1:16" s="619" customFormat="1" ht="48" x14ac:dyDescent="0.2">
      <c r="A1066" s="598" t="s">
        <v>1907</v>
      </c>
      <c r="B1066" s="620" t="s">
        <v>2073</v>
      </c>
      <c r="C1066" s="598" t="s">
        <v>2015</v>
      </c>
      <c r="D1066" s="598" t="s">
        <v>3424</v>
      </c>
      <c r="E1066" s="621">
        <v>2200</v>
      </c>
      <c r="F1066" s="599">
        <v>44087190</v>
      </c>
      <c r="G1066" s="598" t="s">
        <v>3444</v>
      </c>
      <c r="H1066" s="598"/>
      <c r="I1066" s="598"/>
      <c r="J1066" s="617"/>
      <c r="K1066" s="598"/>
      <c r="L1066" s="598"/>
      <c r="M1066" s="621"/>
      <c r="N1066" s="598">
        <v>2</v>
      </c>
      <c r="O1066" s="598">
        <v>3</v>
      </c>
      <c r="P1066" s="618">
        <v>6600</v>
      </c>
    </row>
    <row r="1067" spans="1:16" s="619" customFormat="1" ht="24" x14ac:dyDescent="0.2">
      <c r="A1067" s="598" t="s">
        <v>1907</v>
      </c>
      <c r="B1067" s="620" t="s">
        <v>2050</v>
      </c>
      <c r="C1067" s="598" t="s">
        <v>2015</v>
      </c>
      <c r="D1067" s="598" t="s">
        <v>3424</v>
      </c>
      <c r="E1067" s="621">
        <v>1300</v>
      </c>
      <c r="F1067" s="599">
        <v>72559770</v>
      </c>
      <c r="G1067" s="598" t="s">
        <v>3445</v>
      </c>
      <c r="H1067" s="598" t="s">
        <v>2971</v>
      </c>
      <c r="I1067" s="598"/>
      <c r="J1067" s="617"/>
      <c r="K1067" s="598"/>
      <c r="L1067" s="598"/>
      <c r="M1067" s="621"/>
      <c r="N1067" s="598">
        <v>4</v>
      </c>
      <c r="O1067" s="598">
        <v>6</v>
      </c>
      <c r="P1067" s="618">
        <v>7800</v>
      </c>
    </row>
    <row r="1068" spans="1:16" s="619" customFormat="1" ht="48" x14ac:dyDescent="0.2">
      <c r="A1068" s="598" t="s">
        <v>1907</v>
      </c>
      <c r="B1068" s="620" t="s">
        <v>2073</v>
      </c>
      <c r="C1068" s="598" t="s">
        <v>2015</v>
      </c>
      <c r="D1068" s="598" t="s">
        <v>3424</v>
      </c>
      <c r="E1068" s="621">
        <v>4000</v>
      </c>
      <c r="F1068" s="599" t="s">
        <v>3446</v>
      </c>
      <c r="G1068" s="598" t="s">
        <v>3447</v>
      </c>
      <c r="H1068" s="598" t="s">
        <v>2921</v>
      </c>
      <c r="I1068" s="598" t="s">
        <v>1912</v>
      </c>
      <c r="J1068" s="617" t="s">
        <v>1913</v>
      </c>
      <c r="K1068" s="598"/>
      <c r="L1068" s="598"/>
      <c r="M1068" s="621"/>
      <c r="N1068" s="598">
        <v>1</v>
      </c>
      <c r="O1068" s="598">
        <v>2</v>
      </c>
      <c r="P1068" s="618">
        <v>8000</v>
      </c>
    </row>
    <row r="1069" spans="1:16" s="619" customFormat="1" ht="36" x14ac:dyDescent="0.2">
      <c r="A1069" s="598" t="s">
        <v>1907</v>
      </c>
      <c r="B1069" s="620" t="s">
        <v>2050</v>
      </c>
      <c r="C1069" s="598" t="s">
        <v>2015</v>
      </c>
      <c r="D1069" s="598" t="s">
        <v>3424</v>
      </c>
      <c r="E1069" s="621">
        <v>6000</v>
      </c>
      <c r="F1069" s="599">
        <v>45561710</v>
      </c>
      <c r="G1069" s="598" t="s">
        <v>3448</v>
      </c>
      <c r="H1069" s="598" t="s">
        <v>2472</v>
      </c>
      <c r="I1069" s="598" t="s">
        <v>1912</v>
      </c>
      <c r="J1069" s="617" t="s">
        <v>1913</v>
      </c>
      <c r="K1069" s="598"/>
      <c r="L1069" s="598"/>
      <c r="M1069" s="621"/>
      <c r="N1069" s="598">
        <v>4</v>
      </c>
      <c r="O1069" s="598">
        <v>6</v>
      </c>
      <c r="P1069" s="618">
        <v>36000</v>
      </c>
    </row>
    <row r="1070" spans="1:16" s="619" customFormat="1" ht="36" x14ac:dyDescent="0.2">
      <c r="A1070" s="598" t="s">
        <v>1907</v>
      </c>
      <c r="B1070" s="620" t="s">
        <v>2050</v>
      </c>
      <c r="C1070" s="598" t="s">
        <v>2015</v>
      </c>
      <c r="D1070" s="598" t="s">
        <v>3424</v>
      </c>
      <c r="E1070" s="621">
        <v>5000</v>
      </c>
      <c r="F1070" s="599">
        <v>17538708</v>
      </c>
      <c r="G1070" s="598" t="s">
        <v>3449</v>
      </c>
      <c r="H1070" s="598" t="s">
        <v>2921</v>
      </c>
      <c r="I1070" s="598" t="s">
        <v>1912</v>
      </c>
      <c r="J1070" s="617" t="s">
        <v>1913</v>
      </c>
      <c r="K1070" s="598"/>
      <c r="L1070" s="598"/>
      <c r="M1070" s="621"/>
      <c r="N1070" s="598">
        <v>4</v>
      </c>
      <c r="O1070" s="598">
        <v>6</v>
      </c>
      <c r="P1070" s="618">
        <v>30000</v>
      </c>
    </row>
    <row r="1071" spans="1:16" s="619" customFormat="1" ht="24" x14ac:dyDescent="0.2">
      <c r="A1071" s="598" t="s">
        <v>1907</v>
      </c>
      <c r="B1071" s="620" t="s">
        <v>2050</v>
      </c>
      <c r="C1071" s="598" t="s">
        <v>2015</v>
      </c>
      <c r="D1071" s="598" t="s">
        <v>3424</v>
      </c>
      <c r="E1071" s="621">
        <v>1500</v>
      </c>
      <c r="F1071" s="599">
        <v>40813395</v>
      </c>
      <c r="G1071" s="598" t="s">
        <v>3450</v>
      </c>
      <c r="H1071" s="598"/>
      <c r="I1071" s="598"/>
      <c r="J1071" s="617"/>
      <c r="K1071" s="598"/>
      <c r="L1071" s="598"/>
      <c r="M1071" s="621"/>
      <c r="N1071" s="598">
        <v>4</v>
      </c>
      <c r="O1071" s="598">
        <v>6</v>
      </c>
      <c r="P1071" s="618">
        <v>9000</v>
      </c>
    </row>
    <row r="1072" spans="1:16" s="619" customFormat="1" ht="48" x14ac:dyDescent="0.2">
      <c r="A1072" s="598" t="s">
        <v>1907</v>
      </c>
      <c r="B1072" s="620" t="s">
        <v>2073</v>
      </c>
      <c r="C1072" s="598" t="s">
        <v>2015</v>
      </c>
      <c r="D1072" s="598" t="s">
        <v>3424</v>
      </c>
      <c r="E1072" s="621">
        <v>3000</v>
      </c>
      <c r="F1072" s="599">
        <v>41391099</v>
      </c>
      <c r="G1072" s="598" t="s">
        <v>3451</v>
      </c>
      <c r="H1072" s="598" t="s">
        <v>2946</v>
      </c>
      <c r="I1072" s="598" t="s">
        <v>1912</v>
      </c>
      <c r="J1072" s="617" t="s">
        <v>1913</v>
      </c>
      <c r="K1072" s="598"/>
      <c r="L1072" s="598"/>
      <c r="M1072" s="621"/>
      <c r="N1072" s="598">
        <v>4</v>
      </c>
      <c r="O1072" s="598">
        <v>6</v>
      </c>
      <c r="P1072" s="618">
        <v>18000</v>
      </c>
    </row>
    <row r="1073" spans="1:16" s="619" customFormat="1" ht="48" x14ac:dyDescent="0.2">
      <c r="A1073" s="598" t="s">
        <v>1907</v>
      </c>
      <c r="B1073" s="620" t="s">
        <v>2073</v>
      </c>
      <c r="C1073" s="598" t="s">
        <v>2015</v>
      </c>
      <c r="D1073" s="598" t="s">
        <v>3424</v>
      </c>
      <c r="E1073" s="621">
        <v>1100</v>
      </c>
      <c r="F1073" s="599">
        <v>45967365</v>
      </c>
      <c r="G1073" s="598" t="s">
        <v>3452</v>
      </c>
      <c r="H1073" s="598" t="s">
        <v>1919</v>
      </c>
      <c r="I1073" s="598"/>
      <c r="J1073" s="617"/>
      <c r="K1073" s="598"/>
      <c r="L1073" s="598"/>
      <c r="M1073" s="621"/>
      <c r="N1073" s="598">
        <v>4</v>
      </c>
      <c r="O1073" s="598">
        <v>6</v>
      </c>
      <c r="P1073" s="618">
        <v>6600</v>
      </c>
    </row>
    <row r="1074" spans="1:16" s="619" customFormat="1" ht="48" x14ac:dyDescent="0.2">
      <c r="A1074" s="598" t="s">
        <v>1907</v>
      </c>
      <c r="B1074" s="620" t="s">
        <v>2073</v>
      </c>
      <c r="C1074" s="598" t="s">
        <v>2015</v>
      </c>
      <c r="D1074" s="598" t="s">
        <v>3424</v>
      </c>
      <c r="E1074" s="621">
        <v>3000</v>
      </c>
      <c r="F1074" s="599">
        <v>71605743</v>
      </c>
      <c r="G1074" s="598" t="s">
        <v>3453</v>
      </c>
      <c r="H1074" s="598" t="s">
        <v>2921</v>
      </c>
      <c r="I1074" s="598" t="s">
        <v>1912</v>
      </c>
      <c r="J1074" s="617" t="s">
        <v>1913</v>
      </c>
      <c r="K1074" s="598"/>
      <c r="L1074" s="598"/>
      <c r="M1074" s="621"/>
      <c r="N1074" s="598">
        <v>2</v>
      </c>
      <c r="O1074" s="598">
        <v>3</v>
      </c>
      <c r="P1074" s="618">
        <v>9000</v>
      </c>
    </row>
    <row r="1075" spans="1:16" s="619" customFormat="1" ht="24" x14ac:dyDescent="0.2">
      <c r="A1075" s="598" t="s">
        <v>1907</v>
      </c>
      <c r="B1075" s="620" t="s">
        <v>2050</v>
      </c>
      <c r="C1075" s="598" t="s">
        <v>2015</v>
      </c>
      <c r="D1075" s="598" t="s">
        <v>3424</v>
      </c>
      <c r="E1075" s="621">
        <v>3500</v>
      </c>
      <c r="F1075" s="599">
        <v>33407415</v>
      </c>
      <c r="G1075" s="598" t="s">
        <v>3454</v>
      </c>
      <c r="H1075" s="598"/>
      <c r="I1075" s="598"/>
      <c r="J1075" s="617"/>
      <c r="K1075" s="598"/>
      <c r="L1075" s="598"/>
      <c r="M1075" s="621"/>
      <c r="N1075" s="598">
        <v>4</v>
      </c>
      <c r="O1075" s="598">
        <v>6</v>
      </c>
      <c r="P1075" s="618">
        <v>21000</v>
      </c>
    </row>
    <row r="1076" spans="1:16" s="619" customFormat="1" ht="48" x14ac:dyDescent="0.2">
      <c r="A1076" s="598" t="s">
        <v>1907</v>
      </c>
      <c r="B1076" s="620" t="s">
        <v>2050</v>
      </c>
      <c r="C1076" s="598" t="s">
        <v>2015</v>
      </c>
      <c r="D1076" s="598" t="s">
        <v>3424</v>
      </c>
      <c r="E1076" s="621">
        <v>2500</v>
      </c>
      <c r="F1076" s="599">
        <v>72248319</v>
      </c>
      <c r="G1076" s="598" t="s">
        <v>3455</v>
      </c>
      <c r="H1076" s="598" t="s">
        <v>2939</v>
      </c>
      <c r="I1076" s="598" t="s">
        <v>1912</v>
      </c>
      <c r="J1076" s="617" t="s">
        <v>1913</v>
      </c>
      <c r="K1076" s="598"/>
      <c r="L1076" s="598"/>
      <c r="M1076" s="621"/>
      <c r="N1076" s="598">
        <v>2</v>
      </c>
      <c r="O1076" s="598">
        <v>3</v>
      </c>
      <c r="P1076" s="618">
        <v>7500</v>
      </c>
    </row>
    <row r="1077" spans="1:16" s="619" customFormat="1" ht="36" x14ac:dyDescent="0.2">
      <c r="A1077" s="598" t="s">
        <v>1907</v>
      </c>
      <c r="B1077" s="620" t="s">
        <v>2050</v>
      </c>
      <c r="C1077" s="598" t="s">
        <v>2015</v>
      </c>
      <c r="D1077" s="598" t="s">
        <v>3424</v>
      </c>
      <c r="E1077" s="621">
        <v>1200</v>
      </c>
      <c r="F1077" s="599">
        <v>75934910</v>
      </c>
      <c r="G1077" s="598" t="s">
        <v>3456</v>
      </c>
      <c r="H1077" s="598" t="s">
        <v>3427</v>
      </c>
      <c r="I1077" s="598" t="s">
        <v>1912</v>
      </c>
      <c r="J1077" s="617" t="s">
        <v>1931</v>
      </c>
      <c r="K1077" s="598"/>
      <c r="L1077" s="598"/>
      <c r="M1077" s="621"/>
      <c r="N1077" s="598">
        <v>2</v>
      </c>
      <c r="O1077" s="598">
        <v>3</v>
      </c>
      <c r="P1077" s="618">
        <v>3600</v>
      </c>
    </row>
    <row r="1078" spans="1:16" s="619" customFormat="1" ht="48" x14ac:dyDescent="0.2">
      <c r="A1078" s="598" t="s">
        <v>1907</v>
      </c>
      <c r="B1078" s="620" t="s">
        <v>2073</v>
      </c>
      <c r="C1078" s="598" t="s">
        <v>2015</v>
      </c>
      <c r="D1078" s="598" t="s">
        <v>3424</v>
      </c>
      <c r="E1078" s="621">
        <v>2800</v>
      </c>
      <c r="F1078" s="599">
        <v>48314170</v>
      </c>
      <c r="G1078" s="598" t="s">
        <v>3457</v>
      </c>
      <c r="H1078" s="598" t="s">
        <v>3149</v>
      </c>
      <c r="I1078" s="598" t="s">
        <v>1912</v>
      </c>
      <c r="J1078" s="617" t="s">
        <v>1913</v>
      </c>
      <c r="K1078" s="598"/>
      <c r="L1078" s="598"/>
      <c r="M1078" s="621"/>
      <c r="N1078" s="598">
        <v>1</v>
      </c>
      <c r="O1078" s="598">
        <v>2</v>
      </c>
      <c r="P1078" s="618">
        <v>5600</v>
      </c>
    </row>
    <row r="1079" spans="1:16" s="619" customFormat="1" ht="48" x14ac:dyDescent="0.2">
      <c r="A1079" s="598" t="s">
        <v>1907</v>
      </c>
      <c r="B1079" s="620" t="s">
        <v>2073</v>
      </c>
      <c r="C1079" s="598" t="s">
        <v>2015</v>
      </c>
      <c r="D1079" s="598" t="s">
        <v>3424</v>
      </c>
      <c r="E1079" s="621">
        <v>6000</v>
      </c>
      <c r="F1079" s="599">
        <v>26674930</v>
      </c>
      <c r="G1079" s="598" t="s">
        <v>3458</v>
      </c>
      <c r="H1079" s="598" t="s">
        <v>2921</v>
      </c>
      <c r="I1079" s="598" t="s">
        <v>1912</v>
      </c>
      <c r="J1079" s="617" t="s">
        <v>1913</v>
      </c>
      <c r="K1079" s="598"/>
      <c r="L1079" s="598"/>
      <c r="M1079" s="621"/>
      <c r="N1079" s="598">
        <v>3</v>
      </c>
      <c r="O1079" s="598">
        <v>5</v>
      </c>
      <c r="P1079" s="618">
        <v>30000</v>
      </c>
    </row>
    <row r="1080" spans="1:16" s="619" customFormat="1" ht="24" x14ac:dyDescent="0.2">
      <c r="A1080" s="598" t="s">
        <v>1907</v>
      </c>
      <c r="B1080" s="620"/>
      <c r="C1080" s="598" t="s">
        <v>2015</v>
      </c>
      <c r="D1080" s="598" t="s">
        <v>3424</v>
      </c>
      <c r="E1080" s="621">
        <v>1100</v>
      </c>
      <c r="F1080" s="599"/>
      <c r="G1080" s="598" t="s">
        <v>3459</v>
      </c>
      <c r="H1080" s="598" t="s">
        <v>1919</v>
      </c>
      <c r="I1080" s="598"/>
      <c r="J1080" s="617"/>
      <c r="K1080" s="598"/>
      <c r="L1080" s="598"/>
      <c r="M1080" s="621"/>
      <c r="N1080" s="598">
        <v>2</v>
      </c>
      <c r="O1080" s="598">
        <v>4</v>
      </c>
      <c r="P1080" s="618">
        <v>4400</v>
      </c>
    </row>
    <row r="1081" spans="1:16" s="619" customFormat="1" ht="24" x14ac:dyDescent="0.2">
      <c r="A1081" s="598" t="s">
        <v>1907</v>
      </c>
      <c r="B1081" s="620"/>
      <c r="C1081" s="598" t="s">
        <v>2015</v>
      </c>
      <c r="D1081" s="598" t="s">
        <v>3424</v>
      </c>
      <c r="E1081" s="621">
        <v>2000</v>
      </c>
      <c r="F1081" s="599"/>
      <c r="G1081" s="598" t="s">
        <v>3460</v>
      </c>
      <c r="H1081" s="598"/>
      <c r="I1081" s="598"/>
      <c r="J1081" s="617"/>
      <c r="K1081" s="598"/>
      <c r="L1081" s="598"/>
      <c r="M1081" s="621"/>
      <c r="N1081" s="598">
        <v>1</v>
      </c>
      <c r="O1081" s="598">
        <v>2</v>
      </c>
      <c r="P1081" s="618">
        <v>4000</v>
      </c>
    </row>
    <row r="1082" spans="1:16" s="619" customFormat="1" ht="24" x14ac:dyDescent="0.2">
      <c r="A1082" s="598" t="s">
        <v>1907</v>
      </c>
      <c r="B1082" s="620"/>
      <c r="C1082" s="598" t="s">
        <v>2015</v>
      </c>
      <c r="D1082" s="598" t="s">
        <v>3424</v>
      </c>
      <c r="E1082" s="621">
        <v>2800</v>
      </c>
      <c r="F1082" s="599"/>
      <c r="G1082" s="598" t="s">
        <v>3461</v>
      </c>
      <c r="H1082" s="598" t="s">
        <v>3341</v>
      </c>
      <c r="I1082" s="598" t="s">
        <v>1912</v>
      </c>
      <c r="J1082" s="617" t="s">
        <v>1931</v>
      </c>
      <c r="K1082" s="598"/>
      <c r="L1082" s="598"/>
      <c r="M1082" s="621"/>
      <c r="N1082" s="598">
        <v>1</v>
      </c>
      <c r="O1082" s="598">
        <v>1</v>
      </c>
      <c r="P1082" s="618">
        <v>2800</v>
      </c>
    </row>
    <row r="1083" spans="1:16" s="619" customFormat="1" ht="36" x14ac:dyDescent="0.2">
      <c r="A1083" s="598" t="s">
        <v>1907</v>
      </c>
      <c r="B1083" s="620"/>
      <c r="C1083" s="598" t="s">
        <v>2015</v>
      </c>
      <c r="D1083" s="598" t="s">
        <v>3424</v>
      </c>
      <c r="E1083" s="621">
        <v>1100</v>
      </c>
      <c r="F1083" s="599"/>
      <c r="G1083" s="598" t="s">
        <v>3462</v>
      </c>
      <c r="H1083" s="598" t="s">
        <v>1919</v>
      </c>
      <c r="I1083" s="598"/>
      <c r="J1083" s="617"/>
      <c r="K1083" s="598"/>
      <c r="L1083" s="598"/>
      <c r="M1083" s="621"/>
      <c r="N1083" s="598">
        <v>3</v>
      </c>
      <c r="O1083" s="598">
        <v>5</v>
      </c>
      <c r="P1083" s="618">
        <v>5500</v>
      </c>
    </row>
    <row r="1084" spans="1:16" s="619" customFormat="1" ht="48" x14ac:dyDescent="0.2">
      <c r="A1084" s="598" t="s">
        <v>1907</v>
      </c>
      <c r="B1084" s="620" t="s">
        <v>2073</v>
      </c>
      <c r="C1084" s="598" t="s">
        <v>2015</v>
      </c>
      <c r="D1084" s="598" t="s">
        <v>3424</v>
      </c>
      <c r="E1084" s="621">
        <v>3500</v>
      </c>
      <c r="F1084" s="599">
        <v>18212251</v>
      </c>
      <c r="G1084" s="598" t="s">
        <v>3463</v>
      </c>
      <c r="H1084" s="598" t="s">
        <v>1919</v>
      </c>
      <c r="I1084" s="598"/>
      <c r="J1084" s="617"/>
      <c r="K1084" s="598"/>
      <c r="L1084" s="598"/>
      <c r="M1084" s="621"/>
      <c r="N1084" s="598">
        <v>1</v>
      </c>
      <c r="O1084" s="598">
        <v>2</v>
      </c>
      <c r="P1084" s="618">
        <v>7000</v>
      </c>
    </row>
    <row r="1085" spans="1:16" s="619" customFormat="1" ht="24" x14ac:dyDescent="0.2">
      <c r="A1085" s="598" t="s">
        <v>1907</v>
      </c>
      <c r="B1085" s="620" t="s">
        <v>2050</v>
      </c>
      <c r="C1085" s="598" t="s">
        <v>2015</v>
      </c>
      <c r="D1085" s="598" t="s">
        <v>3424</v>
      </c>
      <c r="E1085" s="621">
        <v>2800</v>
      </c>
      <c r="F1085" s="599">
        <v>70100862</v>
      </c>
      <c r="G1085" s="598" t="s">
        <v>3464</v>
      </c>
      <c r="H1085" s="598"/>
      <c r="I1085" s="598"/>
      <c r="J1085" s="617"/>
      <c r="K1085" s="598"/>
      <c r="L1085" s="598"/>
      <c r="M1085" s="621"/>
      <c r="N1085" s="598">
        <v>1</v>
      </c>
      <c r="O1085" s="598">
        <v>2</v>
      </c>
      <c r="P1085" s="618">
        <v>5600</v>
      </c>
    </row>
    <row r="1086" spans="1:16" s="619" customFormat="1" ht="36" x14ac:dyDescent="0.2">
      <c r="A1086" s="598" t="s">
        <v>1907</v>
      </c>
      <c r="B1086" s="620" t="s">
        <v>2050</v>
      </c>
      <c r="C1086" s="598" t="s">
        <v>2015</v>
      </c>
      <c r="D1086" s="598" t="s">
        <v>3424</v>
      </c>
      <c r="E1086" s="621">
        <v>3000</v>
      </c>
      <c r="F1086" s="599">
        <v>44872903</v>
      </c>
      <c r="G1086" s="598" t="s">
        <v>3465</v>
      </c>
      <c r="H1086" s="598"/>
      <c r="I1086" s="598"/>
      <c r="J1086" s="617"/>
      <c r="K1086" s="598"/>
      <c r="L1086" s="598"/>
      <c r="M1086" s="621"/>
      <c r="N1086" s="598">
        <v>2</v>
      </c>
      <c r="O1086" s="598">
        <v>3</v>
      </c>
      <c r="P1086" s="618">
        <v>9000</v>
      </c>
    </row>
    <row r="1087" spans="1:16" s="619" customFormat="1" ht="48" x14ac:dyDescent="0.2">
      <c r="A1087" s="598" t="s">
        <v>1907</v>
      </c>
      <c r="B1087" s="620" t="s">
        <v>2073</v>
      </c>
      <c r="C1087" s="598" t="s">
        <v>2015</v>
      </c>
      <c r="D1087" s="598" t="s">
        <v>3424</v>
      </c>
      <c r="E1087" s="621">
        <v>1200</v>
      </c>
      <c r="F1087" s="599" t="s">
        <v>3466</v>
      </c>
      <c r="G1087" s="598" t="s">
        <v>3467</v>
      </c>
      <c r="H1087" s="598"/>
      <c r="I1087" s="598"/>
      <c r="J1087" s="617"/>
      <c r="K1087" s="598"/>
      <c r="L1087" s="598"/>
      <c r="M1087" s="621"/>
      <c r="N1087" s="598">
        <v>1</v>
      </c>
      <c r="O1087" s="598">
        <v>2</v>
      </c>
      <c r="P1087" s="618">
        <v>2400</v>
      </c>
    </row>
    <row r="1088" spans="1:16" s="619" customFormat="1" ht="48" x14ac:dyDescent="0.2">
      <c r="A1088" s="598" t="s">
        <v>1907</v>
      </c>
      <c r="B1088" s="620" t="s">
        <v>2073</v>
      </c>
      <c r="C1088" s="598" t="s">
        <v>2015</v>
      </c>
      <c r="D1088" s="598" t="s">
        <v>3424</v>
      </c>
      <c r="E1088" s="621">
        <v>1400</v>
      </c>
      <c r="F1088" s="599">
        <v>76571717</v>
      </c>
      <c r="G1088" s="598" t="s">
        <v>3468</v>
      </c>
      <c r="H1088" s="598"/>
      <c r="I1088" s="598"/>
      <c r="J1088" s="617"/>
      <c r="K1088" s="598"/>
      <c r="L1088" s="598"/>
      <c r="M1088" s="621"/>
      <c r="N1088" s="598">
        <v>1</v>
      </c>
      <c r="O1088" s="598">
        <v>1</v>
      </c>
      <c r="P1088" s="618">
        <v>1400</v>
      </c>
    </row>
    <row r="1089" spans="1:16" s="619" customFormat="1" ht="36" x14ac:dyDescent="0.2">
      <c r="A1089" s="598" t="s">
        <v>1907</v>
      </c>
      <c r="B1089" s="620" t="s">
        <v>2050</v>
      </c>
      <c r="C1089" s="598" t="s">
        <v>2015</v>
      </c>
      <c r="D1089" s="598" t="s">
        <v>3424</v>
      </c>
      <c r="E1089" s="621">
        <v>1400</v>
      </c>
      <c r="F1089" s="599">
        <v>46602151</v>
      </c>
      <c r="G1089" s="598" t="s">
        <v>3469</v>
      </c>
      <c r="H1089" s="598"/>
      <c r="I1089" s="598"/>
      <c r="J1089" s="617"/>
      <c r="K1089" s="598"/>
      <c r="L1089" s="598"/>
      <c r="M1089" s="621"/>
      <c r="N1089" s="598">
        <v>1</v>
      </c>
      <c r="O1089" s="598">
        <v>1</v>
      </c>
      <c r="P1089" s="618">
        <v>1400</v>
      </c>
    </row>
    <row r="1090" spans="1:16" s="619" customFormat="1" ht="48" x14ac:dyDescent="0.2">
      <c r="A1090" s="598" t="s">
        <v>1907</v>
      </c>
      <c r="B1090" s="620" t="s">
        <v>2073</v>
      </c>
      <c r="C1090" s="598" t="s">
        <v>2015</v>
      </c>
      <c r="D1090" s="598" t="s">
        <v>3424</v>
      </c>
      <c r="E1090" s="621">
        <v>2000</v>
      </c>
      <c r="F1090" s="599">
        <v>47215655</v>
      </c>
      <c r="G1090" s="598" t="s">
        <v>3470</v>
      </c>
      <c r="H1090" s="598"/>
      <c r="I1090" s="598"/>
      <c r="J1090" s="617"/>
      <c r="K1090" s="598"/>
      <c r="L1090" s="598"/>
      <c r="M1090" s="621"/>
      <c r="N1090" s="598">
        <v>1</v>
      </c>
      <c r="O1090" s="598">
        <v>1</v>
      </c>
      <c r="P1090" s="618">
        <v>2000</v>
      </c>
    </row>
    <row r="1091" spans="1:16" s="619" customFormat="1" ht="48" x14ac:dyDescent="0.2">
      <c r="A1091" s="598" t="s">
        <v>1907</v>
      </c>
      <c r="B1091" s="620" t="s">
        <v>2073</v>
      </c>
      <c r="C1091" s="598" t="s">
        <v>2015</v>
      </c>
      <c r="D1091" s="598" t="s">
        <v>3424</v>
      </c>
      <c r="E1091" s="621">
        <v>4000</v>
      </c>
      <c r="F1091" s="599">
        <v>46578454</v>
      </c>
      <c r="G1091" s="598" t="s">
        <v>3471</v>
      </c>
      <c r="H1091" s="598" t="s">
        <v>2921</v>
      </c>
      <c r="I1091" s="598" t="s">
        <v>1912</v>
      </c>
      <c r="J1091" s="617" t="s">
        <v>1913</v>
      </c>
      <c r="K1091" s="598"/>
      <c r="L1091" s="598"/>
      <c r="M1091" s="621"/>
      <c r="N1091" s="598">
        <v>1</v>
      </c>
      <c r="O1091" s="598">
        <v>2</v>
      </c>
      <c r="P1091" s="618">
        <v>8000</v>
      </c>
    </row>
    <row r="1092" spans="1:16" s="619" customFormat="1" ht="48" x14ac:dyDescent="0.2">
      <c r="A1092" s="598" t="s">
        <v>1907</v>
      </c>
      <c r="B1092" s="620" t="s">
        <v>2073</v>
      </c>
      <c r="C1092" s="598" t="s">
        <v>2015</v>
      </c>
      <c r="D1092" s="598" t="s">
        <v>3424</v>
      </c>
      <c r="E1092" s="621">
        <v>6000</v>
      </c>
      <c r="F1092" s="599">
        <v>71503318</v>
      </c>
      <c r="G1092" s="598" t="s">
        <v>3472</v>
      </c>
      <c r="H1092" s="598" t="s">
        <v>2921</v>
      </c>
      <c r="I1092" s="598" t="s">
        <v>1912</v>
      </c>
      <c r="J1092" s="617" t="s">
        <v>1913</v>
      </c>
      <c r="K1092" s="598"/>
      <c r="L1092" s="598"/>
      <c r="M1092" s="621"/>
      <c r="N1092" s="598">
        <v>1</v>
      </c>
      <c r="O1092" s="598">
        <v>1</v>
      </c>
      <c r="P1092" s="618">
        <v>6000</v>
      </c>
    </row>
    <row r="1093" spans="1:16" s="619" customFormat="1" ht="48" x14ac:dyDescent="0.2">
      <c r="A1093" s="598" t="s">
        <v>1907</v>
      </c>
      <c r="B1093" s="620" t="s">
        <v>2073</v>
      </c>
      <c r="C1093" s="598" t="s">
        <v>2015</v>
      </c>
      <c r="D1093" s="598" t="s">
        <v>3473</v>
      </c>
      <c r="E1093" s="621">
        <v>2000</v>
      </c>
      <c r="F1093" s="599">
        <v>40661906</v>
      </c>
      <c r="G1093" s="598" t="s">
        <v>3425</v>
      </c>
      <c r="H1093" s="598" t="s">
        <v>2939</v>
      </c>
      <c r="I1093" s="598" t="s">
        <v>1912</v>
      </c>
      <c r="J1093" s="617" t="s">
        <v>1913</v>
      </c>
      <c r="K1093" s="598"/>
      <c r="L1093" s="598"/>
      <c r="M1093" s="621"/>
      <c r="N1093" s="598">
        <v>1</v>
      </c>
      <c r="O1093" s="598">
        <v>1</v>
      </c>
      <c r="P1093" s="618">
        <v>2000</v>
      </c>
    </row>
    <row r="1094" spans="1:16" s="619" customFormat="1" ht="24" x14ac:dyDescent="0.2">
      <c r="A1094" s="598" t="s">
        <v>1907</v>
      </c>
      <c r="B1094" s="620" t="s">
        <v>2050</v>
      </c>
      <c r="C1094" s="598" t="s">
        <v>2015</v>
      </c>
      <c r="D1094" s="598" t="s">
        <v>3473</v>
      </c>
      <c r="E1094" s="621">
        <v>1600</v>
      </c>
      <c r="F1094" s="599">
        <v>41433511</v>
      </c>
      <c r="G1094" s="598" t="s">
        <v>3474</v>
      </c>
      <c r="H1094" s="598" t="s">
        <v>2971</v>
      </c>
      <c r="I1094" s="598"/>
      <c r="J1094" s="617"/>
      <c r="K1094" s="598"/>
      <c r="L1094" s="598"/>
      <c r="M1094" s="621"/>
      <c r="N1094" s="598">
        <v>4</v>
      </c>
      <c r="O1094" s="598">
        <v>6</v>
      </c>
      <c r="P1094" s="618">
        <v>9600</v>
      </c>
    </row>
    <row r="1095" spans="1:16" s="619" customFormat="1" ht="48" x14ac:dyDescent="0.2">
      <c r="A1095" s="598" t="s">
        <v>1907</v>
      </c>
      <c r="B1095" s="620" t="s">
        <v>2073</v>
      </c>
      <c r="C1095" s="598" t="s">
        <v>2015</v>
      </c>
      <c r="D1095" s="598" t="s">
        <v>3473</v>
      </c>
      <c r="E1095" s="621">
        <v>4000</v>
      </c>
      <c r="F1095" s="599">
        <v>72024241</v>
      </c>
      <c r="G1095" s="598" t="s">
        <v>3475</v>
      </c>
      <c r="H1095" s="598" t="s">
        <v>2921</v>
      </c>
      <c r="I1095" s="598" t="s">
        <v>1912</v>
      </c>
      <c r="J1095" s="617" t="s">
        <v>1913</v>
      </c>
      <c r="K1095" s="598"/>
      <c r="L1095" s="598"/>
      <c r="M1095" s="621"/>
      <c r="N1095" s="598">
        <v>4</v>
      </c>
      <c r="O1095" s="598">
        <v>6</v>
      </c>
      <c r="P1095" s="618">
        <v>24000</v>
      </c>
    </row>
    <row r="1096" spans="1:16" s="619" customFormat="1" ht="36" x14ac:dyDescent="0.2">
      <c r="A1096" s="598" t="s">
        <v>1907</v>
      </c>
      <c r="B1096" s="620" t="s">
        <v>2050</v>
      </c>
      <c r="C1096" s="598" t="s">
        <v>2015</v>
      </c>
      <c r="D1096" s="598" t="s">
        <v>3473</v>
      </c>
      <c r="E1096" s="621">
        <v>1300</v>
      </c>
      <c r="F1096" s="599">
        <v>71339865</v>
      </c>
      <c r="G1096" s="598" t="s">
        <v>3476</v>
      </c>
      <c r="H1096" s="598" t="s">
        <v>3477</v>
      </c>
      <c r="I1096" s="598" t="s">
        <v>1912</v>
      </c>
      <c r="J1096" s="617" t="s">
        <v>1913</v>
      </c>
      <c r="K1096" s="598"/>
      <c r="L1096" s="598"/>
      <c r="M1096" s="621"/>
      <c r="N1096" s="598">
        <v>4</v>
      </c>
      <c r="O1096" s="598">
        <v>6</v>
      </c>
      <c r="P1096" s="618">
        <v>7800</v>
      </c>
    </row>
    <row r="1097" spans="1:16" s="619" customFormat="1" ht="48" x14ac:dyDescent="0.2">
      <c r="A1097" s="598" t="s">
        <v>1907</v>
      </c>
      <c r="B1097" s="620" t="s">
        <v>2073</v>
      </c>
      <c r="C1097" s="598" t="s">
        <v>2015</v>
      </c>
      <c r="D1097" s="598" t="s">
        <v>3473</v>
      </c>
      <c r="E1097" s="621">
        <v>6000</v>
      </c>
      <c r="F1097" s="599">
        <v>41564980</v>
      </c>
      <c r="G1097" s="598" t="s">
        <v>3478</v>
      </c>
      <c r="H1097" s="598" t="s">
        <v>2921</v>
      </c>
      <c r="I1097" s="598" t="s">
        <v>1912</v>
      </c>
      <c r="J1097" s="617" t="s">
        <v>1913</v>
      </c>
      <c r="K1097" s="598"/>
      <c r="L1097" s="598"/>
      <c r="M1097" s="621"/>
      <c r="N1097" s="598">
        <v>3</v>
      </c>
      <c r="O1097" s="598">
        <v>5</v>
      </c>
      <c r="P1097" s="618">
        <v>30000</v>
      </c>
    </row>
    <row r="1098" spans="1:16" s="619" customFormat="1" ht="48" x14ac:dyDescent="0.2">
      <c r="A1098" s="598" t="s">
        <v>1907</v>
      </c>
      <c r="B1098" s="620" t="s">
        <v>2073</v>
      </c>
      <c r="C1098" s="598" t="s">
        <v>2015</v>
      </c>
      <c r="D1098" s="598" t="s">
        <v>3473</v>
      </c>
      <c r="E1098" s="621">
        <v>6000</v>
      </c>
      <c r="F1098" s="599">
        <v>33590013</v>
      </c>
      <c r="G1098" s="598" t="s">
        <v>3479</v>
      </c>
      <c r="H1098" s="598" t="s">
        <v>2921</v>
      </c>
      <c r="I1098" s="598" t="s">
        <v>1912</v>
      </c>
      <c r="J1098" s="617" t="s">
        <v>1913</v>
      </c>
      <c r="K1098" s="598"/>
      <c r="L1098" s="598"/>
      <c r="M1098" s="621"/>
      <c r="N1098" s="598">
        <v>4</v>
      </c>
      <c r="O1098" s="598">
        <v>6</v>
      </c>
      <c r="P1098" s="618">
        <v>36000</v>
      </c>
    </row>
    <row r="1099" spans="1:16" s="619" customFormat="1" ht="36" x14ac:dyDescent="0.2">
      <c r="A1099" s="598" t="s">
        <v>1907</v>
      </c>
      <c r="B1099" s="620" t="s">
        <v>2050</v>
      </c>
      <c r="C1099" s="598" t="s">
        <v>2015</v>
      </c>
      <c r="D1099" s="598" t="s">
        <v>3473</v>
      </c>
      <c r="E1099" s="621">
        <v>2500</v>
      </c>
      <c r="F1099" s="599">
        <v>46069644</v>
      </c>
      <c r="G1099" s="598" t="s">
        <v>3480</v>
      </c>
      <c r="H1099" s="598" t="s">
        <v>2939</v>
      </c>
      <c r="I1099" s="598" t="s">
        <v>1912</v>
      </c>
      <c r="J1099" s="617" t="s">
        <v>1913</v>
      </c>
      <c r="K1099" s="598"/>
      <c r="L1099" s="598"/>
      <c r="M1099" s="621"/>
      <c r="N1099" s="598">
        <v>4</v>
      </c>
      <c r="O1099" s="598">
        <v>6</v>
      </c>
      <c r="P1099" s="618">
        <v>15000</v>
      </c>
    </row>
    <row r="1100" spans="1:16" s="619" customFormat="1" ht="36" x14ac:dyDescent="0.2">
      <c r="A1100" s="598" t="s">
        <v>1907</v>
      </c>
      <c r="B1100" s="620" t="s">
        <v>2050</v>
      </c>
      <c r="C1100" s="598" t="s">
        <v>2015</v>
      </c>
      <c r="D1100" s="598" t="s">
        <v>3473</v>
      </c>
      <c r="E1100" s="621">
        <v>2200</v>
      </c>
      <c r="F1100" s="599">
        <v>77324642</v>
      </c>
      <c r="G1100" s="598" t="s">
        <v>3481</v>
      </c>
      <c r="H1100" s="598" t="s">
        <v>2979</v>
      </c>
      <c r="I1100" s="598" t="s">
        <v>1912</v>
      </c>
      <c r="J1100" s="617" t="s">
        <v>1913</v>
      </c>
      <c r="K1100" s="598"/>
      <c r="L1100" s="598"/>
      <c r="M1100" s="621"/>
      <c r="N1100" s="598">
        <v>4</v>
      </c>
      <c r="O1100" s="598">
        <v>6</v>
      </c>
      <c r="P1100" s="618">
        <v>13200</v>
      </c>
    </row>
    <row r="1101" spans="1:16" s="619" customFormat="1" ht="36" x14ac:dyDescent="0.2">
      <c r="A1101" s="598" t="s">
        <v>1907</v>
      </c>
      <c r="B1101" s="620" t="s">
        <v>2050</v>
      </c>
      <c r="C1101" s="598" t="s">
        <v>2015</v>
      </c>
      <c r="D1101" s="598" t="s">
        <v>3473</v>
      </c>
      <c r="E1101" s="621">
        <v>1200</v>
      </c>
      <c r="F1101" s="599">
        <v>47660900</v>
      </c>
      <c r="G1101" s="598" t="s">
        <v>3482</v>
      </c>
      <c r="H1101" s="598" t="s">
        <v>3226</v>
      </c>
      <c r="I1101" s="598" t="s">
        <v>1912</v>
      </c>
      <c r="J1101" s="617" t="s">
        <v>1931</v>
      </c>
      <c r="K1101" s="598"/>
      <c r="L1101" s="598"/>
      <c r="M1101" s="621"/>
      <c r="N1101" s="598">
        <v>4</v>
      </c>
      <c r="O1101" s="598">
        <v>6</v>
      </c>
      <c r="P1101" s="618">
        <v>7200</v>
      </c>
    </row>
    <row r="1102" spans="1:16" s="619" customFormat="1" ht="48" x14ac:dyDescent="0.2">
      <c r="A1102" s="598" t="s">
        <v>1907</v>
      </c>
      <c r="B1102" s="620" t="s">
        <v>2073</v>
      </c>
      <c r="C1102" s="598" t="s">
        <v>2015</v>
      </c>
      <c r="D1102" s="598" t="s">
        <v>3473</v>
      </c>
      <c r="E1102" s="621">
        <v>6000</v>
      </c>
      <c r="F1102" s="599">
        <v>42927448</v>
      </c>
      <c r="G1102" s="598" t="s">
        <v>3483</v>
      </c>
      <c r="H1102" s="598" t="s">
        <v>2472</v>
      </c>
      <c r="I1102" s="598" t="s">
        <v>1912</v>
      </c>
      <c r="J1102" s="617" t="s">
        <v>1913</v>
      </c>
      <c r="K1102" s="598"/>
      <c r="L1102" s="598"/>
      <c r="M1102" s="621"/>
      <c r="N1102" s="598">
        <v>4</v>
      </c>
      <c r="O1102" s="598">
        <v>6</v>
      </c>
      <c r="P1102" s="618">
        <v>36000</v>
      </c>
    </row>
    <row r="1103" spans="1:16" s="619" customFormat="1" ht="36" x14ac:dyDescent="0.2">
      <c r="A1103" s="598" t="s">
        <v>1907</v>
      </c>
      <c r="B1103" s="620" t="s">
        <v>2050</v>
      </c>
      <c r="C1103" s="598" t="s">
        <v>2015</v>
      </c>
      <c r="D1103" s="598" t="s">
        <v>3473</v>
      </c>
      <c r="E1103" s="621">
        <v>6000</v>
      </c>
      <c r="F1103" s="599">
        <v>43267432</v>
      </c>
      <c r="G1103" s="598" t="s">
        <v>3484</v>
      </c>
      <c r="H1103" s="598" t="s">
        <v>2921</v>
      </c>
      <c r="I1103" s="598" t="s">
        <v>1912</v>
      </c>
      <c r="J1103" s="617" t="s">
        <v>1913</v>
      </c>
      <c r="K1103" s="598"/>
      <c r="L1103" s="598"/>
      <c r="M1103" s="621"/>
      <c r="N1103" s="598">
        <v>4</v>
      </c>
      <c r="O1103" s="598">
        <v>6</v>
      </c>
      <c r="P1103" s="618">
        <v>36000</v>
      </c>
    </row>
    <row r="1104" spans="1:16" s="619" customFormat="1" ht="48" x14ac:dyDescent="0.2">
      <c r="A1104" s="598" t="s">
        <v>1907</v>
      </c>
      <c r="B1104" s="620" t="s">
        <v>2073</v>
      </c>
      <c r="C1104" s="598" t="s">
        <v>2015</v>
      </c>
      <c r="D1104" s="598" t="s">
        <v>3473</v>
      </c>
      <c r="E1104" s="621">
        <v>6000</v>
      </c>
      <c r="F1104" s="599">
        <v>26617086</v>
      </c>
      <c r="G1104" s="598" t="s">
        <v>3485</v>
      </c>
      <c r="H1104" s="598" t="s">
        <v>2921</v>
      </c>
      <c r="I1104" s="598" t="s">
        <v>1912</v>
      </c>
      <c r="J1104" s="617" t="s">
        <v>1913</v>
      </c>
      <c r="K1104" s="598"/>
      <c r="L1104" s="598"/>
      <c r="M1104" s="621"/>
      <c r="N1104" s="598">
        <v>4</v>
      </c>
      <c r="O1104" s="598">
        <v>6</v>
      </c>
      <c r="P1104" s="618">
        <v>36000</v>
      </c>
    </row>
    <row r="1105" spans="1:16" s="619" customFormat="1" ht="36" x14ac:dyDescent="0.2">
      <c r="A1105" s="598" t="s">
        <v>1907</v>
      </c>
      <c r="B1105" s="620" t="s">
        <v>2050</v>
      </c>
      <c r="C1105" s="598" t="s">
        <v>2015</v>
      </c>
      <c r="D1105" s="598" t="s">
        <v>3473</v>
      </c>
      <c r="E1105" s="621">
        <v>1600</v>
      </c>
      <c r="F1105" s="599">
        <v>33430794</v>
      </c>
      <c r="G1105" s="598" t="s">
        <v>3486</v>
      </c>
      <c r="H1105" s="598" t="s">
        <v>1931</v>
      </c>
      <c r="I1105" s="598" t="s">
        <v>1912</v>
      </c>
      <c r="J1105" s="617" t="s">
        <v>1931</v>
      </c>
      <c r="K1105" s="598"/>
      <c r="L1105" s="598"/>
      <c r="M1105" s="621"/>
      <c r="N1105" s="598">
        <v>4</v>
      </c>
      <c r="O1105" s="598">
        <v>6</v>
      </c>
      <c r="P1105" s="618">
        <v>9600</v>
      </c>
    </row>
    <row r="1106" spans="1:16" s="619" customFormat="1" ht="48" x14ac:dyDescent="0.2">
      <c r="A1106" s="598" t="s">
        <v>1907</v>
      </c>
      <c r="B1106" s="620" t="s">
        <v>2073</v>
      </c>
      <c r="C1106" s="598" t="s">
        <v>2015</v>
      </c>
      <c r="D1106" s="598" t="s">
        <v>3473</v>
      </c>
      <c r="E1106" s="621">
        <v>4000</v>
      </c>
      <c r="F1106" s="599">
        <v>46620705</v>
      </c>
      <c r="G1106" s="598" t="s">
        <v>3487</v>
      </c>
      <c r="H1106" s="598" t="s">
        <v>2921</v>
      </c>
      <c r="I1106" s="598" t="s">
        <v>1912</v>
      </c>
      <c r="J1106" s="617" t="s">
        <v>1913</v>
      </c>
      <c r="K1106" s="598"/>
      <c r="L1106" s="598"/>
      <c r="M1106" s="621"/>
      <c r="N1106" s="598">
        <v>2</v>
      </c>
      <c r="O1106" s="598">
        <v>3</v>
      </c>
      <c r="P1106" s="618">
        <v>12000</v>
      </c>
    </row>
    <row r="1107" spans="1:16" s="619" customFormat="1" ht="24" x14ac:dyDescent="0.2">
      <c r="A1107" s="598" t="s">
        <v>1907</v>
      </c>
      <c r="B1107" s="620"/>
      <c r="C1107" s="598" t="s">
        <v>2015</v>
      </c>
      <c r="D1107" s="598" t="s">
        <v>3473</v>
      </c>
      <c r="E1107" s="621">
        <v>6000</v>
      </c>
      <c r="F1107" s="599"/>
      <c r="G1107" s="598" t="s">
        <v>3488</v>
      </c>
      <c r="H1107" s="598" t="s">
        <v>2921</v>
      </c>
      <c r="I1107" s="598" t="s">
        <v>1912</v>
      </c>
      <c r="J1107" s="617" t="s">
        <v>1913</v>
      </c>
      <c r="K1107" s="598"/>
      <c r="L1107" s="598"/>
      <c r="M1107" s="621"/>
      <c r="N1107" s="598">
        <v>3</v>
      </c>
      <c r="O1107" s="598">
        <v>5</v>
      </c>
      <c r="P1107" s="618">
        <v>30000</v>
      </c>
    </row>
    <row r="1108" spans="1:16" s="619" customFormat="1" ht="36" x14ac:dyDescent="0.2">
      <c r="A1108" s="598" t="s">
        <v>1907</v>
      </c>
      <c r="B1108" s="620"/>
      <c r="C1108" s="598" t="s">
        <v>2015</v>
      </c>
      <c r="D1108" s="598" t="s">
        <v>3473</v>
      </c>
      <c r="E1108" s="621">
        <v>4000</v>
      </c>
      <c r="F1108" s="599"/>
      <c r="G1108" s="598" t="s">
        <v>3489</v>
      </c>
      <c r="H1108" s="598" t="s">
        <v>2939</v>
      </c>
      <c r="I1108" s="598" t="s">
        <v>1912</v>
      </c>
      <c r="J1108" s="617" t="s">
        <v>1913</v>
      </c>
      <c r="K1108" s="598"/>
      <c r="L1108" s="598"/>
      <c r="M1108" s="621"/>
      <c r="N1108" s="598">
        <v>1</v>
      </c>
      <c r="O1108" s="598">
        <v>1</v>
      </c>
      <c r="P1108" s="618">
        <v>4000</v>
      </c>
    </row>
    <row r="1109" spans="1:16" s="619" customFormat="1" ht="24" x14ac:dyDescent="0.2">
      <c r="A1109" s="598" t="s">
        <v>1907</v>
      </c>
      <c r="B1109" s="620"/>
      <c r="C1109" s="598" t="s">
        <v>2015</v>
      </c>
      <c r="D1109" s="598" t="s">
        <v>3473</v>
      </c>
      <c r="E1109" s="621">
        <v>6000</v>
      </c>
      <c r="F1109" s="599"/>
      <c r="G1109" s="598" t="s">
        <v>3490</v>
      </c>
      <c r="H1109" s="598" t="s">
        <v>2921</v>
      </c>
      <c r="I1109" s="598" t="s">
        <v>1912</v>
      </c>
      <c r="J1109" s="617" t="s">
        <v>1913</v>
      </c>
      <c r="K1109" s="598"/>
      <c r="L1109" s="598"/>
      <c r="M1109" s="621"/>
      <c r="N1109" s="598">
        <v>3</v>
      </c>
      <c r="O1109" s="598">
        <v>5</v>
      </c>
      <c r="P1109" s="618">
        <v>30000</v>
      </c>
    </row>
    <row r="1110" spans="1:16" s="619" customFormat="1" ht="48" x14ac:dyDescent="0.2">
      <c r="A1110" s="598" t="s">
        <v>1907</v>
      </c>
      <c r="B1110" s="620" t="s">
        <v>2073</v>
      </c>
      <c r="C1110" s="598" t="s">
        <v>2015</v>
      </c>
      <c r="D1110" s="598" t="s">
        <v>3473</v>
      </c>
      <c r="E1110" s="621">
        <v>6000</v>
      </c>
      <c r="F1110" s="599">
        <v>27695801</v>
      </c>
      <c r="G1110" s="598" t="s">
        <v>3491</v>
      </c>
      <c r="H1110" s="598" t="s">
        <v>2921</v>
      </c>
      <c r="I1110" s="598" t="s">
        <v>1912</v>
      </c>
      <c r="J1110" s="617" t="s">
        <v>1913</v>
      </c>
      <c r="K1110" s="598"/>
      <c r="L1110" s="598"/>
      <c r="M1110" s="621"/>
      <c r="N1110" s="598">
        <v>2</v>
      </c>
      <c r="O1110" s="598">
        <v>3</v>
      </c>
      <c r="P1110" s="618">
        <v>18000</v>
      </c>
    </row>
    <row r="1111" spans="1:16" s="619" customFormat="1" ht="24" x14ac:dyDescent="0.2">
      <c r="A1111" s="598" t="s">
        <v>1907</v>
      </c>
      <c r="B1111" s="620" t="s">
        <v>2050</v>
      </c>
      <c r="C1111" s="598" t="s">
        <v>2015</v>
      </c>
      <c r="D1111" s="598" t="s">
        <v>3473</v>
      </c>
      <c r="E1111" s="621">
        <v>4000</v>
      </c>
      <c r="F1111" s="599">
        <v>70860843</v>
      </c>
      <c r="G1111" s="598" t="s">
        <v>3492</v>
      </c>
      <c r="H1111" s="598" t="s">
        <v>2921</v>
      </c>
      <c r="I1111" s="598" t="s">
        <v>1912</v>
      </c>
      <c r="J1111" s="617" t="s">
        <v>1913</v>
      </c>
      <c r="K1111" s="598"/>
      <c r="L1111" s="598"/>
      <c r="M1111" s="621"/>
      <c r="N1111" s="598">
        <v>4</v>
      </c>
      <c r="O1111" s="598">
        <v>6</v>
      </c>
      <c r="P1111" s="618">
        <v>24000</v>
      </c>
    </row>
    <row r="1112" spans="1:16" s="619" customFormat="1" ht="48" x14ac:dyDescent="0.2">
      <c r="A1112" s="598" t="s">
        <v>1907</v>
      </c>
      <c r="B1112" s="620" t="s">
        <v>2073</v>
      </c>
      <c r="C1112" s="598" t="s">
        <v>2015</v>
      </c>
      <c r="D1112" s="598" t="s">
        <v>3473</v>
      </c>
      <c r="E1112" s="621">
        <v>5000</v>
      </c>
      <c r="F1112" s="599">
        <v>41961816</v>
      </c>
      <c r="G1112" s="598" t="s">
        <v>3493</v>
      </c>
      <c r="H1112" s="598" t="s">
        <v>2921</v>
      </c>
      <c r="I1112" s="598" t="s">
        <v>1912</v>
      </c>
      <c r="J1112" s="617" t="s">
        <v>1913</v>
      </c>
      <c r="K1112" s="598"/>
      <c r="L1112" s="598"/>
      <c r="M1112" s="621"/>
      <c r="N1112" s="598">
        <v>4</v>
      </c>
      <c r="O1112" s="598">
        <v>6</v>
      </c>
      <c r="P1112" s="618">
        <v>30000</v>
      </c>
    </row>
    <row r="1113" spans="1:16" s="619" customFormat="1" ht="48" x14ac:dyDescent="0.2">
      <c r="A1113" s="598" t="s">
        <v>1907</v>
      </c>
      <c r="B1113" s="620"/>
      <c r="C1113" s="598" t="s">
        <v>2015</v>
      </c>
      <c r="D1113" s="598" t="s">
        <v>3473</v>
      </c>
      <c r="E1113" s="621">
        <v>6000</v>
      </c>
      <c r="F1113" s="599"/>
      <c r="G1113" s="598" t="s">
        <v>3494</v>
      </c>
      <c r="H1113" s="598" t="s">
        <v>2921</v>
      </c>
      <c r="I1113" s="598" t="s">
        <v>1912</v>
      </c>
      <c r="J1113" s="617" t="s">
        <v>1913</v>
      </c>
      <c r="K1113" s="598"/>
      <c r="L1113" s="598"/>
      <c r="M1113" s="621"/>
      <c r="N1113" s="598">
        <v>4</v>
      </c>
      <c r="O1113" s="598">
        <v>6</v>
      </c>
      <c r="P1113" s="618">
        <v>36000</v>
      </c>
    </row>
    <row r="1114" spans="1:16" s="619" customFormat="1" ht="24" x14ac:dyDescent="0.2">
      <c r="A1114" s="598" t="s">
        <v>1907</v>
      </c>
      <c r="B1114" s="620"/>
      <c r="C1114" s="598" t="s">
        <v>2015</v>
      </c>
      <c r="D1114" s="598" t="s">
        <v>3473</v>
      </c>
      <c r="E1114" s="621">
        <v>1500</v>
      </c>
      <c r="F1114" s="599"/>
      <c r="G1114" s="598" t="s">
        <v>3495</v>
      </c>
      <c r="H1114" s="598"/>
      <c r="I1114" s="598"/>
      <c r="J1114" s="617"/>
      <c r="K1114" s="598"/>
      <c r="L1114" s="598"/>
      <c r="M1114" s="621"/>
      <c r="N1114" s="598">
        <v>3</v>
      </c>
      <c r="O1114" s="598">
        <v>5</v>
      </c>
      <c r="P1114" s="618">
        <v>7500</v>
      </c>
    </row>
    <row r="1115" spans="1:16" s="619" customFormat="1" ht="24" x14ac:dyDescent="0.2">
      <c r="A1115" s="598" t="s">
        <v>1907</v>
      </c>
      <c r="B1115" s="620"/>
      <c r="C1115" s="598" t="s">
        <v>2015</v>
      </c>
      <c r="D1115" s="598" t="s">
        <v>3473</v>
      </c>
      <c r="E1115" s="621">
        <v>1300</v>
      </c>
      <c r="F1115" s="599"/>
      <c r="G1115" s="598" t="s">
        <v>3496</v>
      </c>
      <c r="H1115" s="598" t="s">
        <v>2971</v>
      </c>
      <c r="I1115" s="598"/>
      <c r="J1115" s="617"/>
      <c r="K1115" s="598"/>
      <c r="L1115" s="598"/>
      <c r="M1115" s="621"/>
      <c r="N1115" s="598">
        <v>2</v>
      </c>
      <c r="O1115" s="598">
        <v>4</v>
      </c>
      <c r="P1115" s="618">
        <v>5200</v>
      </c>
    </row>
    <row r="1116" spans="1:16" s="619" customFormat="1" ht="48" x14ac:dyDescent="0.2">
      <c r="A1116" s="598" t="s">
        <v>1907</v>
      </c>
      <c r="B1116" s="620"/>
      <c r="C1116" s="598" t="s">
        <v>2015</v>
      </c>
      <c r="D1116" s="598" t="s">
        <v>3473</v>
      </c>
      <c r="E1116" s="621">
        <v>9000</v>
      </c>
      <c r="F1116" s="599"/>
      <c r="G1116" s="598" t="s">
        <v>3497</v>
      </c>
      <c r="H1116" s="598" t="s">
        <v>2921</v>
      </c>
      <c r="I1116" s="598" t="s">
        <v>1912</v>
      </c>
      <c r="J1116" s="617" t="s">
        <v>1913</v>
      </c>
      <c r="K1116" s="598"/>
      <c r="L1116" s="598"/>
      <c r="M1116" s="621"/>
      <c r="N1116" s="598">
        <v>2</v>
      </c>
      <c r="O1116" s="598">
        <v>3</v>
      </c>
      <c r="P1116" s="618">
        <v>18000</v>
      </c>
    </row>
    <row r="1117" spans="1:16" s="619" customFormat="1" ht="48" x14ac:dyDescent="0.2">
      <c r="A1117" s="598" t="s">
        <v>1907</v>
      </c>
      <c r="B1117" s="620" t="s">
        <v>2073</v>
      </c>
      <c r="C1117" s="598" t="s">
        <v>2015</v>
      </c>
      <c r="D1117" s="598" t="s">
        <v>3473</v>
      </c>
      <c r="E1117" s="621">
        <v>6000</v>
      </c>
      <c r="F1117" s="599">
        <v>46777465</v>
      </c>
      <c r="G1117" s="598" t="s">
        <v>3498</v>
      </c>
      <c r="H1117" s="598" t="s">
        <v>2921</v>
      </c>
      <c r="I1117" s="598" t="s">
        <v>1912</v>
      </c>
      <c r="J1117" s="617" t="s">
        <v>1913</v>
      </c>
      <c r="K1117" s="598"/>
      <c r="L1117" s="598"/>
      <c r="M1117" s="621"/>
      <c r="N1117" s="598">
        <v>2</v>
      </c>
      <c r="O1117" s="598">
        <v>4</v>
      </c>
      <c r="P1117" s="618">
        <v>24000</v>
      </c>
    </row>
    <row r="1118" spans="1:16" s="619" customFormat="1" ht="36" x14ac:dyDescent="0.2">
      <c r="A1118" s="598" t="s">
        <v>1907</v>
      </c>
      <c r="B1118" s="620"/>
      <c r="C1118" s="598" t="s">
        <v>2015</v>
      </c>
      <c r="D1118" s="598" t="s">
        <v>3473</v>
      </c>
      <c r="E1118" s="621">
        <v>6000</v>
      </c>
      <c r="F1118" s="599"/>
      <c r="G1118" s="598" t="s">
        <v>3499</v>
      </c>
      <c r="H1118" s="598" t="s">
        <v>2921</v>
      </c>
      <c r="I1118" s="598" t="s">
        <v>1912</v>
      </c>
      <c r="J1118" s="617" t="s">
        <v>1913</v>
      </c>
      <c r="K1118" s="598"/>
      <c r="L1118" s="598"/>
      <c r="M1118" s="621"/>
      <c r="N1118" s="598">
        <v>2</v>
      </c>
      <c r="O1118" s="598">
        <v>4</v>
      </c>
      <c r="P1118" s="618">
        <v>24000</v>
      </c>
    </row>
    <row r="1119" spans="1:16" s="619" customFormat="1" ht="48" x14ac:dyDescent="0.2">
      <c r="A1119" s="598" t="s">
        <v>1907</v>
      </c>
      <c r="B1119" s="620" t="s">
        <v>2073</v>
      </c>
      <c r="C1119" s="598" t="s">
        <v>2015</v>
      </c>
      <c r="D1119" s="598" t="s">
        <v>3473</v>
      </c>
      <c r="E1119" s="621">
        <v>2000</v>
      </c>
      <c r="F1119" s="599">
        <v>71423610</v>
      </c>
      <c r="G1119" s="598" t="s">
        <v>3500</v>
      </c>
      <c r="H1119" s="598" t="s">
        <v>3022</v>
      </c>
      <c r="I1119" s="598" t="s">
        <v>1912</v>
      </c>
      <c r="J1119" s="617" t="s">
        <v>1913</v>
      </c>
      <c r="K1119" s="598"/>
      <c r="L1119" s="598"/>
      <c r="M1119" s="621"/>
      <c r="N1119" s="598">
        <v>2</v>
      </c>
      <c r="O1119" s="598">
        <v>4</v>
      </c>
      <c r="P1119" s="618">
        <v>8000</v>
      </c>
    </row>
    <row r="1120" spans="1:16" s="619" customFormat="1" ht="24" x14ac:dyDescent="0.2">
      <c r="A1120" s="598" t="s">
        <v>1907</v>
      </c>
      <c r="B1120" s="620"/>
      <c r="C1120" s="598" t="s">
        <v>2015</v>
      </c>
      <c r="D1120" s="598" t="s">
        <v>3473</v>
      </c>
      <c r="E1120" s="621">
        <v>9000</v>
      </c>
      <c r="F1120" s="599"/>
      <c r="G1120" s="598" t="s">
        <v>3501</v>
      </c>
      <c r="H1120" s="598" t="s">
        <v>2921</v>
      </c>
      <c r="I1120" s="598" t="s">
        <v>1912</v>
      </c>
      <c r="J1120" s="617" t="s">
        <v>1913</v>
      </c>
      <c r="K1120" s="598"/>
      <c r="L1120" s="598"/>
      <c r="M1120" s="621"/>
      <c r="N1120" s="598">
        <v>2</v>
      </c>
      <c r="O1120" s="598">
        <v>4</v>
      </c>
      <c r="P1120" s="618">
        <v>36000</v>
      </c>
    </row>
    <row r="1121" spans="1:16" s="619" customFormat="1" ht="36" x14ac:dyDescent="0.2">
      <c r="A1121" s="598" t="s">
        <v>1907</v>
      </c>
      <c r="B1121" s="620"/>
      <c r="C1121" s="598" t="s">
        <v>2015</v>
      </c>
      <c r="D1121" s="598" t="s">
        <v>3473</v>
      </c>
      <c r="E1121" s="621">
        <v>3000</v>
      </c>
      <c r="F1121" s="599">
        <v>44068638</v>
      </c>
      <c r="G1121" s="598" t="s">
        <v>3502</v>
      </c>
      <c r="H1121" s="598" t="s">
        <v>3022</v>
      </c>
      <c r="I1121" s="598" t="s">
        <v>1912</v>
      </c>
      <c r="J1121" s="617" t="s">
        <v>1913</v>
      </c>
      <c r="K1121" s="598"/>
      <c r="L1121" s="598"/>
      <c r="M1121" s="621"/>
      <c r="N1121" s="598">
        <v>3</v>
      </c>
      <c r="O1121" s="598">
        <v>5</v>
      </c>
      <c r="P1121" s="618">
        <v>18000</v>
      </c>
    </row>
    <row r="1122" spans="1:16" s="619" customFormat="1" ht="48" x14ac:dyDescent="0.2">
      <c r="A1122" s="598" t="s">
        <v>1907</v>
      </c>
      <c r="B1122" s="620" t="s">
        <v>2073</v>
      </c>
      <c r="C1122" s="598" t="s">
        <v>2015</v>
      </c>
      <c r="D1122" s="598" t="s">
        <v>3473</v>
      </c>
      <c r="E1122" s="621">
        <v>6000</v>
      </c>
      <c r="F1122" s="599">
        <v>32736871</v>
      </c>
      <c r="G1122" s="598" t="s">
        <v>3503</v>
      </c>
      <c r="H1122" s="598" t="s">
        <v>2921</v>
      </c>
      <c r="I1122" s="598" t="s">
        <v>1912</v>
      </c>
      <c r="J1122" s="617" t="s">
        <v>1913</v>
      </c>
      <c r="K1122" s="598"/>
      <c r="L1122" s="598"/>
      <c r="M1122" s="621"/>
      <c r="N1122" s="598">
        <v>3</v>
      </c>
      <c r="O1122" s="598">
        <v>5</v>
      </c>
      <c r="P1122" s="618">
        <v>30000</v>
      </c>
    </row>
    <row r="1123" spans="1:16" s="619" customFormat="1" ht="48" x14ac:dyDescent="0.2">
      <c r="A1123" s="598" t="s">
        <v>1907</v>
      </c>
      <c r="B1123" s="620" t="s">
        <v>2073</v>
      </c>
      <c r="C1123" s="598" t="s">
        <v>2015</v>
      </c>
      <c r="D1123" s="598" t="s">
        <v>3473</v>
      </c>
      <c r="E1123" s="621">
        <v>5000</v>
      </c>
      <c r="F1123" s="599">
        <v>22081410</v>
      </c>
      <c r="G1123" s="598" t="s">
        <v>3504</v>
      </c>
      <c r="H1123" s="598" t="s">
        <v>1911</v>
      </c>
      <c r="I1123" s="598" t="s">
        <v>1912</v>
      </c>
      <c r="J1123" s="617" t="s">
        <v>1913</v>
      </c>
      <c r="K1123" s="598"/>
      <c r="L1123" s="598"/>
      <c r="M1123" s="621"/>
      <c r="N1123" s="598">
        <v>3</v>
      </c>
      <c r="O1123" s="598">
        <v>5</v>
      </c>
      <c r="P1123" s="618">
        <v>25000</v>
      </c>
    </row>
    <row r="1124" spans="1:16" s="619" customFormat="1" ht="48" x14ac:dyDescent="0.2">
      <c r="A1124" s="598" t="s">
        <v>1907</v>
      </c>
      <c r="B1124" s="620" t="s">
        <v>2073</v>
      </c>
      <c r="C1124" s="598" t="s">
        <v>2015</v>
      </c>
      <c r="D1124" s="598" t="s">
        <v>3473</v>
      </c>
      <c r="E1124" s="621">
        <v>3000</v>
      </c>
      <c r="F1124" s="599"/>
      <c r="G1124" s="598" t="s">
        <v>3143</v>
      </c>
      <c r="H1124" s="598" t="s">
        <v>2921</v>
      </c>
      <c r="I1124" s="598" t="s">
        <v>1912</v>
      </c>
      <c r="J1124" s="617" t="s">
        <v>1913</v>
      </c>
      <c r="K1124" s="598"/>
      <c r="L1124" s="598"/>
      <c r="M1124" s="621"/>
      <c r="N1124" s="598">
        <v>2</v>
      </c>
      <c r="O1124" s="598">
        <v>3</v>
      </c>
      <c r="P1124" s="618">
        <v>9000</v>
      </c>
    </row>
    <row r="1125" spans="1:16" s="619" customFormat="1" ht="48" x14ac:dyDescent="0.2">
      <c r="A1125" s="598" t="s">
        <v>1907</v>
      </c>
      <c r="B1125" s="620" t="s">
        <v>2073</v>
      </c>
      <c r="C1125" s="598" t="s">
        <v>2015</v>
      </c>
      <c r="D1125" s="598" t="s">
        <v>3473</v>
      </c>
      <c r="E1125" s="621">
        <v>6000</v>
      </c>
      <c r="F1125" s="599">
        <v>40206079</v>
      </c>
      <c r="G1125" s="598" t="s">
        <v>3505</v>
      </c>
      <c r="H1125" s="598" t="s">
        <v>2921</v>
      </c>
      <c r="I1125" s="598" t="s">
        <v>1912</v>
      </c>
      <c r="J1125" s="617" t="s">
        <v>1913</v>
      </c>
      <c r="K1125" s="598"/>
      <c r="L1125" s="598"/>
      <c r="M1125" s="621"/>
      <c r="N1125" s="598">
        <v>1</v>
      </c>
      <c r="O1125" s="598">
        <v>3</v>
      </c>
      <c r="P1125" s="618">
        <v>18000</v>
      </c>
    </row>
    <row r="1126" spans="1:16" s="619" customFormat="1" ht="48" x14ac:dyDescent="0.2">
      <c r="A1126" s="598" t="s">
        <v>1907</v>
      </c>
      <c r="B1126" s="620" t="s">
        <v>2073</v>
      </c>
      <c r="C1126" s="598" t="s">
        <v>2015</v>
      </c>
      <c r="D1126" s="598" t="s">
        <v>3473</v>
      </c>
      <c r="E1126" s="621">
        <v>1300</v>
      </c>
      <c r="F1126" s="599">
        <v>46754965</v>
      </c>
      <c r="G1126" s="598" t="s">
        <v>3506</v>
      </c>
      <c r="H1126" s="598"/>
      <c r="I1126" s="598"/>
      <c r="J1126" s="617"/>
      <c r="K1126" s="598"/>
      <c r="L1126" s="598"/>
      <c r="M1126" s="621"/>
      <c r="N1126" s="598">
        <v>2</v>
      </c>
      <c r="O1126" s="598">
        <v>3</v>
      </c>
      <c r="P1126" s="618">
        <v>3900</v>
      </c>
    </row>
    <row r="1127" spans="1:16" s="619" customFormat="1" ht="48" x14ac:dyDescent="0.2">
      <c r="A1127" s="598" t="s">
        <v>1907</v>
      </c>
      <c r="B1127" s="620" t="s">
        <v>2073</v>
      </c>
      <c r="C1127" s="598" t="s">
        <v>2015</v>
      </c>
      <c r="D1127" s="598" t="s">
        <v>3473</v>
      </c>
      <c r="E1127" s="621">
        <v>4200</v>
      </c>
      <c r="F1127" s="599">
        <v>42769105</v>
      </c>
      <c r="G1127" s="598" t="s">
        <v>3507</v>
      </c>
      <c r="H1127" s="598"/>
      <c r="I1127" s="598"/>
      <c r="J1127" s="617"/>
      <c r="K1127" s="598"/>
      <c r="L1127" s="598"/>
      <c r="M1127" s="621"/>
      <c r="N1127" s="598">
        <v>2</v>
      </c>
      <c r="O1127" s="598">
        <v>4</v>
      </c>
      <c r="P1127" s="618">
        <v>16800</v>
      </c>
    </row>
    <row r="1128" spans="1:16" s="619" customFormat="1" ht="48" x14ac:dyDescent="0.2">
      <c r="A1128" s="598" t="s">
        <v>1907</v>
      </c>
      <c r="B1128" s="620" t="s">
        <v>2073</v>
      </c>
      <c r="C1128" s="598" t="s">
        <v>2015</v>
      </c>
      <c r="D1128" s="598" t="s">
        <v>3473</v>
      </c>
      <c r="E1128" s="621">
        <v>4000</v>
      </c>
      <c r="F1128" s="599">
        <v>72843222</v>
      </c>
      <c r="G1128" s="598" t="s">
        <v>3508</v>
      </c>
      <c r="H1128" s="598" t="s">
        <v>3509</v>
      </c>
      <c r="I1128" s="598" t="s">
        <v>1912</v>
      </c>
      <c r="J1128" s="617" t="s">
        <v>1913</v>
      </c>
      <c r="K1128" s="598"/>
      <c r="L1128" s="598"/>
      <c r="M1128" s="621"/>
      <c r="N1128" s="598">
        <v>2</v>
      </c>
      <c r="O1128" s="598">
        <v>4</v>
      </c>
      <c r="P1128" s="618">
        <v>16000</v>
      </c>
    </row>
    <row r="1129" spans="1:16" s="619" customFormat="1" ht="48" x14ac:dyDescent="0.2">
      <c r="A1129" s="598" t="s">
        <v>1907</v>
      </c>
      <c r="B1129" s="620" t="s">
        <v>2073</v>
      </c>
      <c r="C1129" s="598" t="s">
        <v>2015</v>
      </c>
      <c r="D1129" s="598" t="s">
        <v>3473</v>
      </c>
      <c r="E1129" s="621">
        <v>2000</v>
      </c>
      <c r="F1129" s="599">
        <v>43277622</v>
      </c>
      <c r="G1129" s="598" t="s">
        <v>3510</v>
      </c>
      <c r="H1129" s="598"/>
      <c r="I1129" s="598"/>
      <c r="J1129" s="617"/>
      <c r="K1129" s="598"/>
      <c r="L1129" s="598"/>
      <c r="M1129" s="621"/>
      <c r="N1129" s="598">
        <v>1</v>
      </c>
      <c r="O1129" s="598">
        <v>2</v>
      </c>
      <c r="P1129" s="618">
        <v>4000</v>
      </c>
    </row>
    <row r="1130" spans="1:16" s="619" customFormat="1" ht="48" x14ac:dyDescent="0.2">
      <c r="A1130" s="598" t="s">
        <v>1907</v>
      </c>
      <c r="B1130" s="620" t="s">
        <v>2073</v>
      </c>
      <c r="C1130" s="598" t="s">
        <v>2015</v>
      </c>
      <c r="D1130" s="598" t="s">
        <v>3473</v>
      </c>
      <c r="E1130" s="621">
        <v>4000</v>
      </c>
      <c r="F1130" s="599">
        <v>45216290</v>
      </c>
      <c r="G1130" s="598" t="s">
        <v>3511</v>
      </c>
      <c r="H1130" s="598" t="s">
        <v>2921</v>
      </c>
      <c r="I1130" s="598" t="s">
        <v>1912</v>
      </c>
      <c r="J1130" s="617" t="s">
        <v>1913</v>
      </c>
      <c r="K1130" s="598"/>
      <c r="L1130" s="598"/>
      <c r="M1130" s="621"/>
      <c r="N1130" s="598">
        <v>2</v>
      </c>
      <c r="O1130" s="598">
        <v>4</v>
      </c>
      <c r="P1130" s="618">
        <v>16000</v>
      </c>
    </row>
    <row r="1131" spans="1:16" s="619" customFormat="1" ht="48" x14ac:dyDescent="0.2">
      <c r="A1131" s="598" t="s">
        <v>1907</v>
      </c>
      <c r="B1131" s="620" t="s">
        <v>2073</v>
      </c>
      <c r="C1131" s="598" t="s">
        <v>2015</v>
      </c>
      <c r="D1131" s="598" t="s">
        <v>3473</v>
      </c>
      <c r="E1131" s="621">
        <v>4000</v>
      </c>
      <c r="F1131" s="599"/>
      <c r="G1131" s="598" t="s">
        <v>3512</v>
      </c>
      <c r="H1131" s="598" t="s">
        <v>2921</v>
      </c>
      <c r="I1131" s="598" t="s">
        <v>1912</v>
      </c>
      <c r="J1131" s="617" t="s">
        <v>1913</v>
      </c>
      <c r="K1131" s="598"/>
      <c r="L1131" s="598"/>
      <c r="M1131" s="621"/>
      <c r="N1131" s="598">
        <v>1</v>
      </c>
      <c r="O1131" s="598">
        <v>1</v>
      </c>
      <c r="P1131" s="618">
        <v>4000</v>
      </c>
    </row>
    <row r="1132" spans="1:16" s="619" customFormat="1" ht="48" x14ac:dyDescent="0.2">
      <c r="A1132" s="598" t="s">
        <v>1907</v>
      </c>
      <c r="B1132" s="620" t="s">
        <v>2073</v>
      </c>
      <c r="C1132" s="598" t="s">
        <v>2015</v>
      </c>
      <c r="D1132" s="598" t="s">
        <v>3473</v>
      </c>
      <c r="E1132" s="621">
        <v>4000</v>
      </c>
      <c r="F1132" s="599">
        <v>44552794</v>
      </c>
      <c r="G1132" s="598" t="s">
        <v>3513</v>
      </c>
      <c r="H1132" s="598"/>
      <c r="I1132" s="598"/>
      <c r="J1132" s="617"/>
      <c r="K1132" s="598"/>
      <c r="L1132" s="598"/>
      <c r="M1132" s="621"/>
      <c r="N1132" s="598">
        <v>1</v>
      </c>
      <c r="O1132" s="598">
        <v>3</v>
      </c>
      <c r="P1132" s="618">
        <v>12000</v>
      </c>
    </row>
    <row r="1133" spans="1:16" s="619" customFormat="1" ht="48" x14ac:dyDescent="0.2">
      <c r="A1133" s="598" t="s">
        <v>1907</v>
      </c>
      <c r="B1133" s="620" t="s">
        <v>2073</v>
      </c>
      <c r="C1133" s="598" t="s">
        <v>2015</v>
      </c>
      <c r="D1133" s="598" t="s">
        <v>3473</v>
      </c>
      <c r="E1133" s="621">
        <v>6000</v>
      </c>
      <c r="F1133" s="599">
        <v>42399203</v>
      </c>
      <c r="G1133" s="598" t="s">
        <v>3514</v>
      </c>
      <c r="H1133" s="598"/>
      <c r="I1133" s="598"/>
      <c r="J1133" s="617"/>
      <c r="K1133" s="598"/>
      <c r="L1133" s="598"/>
      <c r="M1133" s="621"/>
      <c r="N1133" s="598">
        <v>1</v>
      </c>
      <c r="O1133" s="598">
        <v>3</v>
      </c>
      <c r="P1133" s="618">
        <v>18000</v>
      </c>
    </row>
    <row r="1134" spans="1:16" s="619" customFormat="1" ht="48" x14ac:dyDescent="0.2">
      <c r="A1134" s="598" t="s">
        <v>1907</v>
      </c>
      <c r="B1134" s="620" t="s">
        <v>2073</v>
      </c>
      <c r="C1134" s="598" t="s">
        <v>2015</v>
      </c>
      <c r="D1134" s="598" t="s">
        <v>3473</v>
      </c>
      <c r="E1134" s="621">
        <v>1600</v>
      </c>
      <c r="F1134" s="599">
        <v>76267833</v>
      </c>
      <c r="G1134" s="598" t="s">
        <v>3515</v>
      </c>
      <c r="H1134" s="598" t="s">
        <v>3125</v>
      </c>
      <c r="I1134" s="598" t="s">
        <v>1912</v>
      </c>
      <c r="J1134" s="617" t="s">
        <v>1931</v>
      </c>
      <c r="K1134" s="598"/>
      <c r="L1134" s="598"/>
      <c r="M1134" s="621"/>
      <c r="N1134" s="598">
        <v>1</v>
      </c>
      <c r="O1134" s="598">
        <v>1</v>
      </c>
      <c r="P1134" s="618">
        <v>1600</v>
      </c>
    </row>
    <row r="1135" spans="1:16" s="619" customFormat="1" ht="48" x14ac:dyDescent="0.2">
      <c r="A1135" s="598" t="s">
        <v>1907</v>
      </c>
      <c r="B1135" s="620" t="s">
        <v>2073</v>
      </c>
      <c r="C1135" s="598" t="s">
        <v>2015</v>
      </c>
      <c r="D1135" s="598" t="s">
        <v>3473</v>
      </c>
      <c r="E1135" s="621">
        <v>6000</v>
      </c>
      <c r="F1135" s="599">
        <v>43945708</v>
      </c>
      <c r="G1135" s="598" t="s">
        <v>3516</v>
      </c>
      <c r="H1135" s="598" t="s">
        <v>2921</v>
      </c>
      <c r="I1135" s="598" t="s">
        <v>1912</v>
      </c>
      <c r="J1135" s="617" t="s">
        <v>1913</v>
      </c>
      <c r="K1135" s="598"/>
      <c r="L1135" s="598"/>
      <c r="M1135" s="621"/>
      <c r="N1135" s="598">
        <v>1</v>
      </c>
      <c r="O1135" s="598">
        <v>1</v>
      </c>
      <c r="P1135" s="618">
        <v>6000</v>
      </c>
    </row>
    <row r="1136" spans="1:16" s="619" customFormat="1" ht="48.75" thickBot="1" x14ac:dyDescent="0.25">
      <c r="A1136" s="598" t="s">
        <v>1907</v>
      </c>
      <c r="B1136" s="620" t="s">
        <v>2073</v>
      </c>
      <c r="C1136" s="598" t="s">
        <v>2015</v>
      </c>
      <c r="D1136" s="598" t="s">
        <v>3473</v>
      </c>
      <c r="E1136" s="621">
        <v>4000</v>
      </c>
      <c r="F1136" s="599">
        <v>76659588</v>
      </c>
      <c r="G1136" s="598" t="s">
        <v>3517</v>
      </c>
      <c r="H1136" s="598" t="s">
        <v>2921</v>
      </c>
      <c r="I1136" s="598" t="s">
        <v>1912</v>
      </c>
      <c r="J1136" s="617" t="s">
        <v>1913</v>
      </c>
      <c r="K1136" s="598"/>
      <c r="L1136" s="598"/>
      <c r="M1136" s="621"/>
      <c r="N1136" s="598">
        <v>1</v>
      </c>
      <c r="O1136" s="598">
        <v>1</v>
      </c>
      <c r="P1136" s="618">
        <v>4000</v>
      </c>
    </row>
    <row r="1137" spans="1:16" s="619" customFormat="1" ht="13.5" customHeight="1" thickBot="1" x14ac:dyDescent="0.25">
      <c r="A1137" s="1149" t="s">
        <v>1749</v>
      </c>
      <c r="B1137" s="1150"/>
      <c r="C1137" s="1150"/>
      <c r="D1137" s="1151"/>
      <c r="E1137" s="610">
        <f>SUM(E6:E1136)</f>
        <v>3051799.31</v>
      </c>
      <c r="F1137" s="623"/>
      <c r="G1137" s="109"/>
      <c r="H1137" s="109"/>
      <c r="I1137" s="109"/>
      <c r="J1137" s="109"/>
      <c r="K1137" s="623"/>
      <c r="L1137" s="109"/>
      <c r="M1137" s="624">
        <f>SUM(M6:M1136)</f>
        <v>10270669.300000001</v>
      </c>
      <c r="N1137" s="623"/>
      <c r="O1137" s="623"/>
      <c r="P1137" s="610">
        <f>SUM(P6:P1136)</f>
        <v>6305160</v>
      </c>
    </row>
    <row r="1138" spans="1:16" s="619" customFormat="1" ht="36" x14ac:dyDescent="0.2">
      <c r="A1138" s="625" t="s">
        <v>3518</v>
      </c>
      <c r="B1138" s="598" t="s">
        <v>1908</v>
      </c>
      <c r="C1138" s="625" t="s">
        <v>104</v>
      </c>
      <c r="D1138" s="626" t="s">
        <v>3519</v>
      </c>
      <c r="E1138" s="627">
        <v>6000</v>
      </c>
      <c r="F1138" s="628">
        <v>42551049</v>
      </c>
      <c r="G1138" s="629" t="s">
        <v>3520</v>
      </c>
      <c r="H1138" s="630" t="s">
        <v>3521</v>
      </c>
      <c r="I1138" s="629" t="s">
        <v>3522</v>
      </c>
      <c r="J1138" s="630" t="s">
        <v>3523</v>
      </c>
      <c r="K1138" s="631" t="s">
        <v>25</v>
      </c>
      <c r="L1138" s="632">
        <v>1</v>
      </c>
      <c r="M1138" s="627">
        <f>+L1138*E1138</f>
        <v>6000</v>
      </c>
      <c r="N1138" s="633"/>
      <c r="O1138" s="634"/>
      <c r="P1138" s="635"/>
    </row>
    <row r="1139" spans="1:16" s="619" customFormat="1" ht="36" x14ac:dyDescent="0.2">
      <c r="A1139" s="625" t="s">
        <v>3518</v>
      </c>
      <c r="B1139" s="598" t="s">
        <v>1908</v>
      </c>
      <c r="C1139" s="625" t="s">
        <v>104</v>
      </c>
      <c r="D1139" s="626" t="s">
        <v>3519</v>
      </c>
      <c r="E1139" s="636">
        <v>6000</v>
      </c>
      <c r="F1139" s="637">
        <v>70068490</v>
      </c>
      <c r="G1139" s="638" t="s">
        <v>3524</v>
      </c>
      <c r="H1139" s="626" t="s">
        <v>3525</v>
      </c>
      <c r="I1139" s="638" t="s">
        <v>3522</v>
      </c>
      <c r="J1139" s="626" t="s">
        <v>3523</v>
      </c>
      <c r="K1139" s="639" t="s">
        <v>25</v>
      </c>
      <c r="L1139" s="640">
        <v>7</v>
      </c>
      <c r="M1139" s="636">
        <f>+L1139*E1139</f>
        <v>42000</v>
      </c>
      <c r="N1139" s="641" t="s">
        <v>25</v>
      </c>
      <c r="O1139" s="642">
        <v>3</v>
      </c>
      <c r="P1139" s="643">
        <f>+O1139*E1139</f>
        <v>18000</v>
      </c>
    </row>
    <row r="1140" spans="1:16" s="619" customFormat="1" ht="36" x14ac:dyDescent="0.2">
      <c r="A1140" s="625" t="s">
        <v>3518</v>
      </c>
      <c r="B1140" s="598" t="s">
        <v>1908</v>
      </c>
      <c r="C1140" s="625" t="s">
        <v>104</v>
      </c>
      <c r="D1140" s="626" t="s">
        <v>3519</v>
      </c>
      <c r="E1140" s="636">
        <v>6000</v>
      </c>
      <c r="F1140" s="637">
        <v>16790452</v>
      </c>
      <c r="G1140" s="638" t="s">
        <v>3526</v>
      </c>
      <c r="H1140" s="626" t="s">
        <v>1925</v>
      </c>
      <c r="I1140" s="638" t="s">
        <v>3522</v>
      </c>
      <c r="J1140" s="626" t="s">
        <v>3523</v>
      </c>
      <c r="K1140" s="639"/>
      <c r="L1140" s="640"/>
      <c r="M1140" s="636"/>
      <c r="N1140" s="641" t="s">
        <v>25</v>
      </c>
      <c r="O1140" s="642">
        <v>3</v>
      </c>
      <c r="P1140" s="643">
        <f>+O1140*E1140</f>
        <v>18000</v>
      </c>
    </row>
    <row r="1141" spans="1:16" s="619" customFormat="1" ht="48" x14ac:dyDescent="0.2">
      <c r="A1141" s="625" t="s">
        <v>3518</v>
      </c>
      <c r="B1141" s="598" t="s">
        <v>1908</v>
      </c>
      <c r="C1141" s="625" t="s">
        <v>104</v>
      </c>
      <c r="D1141" s="626" t="s">
        <v>3527</v>
      </c>
      <c r="E1141" s="636">
        <v>3500</v>
      </c>
      <c r="F1141" s="637">
        <v>16763713</v>
      </c>
      <c r="G1141" s="638" t="s">
        <v>3528</v>
      </c>
      <c r="H1141" s="626" t="s">
        <v>3529</v>
      </c>
      <c r="I1141" s="638" t="s">
        <v>3522</v>
      </c>
      <c r="J1141" s="626" t="s">
        <v>3523</v>
      </c>
      <c r="K1141" s="639" t="s">
        <v>25</v>
      </c>
      <c r="L1141" s="640">
        <v>7</v>
      </c>
      <c r="M1141" s="636">
        <f>+L1141*E1141</f>
        <v>24500</v>
      </c>
      <c r="N1141" s="641" t="s">
        <v>25</v>
      </c>
      <c r="O1141" s="642">
        <v>2</v>
      </c>
      <c r="P1141" s="643">
        <f>+O1141*E1141</f>
        <v>7000</v>
      </c>
    </row>
    <row r="1142" spans="1:16" s="619" customFormat="1" ht="36" x14ac:dyDescent="0.2">
      <c r="A1142" s="625" t="s">
        <v>3518</v>
      </c>
      <c r="B1142" s="598" t="s">
        <v>1908</v>
      </c>
      <c r="C1142" s="625" t="s">
        <v>104</v>
      </c>
      <c r="D1142" s="626" t="s">
        <v>3527</v>
      </c>
      <c r="E1142" s="636">
        <v>3500</v>
      </c>
      <c r="F1142" s="637">
        <v>41682227</v>
      </c>
      <c r="G1142" s="638" t="s">
        <v>3530</v>
      </c>
      <c r="H1142" s="626" t="s">
        <v>3529</v>
      </c>
      <c r="I1142" s="638" t="s">
        <v>3522</v>
      </c>
      <c r="J1142" s="626" t="s">
        <v>3523</v>
      </c>
      <c r="K1142" s="639"/>
      <c r="L1142" s="640"/>
      <c r="M1142" s="636"/>
      <c r="N1142" s="641" t="s">
        <v>25</v>
      </c>
      <c r="O1142" s="642">
        <v>1</v>
      </c>
      <c r="P1142" s="643">
        <f>+O1142*E1142</f>
        <v>3500</v>
      </c>
    </row>
    <row r="1143" spans="1:16" s="619" customFormat="1" ht="36" x14ac:dyDescent="0.2">
      <c r="A1143" s="625" t="s">
        <v>3518</v>
      </c>
      <c r="B1143" s="598" t="s">
        <v>1908</v>
      </c>
      <c r="C1143" s="625" t="s">
        <v>104</v>
      </c>
      <c r="D1143" s="626" t="s">
        <v>3527</v>
      </c>
      <c r="E1143" s="636">
        <v>3500</v>
      </c>
      <c r="F1143" s="637">
        <v>27676794</v>
      </c>
      <c r="G1143" s="638" t="s">
        <v>3531</v>
      </c>
      <c r="H1143" s="626" t="s">
        <v>1965</v>
      </c>
      <c r="I1143" s="638" t="s">
        <v>3532</v>
      </c>
      <c r="J1143" s="626" t="s">
        <v>3523</v>
      </c>
      <c r="K1143" s="639"/>
      <c r="L1143" s="640"/>
      <c r="M1143" s="636"/>
      <c r="N1143" s="641" t="s">
        <v>25</v>
      </c>
      <c r="O1143" s="644">
        <v>1</v>
      </c>
      <c r="P1143" s="643">
        <f>+O1143*E1143</f>
        <v>3500</v>
      </c>
    </row>
    <row r="1144" spans="1:16" s="619" customFormat="1" ht="36" x14ac:dyDescent="0.2">
      <c r="A1144" s="625" t="s">
        <v>3518</v>
      </c>
      <c r="B1144" s="598" t="s">
        <v>1908</v>
      </c>
      <c r="C1144" s="625" t="s">
        <v>104</v>
      </c>
      <c r="D1144" s="626" t="s">
        <v>3527</v>
      </c>
      <c r="E1144" s="636">
        <v>3500</v>
      </c>
      <c r="F1144" s="637">
        <v>40025186</v>
      </c>
      <c r="G1144" s="638" t="s">
        <v>3533</v>
      </c>
      <c r="H1144" s="626" t="s">
        <v>1925</v>
      </c>
      <c r="I1144" s="638" t="s">
        <v>3532</v>
      </c>
      <c r="J1144" s="626" t="s">
        <v>3523</v>
      </c>
      <c r="K1144" s="639" t="s">
        <v>25</v>
      </c>
      <c r="L1144" s="645">
        <v>2</v>
      </c>
      <c r="M1144" s="636">
        <f>+L1144*E1144</f>
        <v>7000</v>
      </c>
      <c r="N1144" s="641"/>
      <c r="O1144" s="644"/>
      <c r="P1144" s="643"/>
    </row>
    <row r="1145" spans="1:16" s="619" customFormat="1" ht="48" x14ac:dyDescent="0.2">
      <c r="A1145" s="625" t="s">
        <v>3518</v>
      </c>
      <c r="B1145" s="598" t="s">
        <v>1908</v>
      </c>
      <c r="C1145" s="625" t="s">
        <v>104</v>
      </c>
      <c r="D1145" s="626" t="s">
        <v>3527</v>
      </c>
      <c r="E1145" s="636">
        <v>3500</v>
      </c>
      <c r="F1145" s="637">
        <v>42233582</v>
      </c>
      <c r="G1145" s="638" t="s">
        <v>3534</v>
      </c>
      <c r="H1145" s="626" t="s">
        <v>1925</v>
      </c>
      <c r="I1145" s="638" t="s">
        <v>3532</v>
      </c>
      <c r="J1145" s="626" t="s">
        <v>3523</v>
      </c>
      <c r="K1145" s="639" t="s">
        <v>25</v>
      </c>
      <c r="L1145" s="645">
        <v>1</v>
      </c>
      <c r="M1145" s="636">
        <f>+L1145*E1145</f>
        <v>3500</v>
      </c>
      <c r="N1145" s="641"/>
      <c r="O1145" s="644"/>
      <c r="P1145" s="643"/>
    </row>
    <row r="1146" spans="1:16" s="619" customFormat="1" ht="36" x14ac:dyDescent="0.2">
      <c r="A1146" s="625" t="s">
        <v>3518</v>
      </c>
      <c r="B1146" s="598" t="s">
        <v>1908</v>
      </c>
      <c r="C1146" s="625" t="s">
        <v>104</v>
      </c>
      <c r="D1146" s="626" t="s">
        <v>3527</v>
      </c>
      <c r="E1146" s="636">
        <v>3500</v>
      </c>
      <c r="F1146" s="637">
        <v>45612105</v>
      </c>
      <c r="G1146" s="638" t="s">
        <v>3535</v>
      </c>
      <c r="H1146" s="626" t="s">
        <v>1925</v>
      </c>
      <c r="I1146" s="638" t="s">
        <v>3532</v>
      </c>
      <c r="J1146" s="626" t="s">
        <v>3523</v>
      </c>
      <c r="K1146" s="639" t="s">
        <v>25</v>
      </c>
      <c r="L1146" s="645">
        <v>5</v>
      </c>
      <c r="M1146" s="636">
        <f>+L1146*E1146</f>
        <v>17500</v>
      </c>
      <c r="N1146" s="641" t="s">
        <v>25</v>
      </c>
      <c r="O1146" s="644">
        <v>2</v>
      </c>
      <c r="P1146" s="643">
        <v>30000</v>
      </c>
    </row>
    <row r="1147" spans="1:16" s="619" customFormat="1" ht="36" x14ac:dyDescent="0.2">
      <c r="A1147" s="625" t="s">
        <v>3518</v>
      </c>
      <c r="B1147" s="598" t="s">
        <v>1908</v>
      </c>
      <c r="C1147" s="625" t="s">
        <v>104</v>
      </c>
      <c r="D1147" s="626" t="s">
        <v>3527</v>
      </c>
      <c r="E1147" s="636">
        <v>3500</v>
      </c>
      <c r="F1147" s="637">
        <v>42865291</v>
      </c>
      <c r="G1147" s="638" t="s">
        <v>3536</v>
      </c>
      <c r="H1147" s="626" t="s">
        <v>1925</v>
      </c>
      <c r="I1147" s="638" t="s">
        <v>3532</v>
      </c>
      <c r="J1147" s="626" t="s">
        <v>3523</v>
      </c>
      <c r="K1147" s="639"/>
      <c r="L1147" s="640"/>
      <c r="M1147" s="636"/>
      <c r="N1147" s="641" t="s">
        <v>25</v>
      </c>
      <c r="O1147" s="642">
        <v>1</v>
      </c>
      <c r="P1147" s="643">
        <f>+O1147*E1147</f>
        <v>3500</v>
      </c>
    </row>
    <row r="1148" spans="1:16" s="619" customFormat="1" ht="36" x14ac:dyDescent="0.2">
      <c r="A1148" s="625" t="s">
        <v>3518</v>
      </c>
      <c r="B1148" s="598" t="s">
        <v>1908</v>
      </c>
      <c r="C1148" s="625" t="s">
        <v>104</v>
      </c>
      <c r="D1148" s="626" t="s">
        <v>3527</v>
      </c>
      <c r="E1148" s="636">
        <v>3500</v>
      </c>
      <c r="F1148" s="637">
        <v>41548698</v>
      </c>
      <c r="G1148" s="638" t="s">
        <v>3537</v>
      </c>
      <c r="H1148" s="626" t="s">
        <v>1925</v>
      </c>
      <c r="I1148" s="638" t="s">
        <v>3532</v>
      </c>
      <c r="J1148" s="626" t="s">
        <v>3523</v>
      </c>
      <c r="K1148" s="639"/>
      <c r="L1148" s="640"/>
      <c r="M1148" s="636"/>
      <c r="N1148" s="641" t="s">
        <v>25</v>
      </c>
      <c r="O1148" s="642">
        <v>2</v>
      </c>
      <c r="P1148" s="643">
        <f>+O1148*E1148</f>
        <v>7000</v>
      </c>
    </row>
    <row r="1149" spans="1:16" s="619" customFormat="1" ht="48" x14ac:dyDescent="0.2">
      <c r="A1149" s="625" t="s">
        <v>3518</v>
      </c>
      <c r="B1149" s="598" t="s">
        <v>1908</v>
      </c>
      <c r="C1149" s="625" t="s">
        <v>104</v>
      </c>
      <c r="D1149" s="626" t="s">
        <v>3538</v>
      </c>
      <c r="E1149" s="636">
        <v>4000</v>
      </c>
      <c r="F1149" s="637">
        <v>40195016</v>
      </c>
      <c r="G1149" s="638" t="s">
        <v>3539</v>
      </c>
      <c r="H1149" s="626" t="s">
        <v>1911</v>
      </c>
      <c r="I1149" s="638" t="s">
        <v>3532</v>
      </c>
      <c r="J1149" s="626" t="s">
        <v>3523</v>
      </c>
      <c r="K1149" s="639"/>
      <c r="L1149" s="640"/>
      <c r="M1149" s="636"/>
      <c r="N1149" s="641" t="s">
        <v>25</v>
      </c>
      <c r="O1149" s="642">
        <v>1</v>
      </c>
      <c r="P1149" s="643">
        <f>+O1149*E1149</f>
        <v>4000</v>
      </c>
    </row>
    <row r="1150" spans="1:16" s="619" customFormat="1" ht="36" x14ac:dyDescent="0.2">
      <c r="A1150" s="625" t="s">
        <v>3518</v>
      </c>
      <c r="B1150" s="598" t="s">
        <v>1908</v>
      </c>
      <c r="C1150" s="625" t="s">
        <v>104</v>
      </c>
      <c r="D1150" s="626" t="s">
        <v>3538</v>
      </c>
      <c r="E1150" s="636">
        <v>3500</v>
      </c>
      <c r="F1150" s="637">
        <v>41159210</v>
      </c>
      <c r="G1150" s="638" t="s">
        <v>3540</v>
      </c>
      <c r="H1150" s="626" t="s">
        <v>1911</v>
      </c>
      <c r="I1150" s="638" t="s">
        <v>3532</v>
      </c>
      <c r="J1150" s="626" t="s">
        <v>3523</v>
      </c>
      <c r="K1150" s="639"/>
      <c r="L1150" s="640"/>
      <c r="M1150" s="636"/>
      <c r="N1150" s="641" t="s">
        <v>25</v>
      </c>
      <c r="O1150" s="642">
        <v>2</v>
      </c>
      <c r="P1150" s="643">
        <f>+O1150*E1150</f>
        <v>7000</v>
      </c>
    </row>
    <row r="1151" spans="1:16" s="619" customFormat="1" ht="36" x14ac:dyDescent="0.2">
      <c r="A1151" s="625" t="s">
        <v>3518</v>
      </c>
      <c r="B1151" s="598" t="s">
        <v>1908</v>
      </c>
      <c r="C1151" s="625" t="s">
        <v>104</v>
      </c>
      <c r="D1151" s="626" t="s">
        <v>3541</v>
      </c>
      <c r="E1151" s="636">
        <v>3000</v>
      </c>
      <c r="F1151" s="637">
        <v>71409879</v>
      </c>
      <c r="G1151" s="638" t="s">
        <v>3542</v>
      </c>
      <c r="H1151" s="626" t="s">
        <v>1911</v>
      </c>
      <c r="I1151" s="638" t="s">
        <v>3532</v>
      </c>
      <c r="J1151" s="626" t="s">
        <v>3523</v>
      </c>
      <c r="K1151" s="639" t="s">
        <v>25</v>
      </c>
      <c r="L1151" s="640">
        <v>7</v>
      </c>
      <c r="M1151" s="636">
        <f>+L1151*E1151</f>
        <v>21000</v>
      </c>
      <c r="N1151" s="641" t="s">
        <v>25</v>
      </c>
      <c r="O1151" s="642">
        <v>6</v>
      </c>
      <c r="P1151" s="643">
        <f>+O1151*E1151</f>
        <v>18000</v>
      </c>
    </row>
    <row r="1152" spans="1:16" s="619" customFormat="1" ht="36" x14ac:dyDescent="0.2">
      <c r="A1152" s="625" t="s">
        <v>3518</v>
      </c>
      <c r="B1152" s="598" t="s">
        <v>1908</v>
      </c>
      <c r="C1152" s="625" t="s">
        <v>104</v>
      </c>
      <c r="D1152" s="626" t="s">
        <v>3543</v>
      </c>
      <c r="E1152" s="636">
        <v>3500</v>
      </c>
      <c r="F1152" s="637">
        <v>43684747</v>
      </c>
      <c r="G1152" s="638" t="s">
        <v>3544</v>
      </c>
      <c r="H1152" s="626" t="s">
        <v>1965</v>
      </c>
      <c r="I1152" s="638" t="s">
        <v>3532</v>
      </c>
      <c r="J1152" s="626" t="s">
        <v>3523</v>
      </c>
      <c r="K1152" s="639" t="s">
        <v>25</v>
      </c>
      <c r="L1152" s="640">
        <v>3</v>
      </c>
      <c r="M1152" s="636">
        <f>+L1152*E1152</f>
        <v>10500</v>
      </c>
      <c r="N1152" s="641"/>
      <c r="O1152" s="642"/>
      <c r="P1152" s="643"/>
    </row>
    <row r="1153" spans="1:16" s="619" customFormat="1" ht="36" x14ac:dyDescent="0.2">
      <c r="A1153" s="625" t="s">
        <v>3518</v>
      </c>
      <c r="B1153" s="598" t="s">
        <v>1908</v>
      </c>
      <c r="C1153" s="625" t="s">
        <v>104</v>
      </c>
      <c r="D1153" s="626" t="s">
        <v>3545</v>
      </c>
      <c r="E1153" s="636">
        <v>1800</v>
      </c>
      <c r="F1153" s="637">
        <v>40705255</v>
      </c>
      <c r="G1153" s="638" t="s">
        <v>3546</v>
      </c>
      <c r="H1153" s="626" t="s">
        <v>2845</v>
      </c>
      <c r="I1153" s="638" t="s">
        <v>3532</v>
      </c>
      <c r="J1153" s="626" t="s">
        <v>3523</v>
      </c>
      <c r="K1153" s="639" t="s">
        <v>25</v>
      </c>
      <c r="L1153" s="640">
        <v>12</v>
      </c>
      <c r="M1153" s="636">
        <v>10800</v>
      </c>
      <c r="N1153" s="641" t="s">
        <v>25</v>
      </c>
      <c r="O1153" s="642">
        <v>6</v>
      </c>
      <c r="P1153" s="643">
        <v>21600</v>
      </c>
    </row>
    <row r="1154" spans="1:16" s="619" customFormat="1" ht="36" x14ac:dyDescent="0.2">
      <c r="A1154" s="625" t="s">
        <v>3518</v>
      </c>
      <c r="B1154" s="598" t="s">
        <v>1908</v>
      </c>
      <c r="C1154" s="625" t="s">
        <v>104</v>
      </c>
      <c r="D1154" s="626" t="s">
        <v>1949</v>
      </c>
      <c r="E1154" s="636">
        <v>1800</v>
      </c>
      <c r="F1154" s="637">
        <v>33589355</v>
      </c>
      <c r="G1154" s="638" t="s">
        <v>3547</v>
      </c>
      <c r="H1154" s="626" t="s">
        <v>2845</v>
      </c>
      <c r="I1154" s="638" t="s">
        <v>3532</v>
      </c>
      <c r="J1154" s="626" t="s">
        <v>3523</v>
      </c>
      <c r="K1154" s="639" t="s">
        <v>25</v>
      </c>
      <c r="L1154" s="640">
        <v>12</v>
      </c>
      <c r="M1154" s="636">
        <v>10800</v>
      </c>
      <c r="N1154" s="641" t="s">
        <v>25</v>
      </c>
      <c r="O1154" s="642">
        <v>6</v>
      </c>
      <c r="P1154" s="643">
        <v>21600</v>
      </c>
    </row>
    <row r="1155" spans="1:16" s="619" customFormat="1" ht="36" x14ac:dyDescent="0.2">
      <c r="A1155" s="625" t="s">
        <v>3518</v>
      </c>
      <c r="B1155" s="598" t="s">
        <v>1908</v>
      </c>
      <c r="C1155" s="625" t="s">
        <v>104</v>
      </c>
      <c r="D1155" s="626" t="s">
        <v>3548</v>
      </c>
      <c r="E1155" s="636">
        <v>1100</v>
      </c>
      <c r="F1155" s="646" t="s">
        <v>3549</v>
      </c>
      <c r="G1155" s="638" t="s">
        <v>3550</v>
      </c>
      <c r="H1155" s="626" t="s">
        <v>3551</v>
      </c>
      <c r="I1155" s="638"/>
      <c r="J1155" s="626"/>
      <c r="K1155" s="639" t="s">
        <v>25</v>
      </c>
      <c r="L1155" s="640">
        <v>3</v>
      </c>
      <c r="M1155" s="636">
        <f>+L1155*E1155</f>
        <v>3300</v>
      </c>
      <c r="N1155" s="641" t="s">
        <v>25</v>
      </c>
      <c r="O1155" s="642">
        <v>1</v>
      </c>
      <c r="P1155" s="643">
        <f>+O1155*E1155</f>
        <v>1100</v>
      </c>
    </row>
    <row r="1156" spans="1:16" s="619" customFormat="1" ht="36" x14ac:dyDescent="0.2">
      <c r="A1156" s="625" t="s">
        <v>3518</v>
      </c>
      <c r="B1156" s="598" t="s">
        <v>1908</v>
      </c>
      <c r="C1156" s="625" t="s">
        <v>104</v>
      </c>
      <c r="D1156" s="626" t="s">
        <v>3548</v>
      </c>
      <c r="E1156" s="636">
        <v>1100</v>
      </c>
      <c r="F1156" s="637">
        <v>42523761</v>
      </c>
      <c r="G1156" s="638" t="s">
        <v>3552</v>
      </c>
      <c r="H1156" s="626" t="s">
        <v>3551</v>
      </c>
      <c r="I1156" s="638"/>
      <c r="J1156" s="626"/>
      <c r="K1156" s="639" t="s">
        <v>25</v>
      </c>
      <c r="L1156" s="640">
        <v>3</v>
      </c>
      <c r="M1156" s="636">
        <f>+L1156*E1156</f>
        <v>3300</v>
      </c>
      <c r="N1156" s="641" t="s">
        <v>25</v>
      </c>
      <c r="O1156" s="642">
        <v>1</v>
      </c>
      <c r="P1156" s="643">
        <f t="shared" ref="P1156:P1158" si="0">+O1156*E1156</f>
        <v>1100</v>
      </c>
    </row>
    <row r="1157" spans="1:16" s="619" customFormat="1" ht="36" x14ac:dyDescent="0.2">
      <c r="A1157" s="625" t="s">
        <v>3518</v>
      </c>
      <c r="B1157" s="598" t="s">
        <v>1908</v>
      </c>
      <c r="C1157" s="625" t="s">
        <v>104</v>
      </c>
      <c r="D1157" s="626" t="s">
        <v>937</v>
      </c>
      <c r="E1157" s="636">
        <v>1100</v>
      </c>
      <c r="F1157" s="637">
        <v>33586508</v>
      </c>
      <c r="G1157" s="638" t="s">
        <v>3553</v>
      </c>
      <c r="H1157" s="626" t="s">
        <v>3551</v>
      </c>
      <c r="I1157" s="638"/>
      <c r="J1157" s="626"/>
      <c r="K1157" s="639" t="s">
        <v>25</v>
      </c>
      <c r="L1157" s="640">
        <v>3</v>
      </c>
      <c r="M1157" s="636">
        <f>+L1157*E1157</f>
        <v>3300</v>
      </c>
      <c r="N1157" s="641" t="s">
        <v>25</v>
      </c>
      <c r="O1157" s="642">
        <v>1</v>
      </c>
      <c r="P1157" s="643">
        <f t="shared" si="0"/>
        <v>1100</v>
      </c>
    </row>
    <row r="1158" spans="1:16" s="619" customFormat="1" ht="36" x14ac:dyDescent="0.2">
      <c r="A1158" s="625" t="s">
        <v>3518</v>
      </c>
      <c r="B1158" s="598" t="s">
        <v>1908</v>
      </c>
      <c r="C1158" s="625" t="s">
        <v>104</v>
      </c>
      <c r="D1158" s="626" t="s">
        <v>3554</v>
      </c>
      <c r="E1158" s="636">
        <v>1700</v>
      </c>
      <c r="F1158" s="637">
        <v>73479032</v>
      </c>
      <c r="G1158" s="638" t="s">
        <v>3555</v>
      </c>
      <c r="H1158" s="626" t="s">
        <v>2011</v>
      </c>
      <c r="I1158" s="638" t="s">
        <v>3532</v>
      </c>
      <c r="J1158" s="626" t="s">
        <v>3523</v>
      </c>
      <c r="K1158" s="639" t="s">
        <v>25</v>
      </c>
      <c r="L1158" s="640">
        <v>3</v>
      </c>
      <c r="M1158" s="636">
        <f>+L1158*E1158</f>
        <v>5100</v>
      </c>
      <c r="N1158" s="641" t="s">
        <v>25</v>
      </c>
      <c r="O1158" s="642">
        <v>1</v>
      </c>
      <c r="P1158" s="643">
        <f t="shared" si="0"/>
        <v>1700</v>
      </c>
    </row>
    <row r="1159" spans="1:16" s="619" customFormat="1" ht="36" x14ac:dyDescent="0.2">
      <c r="A1159" s="625" t="s">
        <v>3518</v>
      </c>
      <c r="B1159" s="598" t="s">
        <v>1908</v>
      </c>
      <c r="C1159" s="638" t="s">
        <v>3556</v>
      </c>
      <c r="D1159" s="626" t="s">
        <v>3545</v>
      </c>
      <c r="E1159" s="647">
        <v>1500</v>
      </c>
      <c r="F1159" s="626">
        <v>42373794</v>
      </c>
      <c r="G1159" s="648" t="s">
        <v>3557</v>
      </c>
      <c r="H1159" s="649" t="s">
        <v>3545</v>
      </c>
      <c r="I1159" s="648" t="s">
        <v>1931</v>
      </c>
      <c r="J1159" s="626" t="s">
        <v>1931</v>
      </c>
      <c r="K1159" s="639" t="s">
        <v>3558</v>
      </c>
      <c r="L1159" s="640">
        <v>13</v>
      </c>
      <c r="M1159" s="650">
        <v>9000</v>
      </c>
      <c r="N1159" s="641"/>
      <c r="O1159" s="642"/>
      <c r="P1159" s="651">
        <v>7800</v>
      </c>
    </row>
    <row r="1160" spans="1:16" s="619" customFormat="1" ht="36" x14ac:dyDescent="0.2">
      <c r="A1160" s="625" t="s">
        <v>3518</v>
      </c>
      <c r="B1160" s="598" t="s">
        <v>1908</v>
      </c>
      <c r="C1160" s="638" t="s">
        <v>3556</v>
      </c>
      <c r="D1160" s="626" t="s">
        <v>3559</v>
      </c>
      <c r="E1160" s="647">
        <v>1500</v>
      </c>
      <c r="F1160" s="626">
        <v>40802860</v>
      </c>
      <c r="G1160" s="638" t="s">
        <v>3560</v>
      </c>
      <c r="H1160" s="626"/>
      <c r="I1160" s="638"/>
      <c r="J1160" s="626"/>
      <c r="K1160" s="639" t="s">
        <v>3561</v>
      </c>
      <c r="L1160" s="640">
        <v>16</v>
      </c>
      <c r="M1160" s="647">
        <v>3893</v>
      </c>
      <c r="N1160" s="641"/>
      <c r="O1160" s="642"/>
      <c r="P1160" s="651" t="s">
        <v>3562</v>
      </c>
    </row>
    <row r="1161" spans="1:16" s="619" customFormat="1" ht="36" x14ac:dyDescent="0.2">
      <c r="A1161" s="625" t="s">
        <v>3518</v>
      </c>
      <c r="B1161" s="598" t="s">
        <v>1908</v>
      </c>
      <c r="C1161" s="638" t="s">
        <v>3556</v>
      </c>
      <c r="D1161" s="626" t="s">
        <v>1996</v>
      </c>
      <c r="E1161" s="647">
        <v>1500</v>
      </c>
      <c r="F1161" s="652">
        <v>33592677</v>
      </c>
      <c r="G1161" s="638" t="s">
        <v>3563</v>
      </c>
      <c r="H1161" s="626" t="s">
        <v>1996</v>
      </c>
      <c r="I1161" s="638" t="s">
        <v>1919</v>
      </c>
      <c r="J1161" s="626" t="s">
        <v>1996</v>
      </c>
      <c r="K1161" s="639" t="s">
        <v>3564</v>
      </c>
      <c r="L1161" s="640">
        <v>115</v>
      </c>
      <c r="M1161" s="647">
        <v>7500</v>
      </c>
      <c r="N1161" s="641"/>
      <c r="O1161" s="642"/>
      <c r="P1161" s="651" t="s">
        <v>3562</v>
      </c>
    </row>
    <row r="1162" spans="1:16" s="619" customFormat="1" ht="36" x14ac:dyDescent="0.2">
      <c r="A1162" s="625" t="s">
        <v>3518</v>
      </c>
      <c r="B1162" s="598" t="s">
        <v>1908</v>
      </c>
      <c r="C1162" s="638" t="s">
        <v>3556</v>
      </c>
      <c r="D1162" s="626" t="s">
        <v>3565</v>
      </c>
      <c r="E1162" s="647">
        <v>4000</v>
      </c>
      <c r="F1162" s="626">
        <v>46758325</v>
      </c>
      <c r="G1162" s="638" t="s">
        <v>3566</v>
      </c>
      <c r="H1162" s="626" t="s">
        <v>3394</v>
      </c>
      <c r="I1162" s="638" t="s">
        <v>3567</v>
      </c>
      <c r="J1162" s="626" t="s">
        <v>3394</v>
      </c>
      <c r="K1162" s="639" t="s">
        <v>3568</v>
      </c>
      <c r="L1162" s="640">
        <v>12</v>
      </c>
      <c r="M1162" s="647">
        <v>28232.26</v>
      </c>
      <c r="N1162" s="641"/>
      <c r="O1162" s="642"/>
      <c r="P1162" s="651">
        <v>20266.650000000001</v>
      </c>
    </row>
    <row r="1163" spans="1:16" s="619" customFormat="1" ht="36" x14ac:dyDescent="0.2">
      <c r="A1163" s="625" t="s">
        <v>3518</v>
      </c>
      <c r="B1163" s="598" t="s">
        <v>1908</v>
      </c>
      <c r="C1163" s="638" t="s">
        <v>3556</v>
      </c>
      <c r="D1163" s="626" t="s">
        <v>3569</v>
      </c>
      <c r="E1163" s="647">
        <v>880</v>
      </c>
      <c r="F1163" s="626">
        <v>75604369</v>
      </c>
      <c r="G1163" s="638" t="s">
        <v>3570</v>
      </c>
      <c r="H1163" s="626"/>
      <c r="I1163" s="638"/>
      <c r="J1163" s="626"/>
      <c r="K1163" s="639" t="s">
        <v>3571</v>
      </c>
      <c r="L1163" s="640">
        <v>75</v>
      </c>
      <c r="M1163" s="647">
        <v>2530</v>
      </c>
      <c r="N1163" s="641"/>
      <c r="O1163" s="653"/>
      <c r="P1163" s="651" t="s">
        <v>3562</v>
      </c>
    </row>
    <row r="1164" spans="1:16" s="619" customFormat="1" ht="36" x14ac:dyDescent="0.2">
      <c r="A1164" s="625" t="s">
        <v>3518</v>
      </c>
      <c r="B1164" s="598" t="s">
        <v>1908</v>
      </c>
      <c r="C1164" s="638" t="s">
        <v>3556</v>
      </c>
      <c r="D1164" s="626" t="s">
        <v>3572</v>
      </c>
      <c r="E1164" s="647">
        <v>1700</v>
      </c>
      <c r="F1164" s="626">
        <v>42456992</v>
      </c>
      <c r="G1164" s="638" t="s">
        <v>3573</v>
      </c>
      <c r="H1164" s="626"/>
      <c r="I1164" s="638"/>
      <c r="J1164" s="626"/>
      <c r="K1164" s="639" t="s">
        <v>3574</v>
      </c>
      <c r="L1164" s="640">
        <v>96</v>
      </c>
      <c r="M1164" s="647">
        <v>6371</v>
      </c>
      <c r="N1164" s="641"/>
      <c r="O1164" s="653"/>
      <c r="P1164" s="651" t="s">
        <v>3562</v>
      </c>
    </row>
    <row r="1165" spans="1:16" s="619" customFormat="1" ht="36" x14ac:dyDescent="0.2">
      <c r="A1165" s="625" t="s">
        <v>3518</v>
      </c>
      <c r="B1165" s="598" t="s">
        <v>1908</v>
      </c>
      <c r="C1165" s="638" t="s">
        <v>3556</v>
      </c>
      <c r="D1165" s="626" t="s">
        <v>3545</v>
      </c>
      <c r="E1165" s="647">
        <v>1300</v>
      </c>
      <c r="F1165" s="626">
        <v>42144591</v>
      </c>
      <c r="G1165" s="638" t="s">
        <v>3575</v>
      </c>
      <c r="H1165" s="626" t="s">
        <v>3545</v>
      </c>
      <c r="I1165" s="638" t="s">
        <v>1931</v>
      </c>
      <c r="J1165" s="626" t="s">
        <v>1931</v>
      </c>
      <c r="K1165" s="639" t="s">
        <v>3576</v>
      </c>
      <c r="L1165" s="640">
        <v>87</v>
      </c>
      <c r="M1165" s="650">
        <v>6371</v>
      </c>
      <c r="N1165" s="641"/>
      <c r="O1165" s="653"/>
      <c r="P1165" s="651" t="s">
        <v>3562</v>
      </c>
    </row>
    <row r="1166" spans="1:16" s="619" customFormat="1" ht="36" x14ac:dyDescent="0.2">
      <c r="A1166" s="625" t="s">
        <v>3518</v>
      </c>
      <c r="B1166" s="598" t="s">
        <v>1908</v>
      </c>
      <c r="C1166" s="638" t="s">
        <v>3556</v>
      </c>
      <c r="D1166" s="626" t="s">
        <v>3577</v>
      </c>
      <c r="E1166" s="647">
        <v>3500</v>
      </c>
      <c r="F1166" s="626">
        <v>16760995</v>
      </c>
      <c r="G1166" s="638" t="s">
        <v>3578</v>
      </c>
      <c r="H1166" s="626"/>
      <c r="I1166" s="638"/>
      <c r="J1166" s="626"/>
      <c r="K1166" s="639" t="s">
        <v>3579</v>
      </c>
      <c r="L1166" s="640">
        <v>29</v>
      </c>
      <c r="M1166" s="650">
        <v>35000</v>
      </c>
      <c r="N1166" s="654"/>
      <c r="O1166" s="653"/>
      <c r="P1166" s="655">
        <v>36633.33</v>
      </c>
    </row>
    <row r="1167" spans="1:16" s="619" customFormat="1" ht="36" x14ac:dyDescent="0.2">
      <c r="A1167" s="625" t="s">
        <v>3518</v>
      </c>
      <c r="B1167" s="598" t="s">
        <v>1908</v>
      </c>
      <c r="C1167" s="638" t="s">
        <v>3556</v>
      </c>
      <c r="D1167" s="626"/>
      <c r="E1167" s="647">
        <v>1100</v>
      </c>
      <c r="F1167" s="626">
        <v>42560606</v>
      </c>
      <c r="G1167" s="638" t="s">
        <v>3580</v>
      </c>
      <c r="H1167" s="626"/>
      <c r="I1167" s="638"/>
      <c r="J1167" s="626"/>
      <c r="K1167" s="639">
        <v>5</v>
      </c>
      <c r="L1167" s="654"/>
      <c r="M1167" s="647" t="s">
        <v>3581</v>
      </c>
      <c r="N1167" s="654"/>
      <c r="O1167" s="653"/>
      <c r="P1167" s="655">
        <v>1100</v>
      </c>
    </row>
    <row r="1168" spans="1:16" s="619" customFormat="1" ht="36" x14ac:dyDescent="0.2">
      <c r="A1168" s="625" t="s">
        <v>3518</v>
      </c>
      <c r="B1168" s="598" t="s">
        <v>1908</v>
      </c>
      <c r="C1168" s="638" t="s">
        <v>3556</v>
      </c>
      <c r="D1168" s="626"/>
      <c r="E1168" s="647">
        <v>1200</v>
      </c>
      <c r="F1168" s="626">
        <v>70436958</v>
      </c>
      <c r="G1168" s="638" t="s">
        <v>3582</v>
      </c>
      <c r="H1168" s="626"/>
      <c r="I1168" s="638"/>
      <c r="J1168" s="626"/>
      <c r="K1168" s="639">
        <v>20</v>
      </c>
      <c r="L1168" s="654"/>
      <c r="M1168" s="647"/>
      <c r="N1168" s="654"/>
      <c r="O1168" s="653"/>
      <c r="P1168" s="651">
        <v>1200</v>
      </c>
    </row>
    <row r="1169" spans="1:16" s="619" customFormat="1" ht="36" x14ac:dyDescent="0.2">
      <c r="A1169" s="625" t="s">
        <v>3518</v>
      </c>
      <c r="B1169" s="598" t="s">
        <v>1908</v>
      </c>
      <c r="C1169" s="638" t="s">
        <v>3556</v>
      </c>
      <c r="D1169" s="626" t="s">
        <v>3583</v>
      </c>
      <c r="E1169" s="647">
        <v>1600</v>
      </c>
      <c r="F1169" s="626">
        <v>76388447</v>
      </c>
      <c r="G1169" s="638" t="s">
        <v>3584</v>
      </c>
      <c r="H1169" s="626" t="s">
        <v>2826</v>
      </c>
      <c r="I1169" s="638" t="s">
        <v>1931</v>
      </c>
      <c r="J1169" s="626" t="s">
        <v>1931</v>
      </c>
      <c r="K1169" s="639" t="s">
        <v>3585</v>
      </c>
      <c r="L1169" s="641">
        <v>48</v>
      </c>
      <c r="M1169" s="650">
        <v>16480</v>
      </c>
      <c r="N1169" s="654"/>
      <c r="O1169" s="653"/>
      <c r="P1169" s="651">
        <v>10740</v>
      </c>
    </row>
    <row r="1170" spans="1:16" s="619" customFormat="1" ht="36" x14ac:dyDescent="0.2">
      <c r="A1170" s="625" t="s">
        <v>3518</v>
      </c>
      <c r="B1170" s="598" t="s">
        <v>1908</v>
      </c>
      <c r="C1170" s="638" t="s">
        <v>3556</v>
      </c>
      <c r="D1170" s="626" t="s">
        <v>3583</v>
      </c>
      <c r="E1170" s="647">
        <v>1900</v>
      </c>
      <c r="F1170" s="626">
        <v>71053274</v>
      </c>
      <c r="G1170" s="638" t="s">
        <v>3586</v>
      </c>
      <c r="H1170" s="626" t="s">
        <v>3587</v>
      </c>
      <c r="I1170" s="638" t="s">
        <v>3587</v>
      </c>
      <c r="J1170" s="626" t="s">
        <v>3587</v>
      </c>
      <c r="K1170" s="639" t="s">
        <v>3588</v>
      </c>
      <c r="L1170" s="641" t="s">
        <v>3589</v>
      </c>
      <c r="M1170" s="647">
        <v>5700</v>
      </c>
      <c r="N1170" s="654"/>
      <c r="O1170" s="653"/>
      <c r="P1170" s="651" t="s">
        <v>3562</v>
      </c>
    </row>
    <row r="1171" spans="1:16" s="619" customFormat="1" ht="36" x14ac:dyDescent="0.2">
      <c r="A1171" s="625" t="s">
        <v>3518</v>
      </c>
      <c r="B1171" s="598" t="s">
        <v>1908</v>
      </c>
      <c r="C1171" s="638" t="s">
        <v>3556</v>
      </c>
      <c r="D1171" s="626" t="s">
        <v>3583</v>
      </c>
      <c r="E1171" s="647">
        <v>1800</v>
      </c>
      <c r="F1171" s="626">
        <v>43568894</v>
      </c>
      <c r="G1171" s="638" t="s">
        <v>3590</v>
      </c>
      <c r="H1171" s="626" t="s">
        <v>1931</v>
      </c>
      <c r="I1171" s="638" t="s">
        <v>1931</v>
      </c>
      <c r="J1171" s="626" t="s">
        <v>1931</v>
      </c>
      <c r="K1171" s="639" t="s">
        <v>3591</v>
      </c>
      <c r="L1171" s="641" t="s">
        <v>3592</v>
      </c>
      <c r="M1171" s="650">
        <v>16200</v>
      </c>
      <c r="N1171" s="654"/>
      <c r="O1171" s="653"/>
      <c r="P1171" s="655">
        <v>9880</v>
      </c>
    </row>
    <row r="1172" spans="1:16" s="619" customFormat="1" ht="36" x14ac:dyDescent="0.2">
      <c r="A1172" s="625" t="s">
        <v>3518</v>
      </c>
      <c r="B1172" s="598" t="s">
        <v>1908</v>
      </c>
      <c r="C1172" s="638" t="s">
        <v>3556</v>
      </c>
      <c r="D1172" s="626" t="s">
        <v>3569</v>
      </c>
      <c r="E1172" s="647">
        <v>1500</v>
      </c>
      <c r="F1172" s="626">
        <v>72931134</v>
      </c>
      <c r="G1172" s="656" t="s">
        <v>3593</v>
      </c>
      <c r="H1172" s="626" t="s">
        <v>3594</v>
      </c>
      <c r="I1172" s="638" t="s">
        <v>3587</v>
      </c>
      <c r="J1172" s="626" t="s">
        <v>3587</v>
      </c>
      <c r="K1172" s="639" t="s">
        <v>3595</v>
      </c>
      <c r="L1172" s="641" t="s">
        <v>3596</v>
      </c>
      <c r="M1172" s="650">
        <v>12800</v>
      </c>
      <c r="N1172" s="654"/>
      <c r="O1172" s="653"/>
      <c r="P1172" s="655">
        <v>3250</v>
      </c>
    </row>
    <row r="1173" spans="1:16" s="619" customFormat="1" ht="36" x14ac:dyDescent="0.2">
      <c r="A1173" s="625" t="s">
        <v>3518</v>
      </c>
      <c r="B1173" s="598" t="s">
        <v>1908</v>
      </c>
      <c r="C1173" s="638" t="s">
        <v>3556</v>
      </c>
      <c r="D1173" s="626" t="s">
        <v>3583</v>
      </c>
      <c r="E1173" s="647">
        <v>1500</v>
      </c>
      <c r="F1173" s="652">
        <v>70999957</v>
      </c>
      <c r="G1173" s="656" t="s">
        <v>3597</v>
      </c>
      <c r="H1173" s="626" t="s">
        <v>3587</v>
      </c>
      <c r="I1173" s="638" t="s">
        <v>3587</v>
      </c>
      <c r="J1173" s="626" t="s">
        <v>3587</v>
      </c>
      <c r="K1173" s="639" t="s">
        <v>3598</v>
      </c>
      <c r="L1173" s="641" t="s">
        <v>3599</v>
      </c>
      <c r="M1173" s="650">
        <v>8450</v>
      </c>
      <c r="N1173" s="654"/>
      <c r="O1173" s="653"/>
      <c r="P1173" s="655">
        <v>12400</v>
      </c>
    </row>
    <row r="1174" spans="1:16" s="619" customFormat="1" ht="36" x14ac:dyDescent="0.2">
      <c r="A1174" s="625" t="s">
        <v>3518</v>
      </c>
      <c r="B1174" s="598" t="s">
        <v>1908</v>
      </c>
      <c r="C1174" s="638" t="s">
        <v>3556</v>
      </c>
      <c r="D1174" s="626" t="s">
        <v>3600</v>
      </c>
      <c r="E1174" s="647">
        <v>1500</v>
      </c>
      <c r="F1174" s="652">
        <v>76545252</v>
      </c>
      <c r="G1174" s="656" t="s">
        <v>3601</v>
      </c>
      <c r="H1174" s="626"/>
      <c r="I1174" s="638"/>
      <c r="J1174" s="626"/>
      <c r="K1174" s="639" t="s">
        <v>3602</v>
      </c>
      <c r="L1174" s="641" t="s">
        <v>3603</v>
      </c>
      <c r="M1174" s="650">
        <v>4500</v>
      </c>
      <c r="N1174" s="654"/>
      <c r="O1174" s="653"/>
      <c r="P1174" s="651" t="s">
        <v>3581</v>
      </c>
    </row>
    <row r="1175" spans="1:16" s="619" customFormat="1" ht="36" x14ac:dyDescent="0.2">
      <c r="A1175" s="625" t="s">
        <v>3518</v>
      </c>
      <c r="B1175" s="598" t="s">
        <v>1908</v>
      </c>
      <c r="C1175" s="638" t="s">
        <v>3556</v>
      </c>
      <c r="D1175" s="626" t="s">
        <v>3604</v>
      </c>
      <c r="E1175" s="647">
        <v>3000</v>
      </c>
      <c r="F1175" s="652">
        <v>43684747</v>
      </c>
      <c r="G1175" s="638" t="s">
        <v>3544</v>
      </c>
      <c r="H1175" s="626" t="s">
        <v>2946</v>
      </c>
      <c r="I1175" s="638" t="s">
        <v>3567</v>
      </c>
      <c r="J1175" s="626" t="s">
        <v>3567</v>
      </c>
      <c r="K1175" s="639" t="s">
        <v>3605</v>
      </c>
      <c r="L1175" s="641" t="s">
        <v>3579</v>
      </c>
      <c r="M1175" s="650">
        <v>9000</v>
      </c>
      <c r="N1175" s="654"/>
      <c r="O1175" s="653"/>
      <c r="P1175" s="651" t="s">
        <v>3581</v>
      </c>
    </row>
    <row r="1176" spans="1:16" s="619" customFormat="1" ht="36" x14ac:dyDescent="0.2">
      <c r="A1176" s="625" t="s">
        <v>3518</v>
      </c>
      <c r="B1176" s="598" t="s">
        <v>1908</v>
      </c>
      <c r="C1176" s="638" t="s">
        <v>3556</v>
      </c>
      <c r="D1176" s="626" t="s">
        <v>3606</v>
      </c>
      <c r="E1176" s="647">
        <v>1600</v>
      </c>
      <c r="F1176" s="626">
        <v>33594899</v>
      </c>
      <c r="G1176" s="656" t="s">
        <v>3607</v>
      </c>
      <c r="H1176" s="626" t="s">
        <v>1931</v>
      </c>
      <c r="I1176" s="638" t="s">
        <v>1931</v>
      </c>
      <c r="J1176" s="626" t="s">
        <v>1931</v>
      </c>
      <c r="K1176" s="639" t="s">
        <v>3608</v>
      </c>
      <c r="L1176" s="641" t="s">
        <v>3609</v>
      </c>
      <c r="M1176" s="650">
        <v>4800</v>
      </c>
      <c r="N1176" s="654"/>
      <c r="O1176" s="653"/>
      <c r="P1176" s="651" t="s">
        <v>3581</v>
      </c>
    </row>
    <row r="1177" spans="1:16" s="619" customFormat="1" ht="36" x14ac:dyDescent="0.2">
      <c r="A1177" s="625" t="s">
        <v>3518</v>
      </c>
      <c r="B1177" s="598" t="s">
        <v>1908</v>
      </c>
      <c r="C1177" s="638" t="s">
        <v>3556</v>
      </c>
      <c r="D1177" s="626" t="s">
        <v>3606</v>
      </c>
      <c r="E1177" s="647">
        <v>1800</v>
      </c>
      <c r="F1177" s="626">
        <v>33568581</v>
      </c>
      <c r="G1177" s="656" t="s">
        <v>3610</v>
      </c>
      <c r="H1177" s="626" t="s">
        <v>1931</v>
      </c>
      <c r="I1177" s="638" t="s">
        <v>1931</v>
      </c>
      <c r="J1177" s="626" t="s">
        <v>1931</v>
      </c>
      <c r="K1177" s="639" t="s">
        <v>3611</v>
      </c>
      <c r="L1177" s="641" t="s">
        <v>3612</v>
      </c>
      <c r="M1177" s="650">
        <v>21600</v>
      </c>
      <c r="N1177" s="654"/>
      <c r="O1177" s="653"/>
      <c r="P1177" s="655">
        <v>21600</v>
      </c>
    </row>
    <row r="1178" spans="1:16" s="619" customFormat="1" ht="36" x14ac:dyDescent="0.2">
      <c r="A1178" s="625" t="s">
        <v>3518</v>
      </c>
      <c r="B1178" s="598" t="s">
        <v>1908</v>
      </c>
      <c r="C1178" s="638" t="s">
        <v>3556</v>
      </c>
      <c r="D1178" s="626" t="s">
        <v>3569</v>
      </c>
      <c r="E1178" s="647">
        <v>1250</v>
      </c>
      <c r="F1178" s="626">
        <v>33590170</v>
      </c>
      <c r="G1178" s="656" t="s">
        <v>3613</v>
      </c>
      <c r="H1178" s="626" t="s">
        <v>3614</v>
      </c>
      <c r="I1178" s="638" t="s">
        <v>3614</v>
      </c>
      <c r="J1178" s="626" t="s">
        <v>3614</v>
      </c>
      <c r="K1178" s="639" t="s">
        <v>3615</v>
      </c>
      <c r="L1178" s="641" t="s">
        <v>3616</v>
      </c>
      <c r="M1178" s="650">
        <v>15000</v>
      </c>
      <c r="N1178" s="654"/>
      <c r="O1178" s="653"/>
      <c r="P1178" s="655">
        <v>12600</v>
      </c>
    </row>
    <row r="1179" spans="1:16" s="619" customFormat="1" ht="36" x14ac:dyDescent="0.2">
      <c r="A1179" s="625" t="s">
        <v>3518</v>
      </c>
      <c r="B1179" s="598" t="s">
        <v>1908</v>
      </c>
      <c r="C1179" s="638" t="s">
        <v>3556</v>
      </c>
      <c r="D1179" s="626" t="s">
        <v>3569</v>
      </c>
      <c r="E1179" s="647">
        <v>1250</v>
      </c>
      <c r="F1179" s="626">
        <v>33593609</v>
      </c>
      <c r="G1179" s="656" t="s">
        <v>3617</v>
      </c>
      <c r="H1179" s="626" t="s">
        <v>3614</v>
      </c>
      <c r="I1179" s="638" t="s">
        <v>3614</v>
      </c>
      <c r="J1179" s="626" t="s">
        <v>3614</v>
      </c>
      <c r="K1179" s="639" t="s">
        <v>3618</v>
      </c>
      <c r="L1179" s="641" t="s">
        <v>3619</v>
      </c>
      <c r="M1179" s="650">
        <v>15000</v>
      </c>
      <c r="N1179" s="654"/>
      <c r="O1179" s="653"/>
      <c r="P1179" s="655">
        <v>12600</v>
      </c>
    </row>
    <row r="1180" spans="1:16" s="619" customFormat="1" ht="36" x14ac:dyDescent="0.2">
      <c r="A1180" s="625" t="s">
        <v>3518</v>
      </c>
      <c r="B1180" s="598" t="s">
        <v>1908</v>
      </c>
      <c r="C1180" s="638" t="s">
        <v>3556</v>
      </c>
      <c r="D1180" s="626" t="s">
        <v>3569</v>
      </c>
      <c r="E1180" s="647">
        <v>1150</v>
      </c>
      <c r="F1180" s="652">
        <v>46312679</v>
      </c>
      <c r="G1180" s="656" t="s">
        <v>3620</v>
      </c>
      <c r="H1180" s="626" t="s">
        <v>3614</v>
      </c>
      <c r="I1180" s="638" t="s">
        <v>3614</v>
      </c>
      <c r="J1180" s="626" t="s">
        <v>3614</v>
      </c>
      <c r="K1180" s="639" t="s">
        <v>3621</v>
      </c>
      <c r="L1180" s="641" t="s">
        <v>3622</v>
      </c>
      <c r="M1180" s="650">
        <v>13800</v>
      </c>
      <c r="N1180" s="654"/>
      <c r="O1180" s="653"/>
      <c r="P1180" s="655">
        <v>11400</v>
      </c>
    </row>
    <row r="1181" spans="1:16" s="619" customFormat="1" ht="36" x14ac:dyDescent="0.2">
      <c r="A1181" s="625" t="s">
        <v>3518</v>
      </c>
      <c r="B1181" s="598" t="s">
        <v>1908</v>
      </c>
      <c r="C1181" s="638" t="s">
        <v>3556</v>
      </c>
      <c r="D1181" s="626" t="s">
        <v>3569</v>
      </c>
      <c r="E1181" s="647">
        <v>1150</v>
      </c>
      <c r="F1181" s="652">
        <v>33590587</v>
      </c>
      <c r="G1181" s="656" t="s">
        <v>3623</v>
      </c>
      <c r="H1181" s="626" t="s">
        <v>3614</v>
      </c>
      <c r="I1181" s="638" t="s">
        <v>3614</v>
      </c>
      <c r="J1181" s="626" t="s">
        <v>3614</v>
      </c>
      <c r="K1181" s="639" t="s">
        <v>3624</v>
      </c>
      <c r="L1181" s="641" t="s">
        <v>3625</v>
      </c>
      <c r="M1181" s="650">
        <v>13800</v>
      </c>
      <c r="N1181" s="654"/>
      <c r="O1181" s="653"/>
      <c r="P1181" s="655">
        <v>11400</v>
      </c>
    </row>
    <row r="1182" spans="1:16" s="619" customFormat="1" ht="36" x14ac:dyDescent="0.2">
      <c r="A1182" s="625" t="s">
        <v>3518</v>
      </c>
      <c r="B1182" s="598" t="s">
        <v>1908</v>
      </c>
      <c r="C1182" s="638" t="s">
        <v>3556</v>
      </c>
      <c r="D1182" s="626" t="s">
        <v>3626</v>
      </c>
      <c r="E1182" s="647">
        <v>3000</v>
      </c>
      <c r="F1182" s="626">
        <v>70932677</v>
      </c>
      <c r="G1182" s="656" t="s">
        <v>3627</v>
      </c>
      <c r="H1182" s="626" t="s">
        <v>1416</v>
      </c>
      <c r="I1182" s="638" t="s">
        <v>3567</v>
      </c>
      <c r="J1182" s="626" t="s">
        <v>3567</v>
      </c>
      <c r="K1182" s="639" t="s">
        <v>3628</v>
      </c>
      <c r="L1182" s="641" t="s">
        <v>3629</v>
      </c>
      <c r="M1182" s="650">
        <v>21500</v>
      </c>
      <c r="N1182" s="654"/>
      <c r="O1182" s="653"/>
      <c r="P1182" s="655">
        <v>12333.34</v>
      </c>
    </row>
    <row r="1183" spans="1:16" s="619" customFormat="1" ht="36" x14ac:dyDescent="0.2">
      <c r="A1183" s="625" t="s">
        <v>3518</v>
      </c>
      <c r="B1183" s="598" t="s">
        <v>1908</v>
      </c>
      <c r="C1183" s="638" t="s">
        <v>3556</v>
      </c>
      <c r="D1183" s="626" t="s">
        <v>3630</v>
      </c>
      <c r="E1183" s="647">
        <v>1600</v>
      </c>
      <c r="F1183" s="626">
        <v>41548112</v>
      </c>
      <c r="G1183" s="656" t="s">
        <v>3631</v>
      </c>
      <c r="H1183" s="626" t="s">
        <v>1416</v>
      </c>
      <c r="I1183" s="638" t="s">
        <v>3567</v>
      </c>
      <c r="J1183" s="626" t="s">
        <v>3567</v>
      </c>
      <c r="K1183" s="639" t="s">
        <v>3591</v>
      </c>
      <c r="L1183" s="641"/>
      <c r="M1183" s="650">
        <v>3200</v>
      </c>
      <c r="N1183" s="654"/>
      <c r="O1183" s="653"/>
      <c r="P1183" s="655" t="s">
        <v>3581</v>
      </c>
    </row>
    <row r="1184" spans="1:16" s="619" customFormat="1" ht="36" x14ac:dyDescent="0.2">
      <c r="A1184" s="625" t="s">
        <v>3518</v>
      </c>
      <c r="B1184" s="598" t="s">
        <v>1908</v>
      </c>
      <c r="C1184" s="638" t="s">
        <v>3556</v>
      </c>
      <c r="D1184" s="626" t="s">
        <v>1949</v>
      </c>
      <c r="E1184" s="647">
        <v>1500</v>
      </c>
      <c r="F1184" s="626">
        <v>73214982</v>
      </c>
      <c r="G1184" s="656" t="s">
        <v>3632</v>
      </c>
      <c r="H1184" s="626" t="s">
        <v>3545</v>
      </c>
      <c r="I1184" s="638" t="s">
        <v>1931</v>
      </c>
      <c r="J1184" s="626" t="s">
        <v>1931</v>
      </c>
      <c r="K1184" s="639" t="s">
        <v>3633</v>
      </c>
      <c r="L1184" s="641"/>
      <c r="M1184" s="650">
        <v>3000</v>
      </c>
      <c r="N1184" s="654"/>
      <c r="O1184" s="653"/>
      <c r="P1184" s="655">
        <v>1800</v>
      </c>
    </row>
    <row r="1185" spans="1:16" s="619" customFormat="1" ht="36" x14ac:dyDescent="0.2">
      <c r="A1185" s="625" t="s">
        <v>3518</v>
      </c>
      <c r="B1185" s="598" t="s">
        <v>1908</v>
      </c>
      <c r="C1185" s="638" t="s">
        <v>3556</v>
      </c>
      <c r="D1185" s="626" t="s">
        <v>3606</v>
      </c>
      <c r="E1185" s="647">
        <v>1800</v>
      </c>
      <c r="F1185" s="626">
        <v>46736010</v>
      </c>
      <c r="G1185" s="656" t="s">
        <v>3634</v>
      </c>
      <c r="H1185" s="626" t="s">
        <v>1931</v>
      </c>
      <c r="I1185" s="638" t="s">
        <v>1931</v>
      </c>
      <c r="J1185" s="626" t="s">
        <v>1931</v>
      </c>
      <c r="K1185" s="639" t="s">
        <v>3635</v>
      </c>
      <c r="L1185" s="641"/>
      <c r="M1185" s="650">
        <v>11700</v>
      </c>
      <c r="N1185" s="654"/>
      <c r="O1185" s="653"/>
      <c r="P1185" s="655">
        <v>8000</v>
      </c>
    </row>
    <row r="1186" spans="1:16" s="619" customFormat="1" ht="36" x14ac:dyDescent="0.2">
      <c r="A1186" s="625" t="s">
        <v>3518</v>
      </c>
      <c r="B1186" s="598" t="s">
        <v>1908</v>
      </c>
      <c r="C1186" s="638" t="s">
        <v>3556</v>
      </c>
      <c r="D1186" s="626" t="s">
        <v>3636</v>
      </c>
      <c r="E1186" s="647">
        <v>3000</v>
      </c>
      <c r="F1186" s="626">
        <v>42865291</v>
      </c>
      <c r="G1186" s="656" t="s">
        <v>3536</v>
      </c>
      <c r="H1186" s="626" t="s">
        <v>3394</v>
      </c>
      <c r="I1186" s="638" t="s">
        <v>3567</v>
      </c>
      <c r="J1186" s="626" t="s">
        <v>3567</v>
      </c>
      <c r="K1186" s="639" t="s">
        <v>3637</v>
      </c>
      <c r="L1186" s="641"/>
      <c r="M1186" s="650">
        <v>18000</v>
      </c>
      <c r="N1186" s="654"/>
      <c r="O1186" s="653"/>
      <c r="P1186" s="655">
        <v>4000</v>
      </c>
    </row>
    <row r="1187" spans="1:16" s="619" customFormat="1" ht="36" x14ac:dyDescent="0.2">
      <c r="A1187" s="625" t="s">
        <v>3518</v>
      </c>
      <c r="B1187" s="598" t="s">
        <v>1908</v>
      </c>
      <c r="C1187" s="638" t="s">
        <v>3556</v>
      </c>
      <c r="D1187" s="626" t="s">
        <v>3638</v>
      </c>
      <c r="E1187" s="647">
        <v>3000</v>
      </c>
      <c r="F1187" s="626">
        <v>44591046</v>
      </c>
      <c r="G1187" s="656" t="s">
        <v>3639</v>
      </c>
      <c r="H1187" s="626" t="s">
        <v>3394</v>
      </c>
      <c r="I1187" s="638" t="s">
        <v>3567</v>
      </c>
      <c r="J1187" s="626" t="s">
        <v>3567</v>
      </c>
      <c r="K1187" s="639"/>
      <c r="L1187" s="641" t="s">
        <v>3640</v>
      </c>
      <c r="M1187" s="650">
        <v>21000</v>
      </c>
      <c r="N1187" s="654"/>
      <c r="O1187" s="653"/>
      <c r="P1187" s="655">
        <v>15400</v>
      </c>
    </row>
    <row r="1188" spans="1:16" s="619" customFormat="1" ht="36" x14ac:dyDescent="0.2">
      <c r="A1188" s="625" t="s">
        <v>3518</v>
      </c>
      <c r="B1188" s="598" t="s">
        <v>1908</v>
      </c>
      <c r="C1188" s="638" t="s">
        <v>3556</v>
      </c>
      <c r="D1188" s="626" t="s">
        <v>3641</v>
      </c>
      <c r="E1188" s="647">
        <v>2500</v>
      </c>
      <c r="F1188" s="626">
        <v>61478541</v>
      </c>
      <c r="G1188" s="656" t="s">
        <v>3642</v>
      </c>
      <c r="H1188" s="626" t="s">
        <v>3394</v>
      </c>
      <c r="I1188" s="638" t="s">
        <v>3394</v>
      </c>
      <c r="J1188" s="626" t="s">
        <v>3394</v>
      </c>
      <c r="K1188" s="639" t="s">
        <v>3643</v>
      </c>
      <c r="L1188" s="641" t="s">
        <v>3644</v>
      </c>
      <c r="M1188" s="650">
        <v>17167</v>
      </c>
      <c r="N1188" s="654"/>
      <c r="O1188" s="653"/>
      <c r="P1188" s="655">
        <v>7500</v>
      </c>
    </row>
    <row r="1189" spans="1:16" s="619" customFormat="1" ht="36" x14ac:dyDescent="0.2">
      <c r="A1189" s="625" t="s">
        <v>3518</v>
      </c>
      <c r="B1189" s="598" t="s">
        <v>1908</v>
      </c>
      <c r="C1189" s="638" t="s">
        <v>3556</v>
      </c>
      <c r="D1189" s="626" t="s">
        <v>3645</v>
      </c>
      <c r="E1189" s="647">
        <v>3000</v>
      </c>
      <c r="F1189" s="626">
        <v>47191140</v>
      </c>
      <c r="G1189" s="656" t="s">
        <v>3646</v>
      </c>
      <c r="H1189" s="626" t="s">
        <v>3394</v>
      </c>
      <c r="I1189" s="638" t="s">
        <v>3394</v>
      </c>
      <c r="J1189" s="626" t="s">
        <v>3394</v>
      </c>
      <c r="K1189" s="639" t="s">
        <v>3647</v>
      </c>
      <c r="L1189" s="641" t="s">
        <v>3648</v>
      </c>
      <c r="M1189" s="650">
        <v>12000</v>
      </c>
      <c r="N1189" s="654"/>
      <c r="O1189" s="653"/>
      <c r="P1189" s="655">
        <v>13833.34</v>
      </c>
    </row>
    <row r="1190" spans="1:16" s="619" customFormat="1" ht="36" x14ac:dyDescent="0.2">
      <c r="A1190" s="625" t="s">
        <v>3518</v>
      </c>
      <c r="B1190" s="598" t="s">
        <v>1908</v>
      </c>
      <c r="C1190" s="638" t="s">
        <v>3556</v>
      </c>
      <c r="D1190" s="626" t="s">
        <v>3649</v>
      </c>
      <c r="E1190" s="647">
        <v>2500</v>
      </c>
      <c r="F1190" s="626">
        <v>72926342</v>
      </c>
      <c r="G1190" s="656" t="s">
        <v>3650</v>
      </c>
      <c r="H1190" s="626" t="s">
        <v>3651</v>
      </c>
      <c r="I1190" s="638" t="s">
        <v>3394</v>
      </c>
      <c r="J1190" s="626" t="s">
        <v>3394</v>
      </c>
      <c r="K1190" s="639" t="s">
        <v>3652</v>
      </c>
      <c r="L1190" s="641" t="s">
        <v>3653</v>
      </c>
      <c r="M1190" s="650">
        <v>20166.66</v>
      </c>
      <c r="N1190" s="654"/>
      <c r="O1190" s="653"/>
      <c r="P1190" s="655">
        <v>10800</v>
      </c>
    </row>
    <row r="1191" spans="1:16" s="619" customFormat="1" ht="36" x14ac:dyDescent="0.2">
      <c r="A1191" s="625" t="s">
        <v>3518</v>
      </c>
      <c r="B1191" s="598" t="s">
        <v>1908</v>
      </c>
      <c r="C1191" s="638" t="s">
        <v>3556</v>
      </c>
      <c r="D1191" s="626"/>
      <c r="E1191" s="647">
        <v>800</v>
      </c>
      <c r="F1191" s="626">
        <v>46055099</v>
      </c>
      <c r="G1191" s="656" t="s">
        <v>3654</v>
      </c>
      <c r="H1191" s="626"/>
      <c r="I1191" s="638"/>
      <c r="J1191" s="626"/>
      <c r="K1191" s="639" t="s">
        <v>3655</v>
      </c>
      <c r="L1191" s="641" t="s">
        <v>3656</v>
      </c>
      <c r="M1191" s="650">
        <v>2800</v>
      </c>
      <c r="N1191" s="654"/>
      <c r="O1191" s="653"/>
      <c r="P1191" s="655">
        <v>17999.96</v>
      </c>
    </row>
    <row r="1192" spans="1:16" s="619" customFormat="1" ht="36" x14ac:dyDescent="0.2">
      <c r="A1192" s="625" t="s">
        <v>3518</v>
      </c>
      <c r="B1192" s="598" t="s">
        <v>1908</v>
      </c>
      <c r="C1192" s="638" t="s">
        <v>3556</v>
      </c>
      <c r="D1192" s="626" t="s">
        <v>3657</v>
      </c>
      <c r="E1192" s="647">
        <v>1800</v>
      </c>
      <c r="F1192" s="626">
        <v>41848946</v>
      </c>
      <c r="G1192" s="656" t="s">
        <v>3658</v>
      </c>
      <c r="H1192" s="626" t="s">
        <v>1931</v>
      </c>
      <c r="I1192" s="638" t="s">
        <v>1931</v>
      </c>
      <c r="J1192" s="626" t="s">
        <v>1931</v>
      </c>
      <c r="K1192" s="639"/>
      <c r="L1192" s="641" t="s">
        <v>3659</v>
      </c>
      <c r="M1192" s="650" t="s">
        <v>3562</v>
      </c>
      <c r="N1192" s="654"/>
      <c r="O1192" s="653"/>
      <c r="P1192" s="655">
        <v>3840</v>
      </c>
    </row>
    <row r="1193" spans="1:16" s="619" customFormat="1" ht="36" x14ac:dyDescent="0.2">
      <c r="A1193" s="625" t="s">
        <v>3518</v>
      </c>
      <c r="B1193" s="598" t="s">
        <v>1908</v>
      </c>
      <c r="C1193" s="638" t="s">
        <v>3556</v>
      </c>
      <c r="D1193" s="626" t="s">
        <v>3660</v>
      </c>
      <c r="E1193" s="647">
        <v>1800</v>
      </c>
      <c r="F1193" s="626">
        <v>47052102</v>
      </c>
      <c r="G1193" s="656" t="s">
        <v>3661</v>
      </c>
      <c r="H1193" s="626" t="s">
        <v>2946</v>
      </c>
      <c r="I1193" s="638" t="s">
        <v>3567</v>
      </c>
      <c r="J1193" s="626" t="s">
        <v>3567</v>
      </c>
      <c r="K1193" s="639"/>
      <c r="L1193" s="641" t="s">
        <v>3662</v>
      </c>
      <c r="M1193" s="650">
        <v>4500</v>
      </c>
      <c r="N1193" s="654"/>
      <c r="O1193" s="653"/>
      <c r="P1193" s="655" t="s">
        <v>3581</v>
      </c>
    </row>
    <row r="1194" spans="1:16" s="619" customFormat="1" ht="36" x14ac:dyDescent="0.2">
      <c r="A1194" s="625" t="s">
        <v>3518</v>
      </c>
      <c r="B1194" s="598" t="s">
        <v>1908</v>
      </c>
      <c r="C1194" s="638" t="s">
        <v>3556</v>
      </c>
      <c r="D1194" s="626" t="s">
        <v>3663</v>
      </c>
      <c r="E1194" s="647">
        <v>1500</v>
      </c>
      <c r="F1194" s="626">
        <v>33578800</v>
      </c>
      <c r="G1194" s="656" t="s">
        <v>3664</v>
      </c>
      <c r="H1194" s="626"/>
      <c r="I1194" s="638"/>
      <c r="J1194" s="626"/>
      <c r="K1194" s="639" t="s">
        <v>3665</v>
      </c>
      <c r="L1194" s="641" t="s">
        <v>3666</v>
      </c>
      <c r="M1194" s="650">
        <v>10770</v>
      </c>
      <c r="N1194" s="654"/>
      <c r="O1194" s="653"/>
      <c r="P1194" s="655">
        <v>7200</v>
      </c>
    </row>
    <row r="1195" spans="1:16" s="619" customFormat="1" ht="36" x14ac:dyDescent="0.2">
      <c r="A1195" s="625" t="s">
        <v>3518</v>
      </c>
      <c r="B1195" s="598" t="s">
        <v>1908</v>
      </c>
      <c r="C1195" s="638" t="s">
        <v>3556</v>
      </c>
      <c r="D1195" s="626" t="s">
        <v>3663</v>
      </c>
      <c r="E1195" s="647">
        <v>1500</v>
      </c>
      <c r="F1195" s="626">
        <v>42542564</v>
      </c>
      <c r="G1195" s="656" t="s">
        <v>3667</v>
      </c>
      <c r="H1195" s="626"/>
      <c r="I1195" s="638"/>
      <c r="J1195" s="626"/>
      <c r="K1195" s="639" t="s">
        <v>3668</v>
      </c>
      <c r="L1195" s="641"/>
      <c r="M1195" s="650">
        <v>11400</v>
      </c>
      <c r="N1195" s="654"/>
      <c r="O1195" s="653"/>
      <c r="P1195" s="655" t="s">
        <v>3581</v>
      </c>
    </row>
    <row r="1196" spans="1:16" s="619" customFormat="1" ht="36" x14ac:dyDescent="0.2">
      <c r="A1196" s="625" t="s">
        <v>3518</v>
      </c>
      <c r="B1196" s="598" t="s">
        <v>1908</v>
      </c>
      <c r="C1196" s="638" t="s">
        <v>3556</v>
      </c>
      <c r="D1196" s="626" t="s">
        <v>3669</v>
      </c>
      <c r="E1196" s="647">
        <v>1600</v>
      </c>
      <c r="F1196" s="626">
        <v>42708388</v>
      </c>
      <c r="G1196" s="656" t="s">
        <v>3670</v>
      </c>
      <c r="H1196" s="626" t="s">
        <v>3545</v>
      </c>
      <c r="I1196" s="638" t="s">
        <v>1931</v>
      </c>
      <c r="J1196" s="626" t="s">
        <v>1931</v>
      </c>
      <c r="K1196" s="639" t="s">
        <v>3671</v>
      </c>
      <c r="L1196" s="641" t="s">
        <v>3672</v>
      </c>
      <c r="M1196" s="650">
        <v>7200</v>
      </c>
      <c r="N1196" s="654"/>
      <c r="O1196" s="653"/>
      <c r="P1196" s="655">
        <v>7200</v>
      </c>
    </row>
    <row r="1197" spans="1:16" s="619" customFormat="1" ht="36" x14ac:dyDescent="0.2">
      <c r="A1197" s="625" t="s">
        <v>3518</v>
      </c>
      <c r="B1197" s="598" t="s">
        <v>1908</v>
      </c>
      <c r="C1197" s="638" t="s">
        <v>3556</v>
      </c>
      <c r="D1197" s="626" t="s">
        <v>3663</v>
      </c>
      <c r="E1197" s="647">
        <v>1200</v>
      </c>
      <c r="F1197" s="626">
        <v>45536558</v>
      </c>
      <c r="G1197" s="656" t="s">
        <v>3673</v>
      </c>
      <c r="H1197" s="626" t="s">
        <v>3674</v>
      </c>
      <c r="I1197" s="638" t="s">
        <v>1931</v>
      </c>
      <c r="J1197" s="626" t="s">
        <v>1931</v>
      </c>
      <c r="K1197" s="639" t="s">
        <v>3675</v>
      </c>
      <c r="L1197" s="641" t="s">
        <v>3676</v>
      </c>
      <c r="M1197" s="650">
        <v>7200</v>
      </c>
      <c r="N1197" s="654"/>
      <c r="O1197" s="653"/>
      <c r="P1197" s="655">
        <v>2753.33</v>
      </c>
    </row>
    <row r="1198" spans="1:16" s="619" customFormat="1" ht="36" x14ac:dyDescent="0.2">
      <c r="A1198" s="625" t="s">
        <v>3518</v>
      </c>
      <c r="B1198" s="598" t="s">
        <v>1908</v>
      </c>
      <c r="C1198" s="638" t="s">
        <v>3556</v>
      </c>
      <c r="D1198" s="626" t="s">
        <v>3677</v>
      </c>
      <c r="E1198" s="647">
        <v>1000</v>
      </c>
      <c r="F1198" s="652">
        <v>33590579</v>
      </c>
      <c r="G1198" s="656" t="s">
        <v>3678</v>
      </c>
      <c r="H1198" s="626" t="s">
        <v>3614</v>
      </c>
      <c r="I1198" s="638"/>
      <c r="J1198" s="626"/>
      <c r="K1198" s="639" t="s">
        <v>3679</v>
      </c>
      <c r="L1198" s="641" t="s">
        <v>3680</v>
      </c>
      <c r="M1198" s="650">
        <v>12000</v>
      </c>
      <c r="N1198" s="654"/>
      <c r="O1198" s="653"/>
      <c r="P1198" s="655">
        <v>10300</v>
      </c>
    </row>
    <row r="1199" spans="1:16" s="619" customFormat="1" ht="36" x14ac:dyDescent="0.2">
      <c r="A1199" s="625" t="s">
        <v>3518</v>
      </c>
      <c r="B1199" s="598" t="s">
        <v>1908</v>
      </c>
      <c r="C1199" s="638" t="s">
        <v>3556</v>
      </c>
      <c r="D1199" s="626" t="s">
        <v>3681</v>
      </c>
      <c r="E1199" s="647">
        <v>1000</v>
      </c>
      <c r="F1199" s="626">
        <v>33589081</v>
      </c>
      <c r="G1199" s="656" t="s">
        <v>3682</v>
      </c>
      <c r="H1199" s="626" t="s">
        <v>3614</v>
      </c>
      <c r="I1199" s="638"/>
      <c r="J1199" s="626"/>
      <c r="K1199" s="639" t="s">
        <v>3683</v>
      </c>
      <c r="L1199" s="641" t="s">
        <v>3684</v>
      </c>
      <c r="M1199" s="650">
        <v>5800</v>
      </c>
      <c r="N1199" s="654"/>
      <c r="O1199" s="653"/>
      <c r="P1199" s="655" t="s">
        <v>3581</v>
      </c>
    </row>
    <row r="1200" spans="1:16" s="619" customFormat="1" ht="36" x14ac:dyDescent="0.2">
      <c r="A1200" s="625" t="s">
        <v>3518</v>
      </c>
      <c r="B1200" s="598" t="s">
        <v>1908</v>
      </c>
      <c r="C1200" s="638" t="s">
        <v>3556</v>
      </c>
      <c r="D1200" s="626" t="s">
        <v>3681</v>
      </c>
      <c r="E1200" s="647">
        <v>1000</v>
      </c>
      <c r="F1200" s="626">
        <v>8677181</v>
      </c>
      <c r="G1200" s="656" t="s">
        <v>3685</v>
      </c>
      <c r="H1200" s="626" t="s">
        <v>3614</v>
      </c>
      <c r="I1200" s="638"/>
      <c r="J1200" s="626"/>
      <c r="K1200" s="639" t="s">
        <v>3686</v>
      </c>
      <c r="L1200" s="641" t="s">
        <v>3687</v>
      </c>
      <c r="M1200" s="650">
        <v>4066.7</v>
      </c>
      <c r="N1200" s="654"/>
      <c r="O1200" s="653"/>
      <c r="P1200" s="655">
        <v>4100</v>
      </c>
    </row>
    <row r="1201" spans="1:16" s="619" customFormat="1" ht="36" x14ac:dyDescent="0.2">
      <c r="A1201" s="625" t="s">
        <v>3518</v>
      </c>
      <c r="B1201" s="598" t="s">
        <v>1908</v>
      </c>
      <c r="C1201" s="638" t="s">
        <v>3556</v>
      </c>
      <c r="D1201" s="626" t="s">
        <v>3681</v>
      </c>
      <c r="E1201" s="647">
        <v>1000</v>
      </c>
      <c r="F1201" s="626">
        <v>42523761</v>
      </c>
      <c r="G1201" s="656" t="s">
        <v>3688</v>
      </c>
      <c r="H1201" s="626" t="s">
        <v>3614</v>
      </c>
      <c r="I1201" s="638"/>
      <c r="J1201" s="626"/>
      <c r="K1201" s="639"/>
      <c r="L1201" s="641" t="s">
        <v>3689</v>
      </c>
      <c r="M1201" s="650">
        <v>4066.7</v>
      </c>
      <c r="N1201" s="654"/>
      <c r="O1201" s="653"/>
      <c r="P1201" s="655" t="s">
        <v>3581</v>
      </c>
    </row>
    <row r="1202" spans="1:16" s="619" customFormat="1" ht="36" x14ac:dyDescent="0.2">
      <c r="A1202" s="625" t="s">
        <v>3518</v>
      </c>
      <c r="B1202" s="598" t="s">
        <v>1908</v>
      </c>
      <c r="C1202" s="638" t="s">
        <v>3556</v>
      </c>
      <c r="D1202" s="626" t="s">
        <v>3690</v>
      </c>
      <c r="E1202" s="647">
        <v>3000</v>
      </c>
      <c r="F1202" s="626">
        <v>16790452</v>
      </c>
      <c r="G1202" s="656" t="s">
        <v>3526</v>
      </c>
      <c r="H1202" s="626" t="s">
        <v>2921</v>
      </c>
      <c r="I1202" s="638" t="s">
        <v>3567</v>
      </c>
      <c r="J1202" s="626" t="s">
        <v>3567</v>
      </c>
      <c r="K1202" s="639"/>
      <c r="L1202" s="641" t="s">
        <v>3691</v>
      </c>
      <c r="M1202" s="650">
        <v>17250</v>
      </c>
      <c r="N1202" s="654"/>
      <c r="O1202" s="653"/>
      <c r="P1202" s="655" t="s">
        <v>3581</v>
      </c>
    </row>
    <row r="1203" spans="1:16" s="619" customFormat="1" ht="36" x14ac:dyDescent="0.2">
      <c r="A1203" s="625" t="s">
        <v>3518</v>
      </c>
      <c r="B1203" s="598" t="s">
        <v>1908</v>
      </c>
      <c r="C1203" s="638" t="s">
        <v>3556</v>
      </c>
      <c r="D1203" s="626" t="s">
        <v>3692</v>
      </c>
      <c r="E1203" s="647">
        <v>1000</v>
      </c>
      <c r="F1203" s="626">
        <v>72374468</v>
      </c>
      <c r="G1203" s="656" t="s">
        <v>3693</v>
      </c>
      <c r="H1203" s="626"/>
      <c r="I1203" s="638"/>
      <c r="J1203" s="626"/>
      <c r="K1203" s="639"/>
      <c r="L1203" s="641" t="s">
        <v>3694</v>
      </c>
      <c r="M1203" s="650" t="s">
        <v>3581</v>
      </c>
      <c r="N1203" s="654"/>
      <c r="O1203" s="653"/>
      <c r="P1203" s="655">
        <v>2000</v>
      </c>
    </row>
    <row r="1204" spans="1:16" s="619" customFormat="1" ht="36" x14ac:dyDescent="0.2">
      <c r="A1204" s="625" t="s">
        <v>3518</v>
      </c>
      <c r="B1204" s="598" t="s">
        <v>1908</v>
      </c>
      <c r="C1204" s="638" t="s">
        <v>3556</v>
      </c>
      <c r="D1204" s="626" t="s">
        <v>3695</v>
      </c>
      <c r="E1204" s="647">
        <v>1500</v>
      </c>
      <c r="F1204" s="626">
        <v>22995191</v>
      </c>
      <c r="G1204" s="656" t="s">
        <v>3696</v>
      </c>
      <c r="H1204" s="626"/>
      <c r="I1204" s="638"/>
      <c r="J1204" s="626"/>
      <c r="K1204" s="639"/>
      <c r="L1204" s="641" t="s">
        <v>3697</v>
      </c>
      <c r="M1204" s="650" t="s">
        <v>3581</v>
      </c>
      <c r="N1204" s="654"/>
      <c r="O1204" s="653"/>
      <c r="P1204" s="655">
        <v>10500</v>
      </c>
    </row>
    <row r="1205" spans="1:16" s="619" customFormat="1" ht="36" x14ac:dyDescent="0.2">
      <c r="A1205" s="625" t="s">
        <v>3518</v>
      </c>
      <c r="B1205" s="598" t="s">
        <v>1908</v>
      </c>
      <c r="C1205" s="638" t="s">
        <v>3556</v>
      </c>
      <c r="D1205" s="626" t="s">
        <v>3698</v>
      </c>
      <c r="E1205" s="647">
        <v>3500</v>
      </c>
      <c r="F1205" s="626">
        <v>46976342</v>
      </c>
      <c r="G1205" s="656" t="s">
        <v>3699</v>
      </c>
      <c r="H1205" s="626" t="s">
        <v>1911</v>
      </c>
      <c r="I1205" s="638" t="s">
        <v>3567</v>
      </c>
      <c r="J1205" s="626" t="s">
        <v>3567</v>
      </c>
      <c r="K1205" s="639"/>
      <c r="L1205" s="641" t="s">
        <v>3700</v>
      </c>
      <c r="M1205" s="650" t="s">
        <v>3581</v>
      </c>
      <c r="N1205" s="654"/>
      <c r="O1205" s="653"/>
      <c r="P1205" s="655">
        <v>12249.54</v>
      </c>
    </row>
    <row r="1206" spans="1:16" s="619" customFormat="1" ht="36" x14ac:dyDescent="0.2">
      <c r="A1206" s="625" t="s">
        <v>3518</v>
      </c>
      <c r="B1206" s="598" t="s">
        <v>1908</v>
      </c>
      <c r="C1206" s="638" t="s">
        <v>3556</v>
      </c>
      <c r="D1206" s="626" t="s">
        <v>3548</v>
      </c>
      <c r="E1206" s="647">
        <v>1200</v>
      </c>
      <c r="F1206" s="626">
        <v>46666140</v>
      </c>
      <c r="G1206" s="656" t="s">
        <v>3701</v>
      </c>
      <c r="H1206" s="626"/>
      <c r="I1206" s="638"/>
      <c r="J1206" s="626"/>
      <c r="K1206" s="639"/>
      <c r="L1206" s="641" t="s">
        <v>3702</v>
      </c>
      <c r="M1206" s="650"/>
      <c r="N1206" s="654"/>
      <c r="O1206" s="653"/>
      <c r="P1206" s="655">
        <v>7200</v>
      </c>
    </row>
    <row r="1207" spans="1:16" s="619" customFormat="1" ht="48" x14ac:dyDescent="0.2">
      <c r="A1207" s="625" t="s">
        <v>3518</v>
      </c>
      <c r="B1207" s="598" t="s">
        <v>1908</v>
      </c>
      <c r="C1207" s="638" t="s">
        <v>3556</v>
      </c>
      <c r="D1207" s="626" t="s">
        <v>3548</v>
      </c>
      <c r="E1207" s="647">
        <v>1200</v>
      </c>
      <c r="F1207" s="626">
        <v>33569094</v>
      </c>
      <c r="G1207" s="656" t="s">
        <v>3703</v>
      </c>
      <c r="H1207" s="626"/>
      <c r="I1207" s="638"/>
      <c r="J1207" s="626"/>
      <c r="K1207" s="639"/>
      <c r="L1207" s="641" t="s">
        <v>3704</v>
      </c>
      <c r="M1207" s="650" t="s">
        <v>3581</v>
      </c>
      <c r="N1207" s="654"/>
      <c r="O1207" s="653"/>
      <c r="P1207" s="655">
        <v>9613</v>
      </c>
    </row>
    <row r="1208" spans="1:16" s="619" customFormat="1" ht="36" x14ac:dyDescent="0.2">
      <c r="A1208" s="625" t="s">
        <v>3518</v>
      </c>
      <c r="B1208" s="598" t="s">
        <v>1908</v>
      </c>
      <c r="C1208" s="638" t="s">
        <v>3556</v>
      </c>
      <c r="D1208" s="626" t="s">
        <v>3690</v>
      </c>
      <c r="E1208" s="647">
        <v>4000</v>
      </c>
      <c r="F1208" s="626">
        <v>46221212</v>
      </c>
      <c r="G1208" s="656" t="s">
        <v>3705</v>
      </c>
      <c r="H1208" s="626" t="s">
        <v>2921</v>
      </c>
      <c r="I1208" s="638" t="s">
        <v>3567</v>
      </c>
      <c r="J1208" s="626" t="s">
        <v>3567</v>
      </c>
      <c r="K1208" s="639"/>
      <c r="L1208" s="641" t="s">
        <v>3706</v>
      </c>
      <c r="M1208" s="650" t="s">
        <v>3581</v>
      </c>
      <c r="N1208" s="654"/>
      <c r="O1208" s="653"/>
      <c r="P1208" s="655">
        <v>7333.33</v>
      </c>
    </row>
    <row r="1209" spans="1:16" s="619" customFormat="1" ht="36" x14ac:dyDescent="0.2">
      <c r="A1209" s="625" t="s">
        <v>3518</v>
      </c>
      <c r="B1209" s="598" t="s">
        <v>1908</v>
      </c>
      <c r="C1209" s="638" t="s">
        <v>3556</v>
      </c>
      <c r="D1209" s="626" t="s">
        <v>3707</v>
      </c>
      <c r="E1209" s="647">
        <v>1800</v>
      </c>
      <c r="F1209" s="626">
        <v>72278617</v>
      </c>
      <c r="G1209" s="656" t="s">
        <v>3708</v>
      </c>
      <c r="H1209" s="626" t="s">
        <v>3709</v>
      </c>
      <c r="I1209" s="638" t="s">
        <v>1931</v>
      </c>
      <c r="J1209" s="626" t="s">
        <v>1931</v>
      </c>
      <c r="K1209" s="639"/>
      <c r="L1209" s="641" t="s">
        <v>3710</v>
      </c>
      <c r="M1209" s="650" t="s">
        <v>3581</v>
      </c>
      <c r="N1209" s="654"/>
      <c r="O1209" s="653"/>
      <c r="P1209" s="655">
        <v>5400</v>
      </c>
    </row>
    <row r="1210" spans="1:16" s="619" customFormat="1" ht="36" x14ac:dyDescent="0.2">
      <c r="A1210" s="625" t="s">
        <v>3518</v>
      </c>
      <c r="B1210" s="598" t="s">
        <v>1908</v>
      </c>
      <c r="C1210" s="638" t="s">
        <v>3556</v>
      </c>
      <c r="D1210" s="626"/>
      <c r="E1210" s="647">
        <v>1800</v>
      </c>
      <c r="F1210" s="626">
        <v>42030016</v>
      </c>
      <c r="G1210" s="656" t="s">
        <v>3711</v>
      </c>
      <c r="H1210" s="626"/>
      <c r="I1210" s="638"/>
      <c r="J1210" s="626"/>
      <c r="K1210" s="639"/>
      <c r="L1210" s="641" t="s">
        <v>3712</v>
      </c>
      <c r="M1210" s="650" t="s">
        <v>3581</v>
      </c>
      <c r="N1210" s="654"/>
      <c r="O1210" s="653"/>
      <c r="P1210" s="655">
        <v>9400</v>
      </c>
    </row>
    <row r="1211" spans="1:16" s="619" customFormat="1" ht="36" x14ac:dyDescent="0.2">
      <c r="A1211" s="625" t="s">
        <v>3518</v>
      </c>
      <c r="B1211" s="598" t="s">
        <v>1908</v>
      </c>
      <c r="C1211" s="638" t="s">
        <v>3556</v>
      </c>
      <c r="D1211" s="626" t="s">
        <v>3583</v>
      </c>
      <c r="E1211" s="647">
        <v>1800</v>
      </c>
      <c r="F1211" s="626">
        <v>70183845</v>
      </c>
      <c r="G1211" s="656" t="s">
        <v>3713</v>
      </c>
      <c r="H1211" s="626" t="s">
        <v>1416</v>
      </c>
      <c r="I1211" s="638" t="s">
        <v>3567</v>
      </c>
      <c r="J1211" s="626" t="s">
        <v>3567</v>
      </c>
      <c r="K1211" s="639"/>
      <c r="L1211" s="641" t="s">
        <v>3714</v>
      </c>
      <c r="M1211" s="650" t="s">
        <v>3581</v>
      </c>
      <c r="N1211" s="654"/>
      <c r="O1211" s="653"/>
      <c r="P1211" s="655">
        <v>11000</v>
      </c>
    </row>
    <row r="1212" spans="1:16" s="619" customFormat="1" ht="36" x14ac:dyDescent="0.2">
      <c r="A1212" s="625" t="s">
        <v>3518</v>
      </c>
      <c r="B1212" s="598" t="s">
        <v>1908</v>
      </c>
      <c r="C1212" s="638" t="s">
        <v>3556</v>
      </c>
      <c r="D1212" s="626" t="s">
        <v>3583</v>
      </c>
      <c r="E1212" s="647">
        <v>1800</v>
      </c>
      <c r="F1212" s="626">
        <v>44267187</v>
      </c>
      <c r="G1212" s="656" t="s">
        <v>3715</v>
      </c>
      <c r="H1212" s="626" t="s">
        <v>3545</v>
      </c>
      <c r="I1212" s="638" t="s">
        <v>1931</v>
      </c>
      <c r="J1212" s="626" t="s">
        <v>1931</v>
      </c>
      <c r="K1212" s="639"/>
      <c r="L1212" s="641" t="s">
        <v>3716</v>
      </c>
      <c r="M1212" s="650"/>
      <c r="N1212" s="654"/>
      <c r="O1212" s="653"/>
      <c r="P1212" s="655">
        <v>8640</v>
      </c>
    </row>
    <row r="1213" spans="1:16" s="619" customFormat="1" ht="36" x14ac:dyDescent="0.2">
      <c r="A1213" s="625" t="s">
        <v>3518</v>
      </c>
      <c r="B1213" s="598" t="s">
        <v>1908</v>
      </c>
      <c r="C1213" s="638" t="s">
        <v>3556</v>
      </c>
      <c r="D1213" s="626" t="s">
        <v>3717</v>
      </c>
      <c r="E1213" s="647">
        <v>850</v>
      </c>
      <c r="F1213" s="626">
        <v>18121068</v>
      </c>
      <c r="G1213" s="656" t="s">
        <v>3718</v>
      </c>
      <c r="H1213" s="626"/>
      <c r="I1213" s="638"/>
      <c r="J1213" s="626"/>
      <c r="K1213" s="639"/>
      <c r="L1213" s="641" t="s">
        <v>3719</v>
      </c>
      <c r="M1213" s="650" t="s">
        <v>3581</v>
      </c>
      <c r="N1213" s="654"/>
      <c r="O1213" s="653"/>
      <c r="P1213" s="655">
        <v>8740</v>
      </c>
    </row>
    <row r="1214" spans="1:16" s="619" customFormat="1" ht="48" x14ac:dyDescent="0.2">
      <c r="A1214" s="625" t="s">
        <v>3518</v>
      </c>
      <c r="B1214" s="598" t="s">
        <v>1908</v>
      </c>
      <c r="C1214" s="638" t="s">
        <v>3556</v>
      </c>
      <c r="D1214" s="626" t="s">
        <v>3720</v>
      </c>
      <c r="E1214" s="647">
        <v>2500</v>
      </c>
      <c r="F1214" s="626">
        <v>72210230</v>
      </c>
      <c r="G1214" s="656" t="s">
        <v>3721</v>
      </c>
      <c r="H1214" s="626" t="s">
        <v>1416</v>
      </c>
      <c r="I1214" s="638" t="s">
        <v>3567</v>
      </c>
      <c r="J1214" s="626" t="s">
        <v>3567</v>
      </c>
      <c r="K1214" s="639"/>
      <c r="L1214" s="641" t="s">
        <v>3722</v>
      </c>
      <c r="M1214" s="650" t="s">
        <v>3581</v>
      </c>
      <c r="N1214" s="654"/>
      <c r="O1214" s="653"/>
      <c r="P1214" s="655">
        <v>7500</v>
      </c>
    </row>
    <row r="1215" spans="1:16" s="619" customFormat="1" ht="36" x14ac:dyDescent="0.2">
      <c r="A1215" s="625" t="s">
        <v>3518</v>
      </c>
      <c r="B1215" s="598" t="s">
        <v>1908</v>
      </c>
      <c r="C1215" s="638" t="s">
        <v>3556</v>
      </c>
      <c r="D1215" s="626" t="s">
        <v>3723</v>
      </c>
      <c r="E1215" s="647">
        <v>2000</v>
      </c>
      <c r="F1215" s="626">
        <v>70807223</v>
      </c>
      <c r="G1215" s="656" t="s">
        <v>3724</v>
      </c>
      <c r="H1215" s="626" t="s">
        <v>1931</v>
      </c>
      <c r="I1215" s="638" t="s">
        <v>1931</v>
      </c>
      <c r="J1215" s="626" t="s">
        <v>1931</v>
      </c>
      <c r="K1215" s="639"/>
      <c r="L1215" s="641" t="s">
        <v>3725</v>
      </c>
      <c r="M1215" s="650" t="s">
        <v>3581</v>
      </c>
      <c r="N1215" s="654"/>
      <c r="O1215" s="653"/>
      <c r="P1215" s="655">
        <v>20000</v>
      </c>
    </row>
    <row r="1216" spans="1:16" s="619" customFormat="1" ht="36" x14ac:dyDescent="0.2">
      <c r="A1216" s="625" t="s">
        <v>3518</v>
      </c>
      <c r="B1216" s="598" t="s">
        <v>1908</v>
      </c>
      <c r="C1216" s="638" t="s">
        <v>3556</v>
      </c>
      <c r="D1216" s="626" t="s">
        <v>3726</v>
      </c>
      <c r="E1216" s="647">
        <v>2500</v>
      </c>
      <c r="F1216" s="626">
        <v>33566950</v>
      </c>
      <c r="G1216" s="656" t="s">
        <v>3727</v>
      </c>
      <c r="H1216" s="626" t="s">
        <v>2921</v>
      </c>
      <c r="I1216" s="638" t="s">
        <v>3567</v>
      </c>
      <c r="J1216" s="626" t="s">
        <v>3567</v>
      </c>
      <c r="K1216" s="639"/>
      <c r="L1216" s="641" t="s">
        <v>3728</v>
      </c>
      <c r="M1216" s="650"/>
      <c r="N1216" s="654"/>
      <c r="O1216" s="653"/>
      <c r="P1216" s="655">
        <v>2500</v>
      </c>
    </row>
    <row r="1217" spans="1:16" s="619" customFormat="1" ht="36" x14ac:dyDescent="0.2">
      <c r="A1217" s="625" t="s">
        <v>3518</v>
      </c>
      <c r="B1217" s="598" t="s">
        <v>1908</v>
      </c>
      <c r="C1217" s="638" t="s">
        <v>3556</v>
      </c>
      <c r="D1217" s="626" t="s">
        <v>3729</v>
      </c>
      <c r="E1217" s="647">
        <v>1800</v>
      </c>
      <c r="F1217" s="626">
        <v>70932657</v>
      </c>
      <c r="G1217" s="656" t="s">
        <v>3730</v>
      </c>
      <c r="H1217" s="626" t="s">
        <v>3394</v>
      </c>
      <c r="I1217" s="638" t="s">
        <v>3567</v>
      </c>
      <c r="J1217" s="626" t="s">
        <v>3567</v>
      </c>
      <c r="K1217" s="639"/>
      <c r="L1217" s="641" t="s">
        <v>3731</v>
      </c>
      <c r="M1217" s="650" t="s">
        <v>3581</v>
      </c>
      <c r="N1217" s="654"/>
      <c r="O1217" s="653"/>
      <c r="P1217" s="655">
        <v>8573.33</v>
      </c>
    </row>
    <row r="1218" spans="1:16" s="619" customFormat="1" ht="36" x14ac:dyDescent="0.2">
      <c r="A1218" s="625" t="s">
        <v>3518</v>
      </c>
      <c r="B1218" s="598" t="s">
        <v>1908</v>
      </c>
      <c r="C1218" s="638" t="s">
        <v>3556</v>
      </c>
      <c r="D1218" s="626" t="s">
        <v>3638</v>
      </c>
      <c r="E1218" s="647">
        <v>2000</v>
      </c>
      <c r="F1218" s="626">
        <v>48264200</v>
      </c>
      <c r="G1218" s="656" t="s">
        <v>3732</v>
      </c>
      <c r="H1218" s="626" t="s">
        <v>3394</v>
      </c>
      <c r="I1218" s="638" t="s">
        <v>3567</v>
      </c>
      <c r="J1218" s="626" t="s">
        <v>3567</v>
      </c>
      <c r="K1218" s="639"/>
      <c r="L1218" s="641" t="s">
        <v>3733</v>
      </c>
      <c r="M1218" s="650" t="s">
        <v>3581</v>
      </c>
      <c r="N1218" s="654"/>
      <c r="O1218" s="653"/>
      <c r="P1218" s="655">
        <v>6000</v>
      </c>
    </row>
    <row r="1219" spans="1:16" s="619" customFormat="1" ht="36" x14ac:dyDescent="0.2">
      <c r="A1219" s="625" t="s">
        <v>3518</v>
      </c>
      <c r="B1219" s="598" t="s">
        <v>1908</v>
      </c>
      <c r="C1219" s="638" t="s">
        <v>3556</v>
      </c>
      <c r="D1219" s="626" t="s">
        <v>3734</v>
      </c>
      <c r="E1219" s="647">
        <v>4000</v>
      </c>
      <c r="F1219" s="626">
        <v>45243548</v>
      </c>
      <c r="G1219" s="656" t="s">
        <v>3735</v>
      </c>
      <c r="H1219" s="626" t="s">
        <v>2921</v>
      </c>
      <c r="I1219" s="638" t="s">
        <v>3567</v>
      </c>
      <c r="J1219" s="626" t="s">
        <v>3567</v>
      </c>
      <c r="K1219" s="639"/>
      <c r="L1219" s="641" t="s">
        <v>3736</v>
      </c>
      <c r="M1219" s="650" t="s">
        <v>3581</v>
      </c>
      <c r="N1219" s="654"/>
      <c r="O1219" s="653"/>
      <c r="P1219" s="655">
        <v>15500</v>
      </c>
    </row>
    <row r="1220" spans="1:16" s="619" customFormat="1" ht="36" x14ac:dyDescent="0.2">
      <c r="A1220" s="625" t="s">
        <v>3518</v>
      </c>
      <c r="B1220" s="598" t="s">
        <v>1908</v>
      </c>
      <c r="C1220" s="638" t="s">
        <v>3556</v>
      </c>
      <c r="D1220" s="626" t="s">
        <v>3737</v>
      </c>
      <c r="E1220" s="647">
        <v>2000</v>
      </c>
      <c r="F1220" s="626">
        <v>73479032</v>
      </c>
      <c r="G1220" s="656" t="s">
        <v>3738</v>
      </c>
      <c r="H1220" s="626" t="s">
        <v>3587</v>
      </c>
      <c r="I1220" s="638" t="s">
        <v>3567</v>
      </c>
      <c r="J1220" s="626" t="s">
        <v>3567</v>
      </c>
      <c r="K1220" s="639"/>
      <c r="L1220" s="641" t="s">
        <v>3739</v>
      </c>
      <c r="M1220" s="650" t="s">
        <v>3581</v>
      </c>
      <c r="N1220" s="654"/>
      <c r="O1220" s="653"/>
      <c r="P1220" s="655">
        <v>12000</v>
      </c>
    </row>
    <row r="1221" spans="1:16" s="619" customFormat="1" ht="36" x14ac:dyDescent="0.2">
      <c r="A1221" s="625" t="s">
        <v>3518</v>
      </c>
      <c r="B1221" s="598" t="s">
        <v>1908</v>
      </c>
      <c r="C1221" s="638" t="s">
        <v>3556</v>
      </c>
      <c r="D1221" s="626" t="s">
        <v>3740</v>
      </c>
      <c r="E1221" s="647">
        <v>4000</v>
      </c>
      <c r="F1221" s="626">
        <v>42876330</v>
      </c>
      <c r="G1221" s="656" t="s">
        <v>3741</v>
      </c>
      <c r="H1221" s="626" t="s">
        <v>2921</v>
      </c>
      <c r="I1221" s="638" t="s">
        <v>3567</v>
      </c>
      <c r="J1221" s="626" t="s">
        <v>3567</v>
      </c>
      <c r="K1221" s="639"/>
      <c r="L1221" s="641" t="s">
        <v>3742</v>
      </c>
      <c r="M1221" s="650" t="s">
        <v>3581</v>
      </c>
      <c r="N1221" s="654"/>
      <c r="O1221" s="653"/>
      <c r="P1221" s="655">
        <v>22500</v>
      </c>
    </row>
    <row r="1222" spans="1:16" s="619" customFormat="1" ht="36" x14ac:dyDescent="0.2">
      <c r="A1222" s="625" t="s">
        <v>3518</v>
      </c>
      <c r="B1222" s="598" t="s">
        <v>1908</v>
      </c>
      <c r="C1222" s="638" t="s">
        <v>3556</v>
      </c>
      <c r="D1222" s="626" t="s">
        <v>3677</v>
      </c>
      <c r="E1222" s="647">
        <v>1000</v>
      </c>
      <c r="F1222" s="626">
        <v>40777311</v>
      </c>
      <c r="G1222" s="656" t="s">
        <v>3743</v>
      </c>
      <c r="H1222" s="626"/>
      <c r="I1222" s="638"/>
      <c r="J1222" s="626"/>
      <c r="K1222" s="639"/>
      <c r="L1222" s="641" t="s">
        <v>3744</v>
      </c>
      <c r="M1222" s="650">
        <v>3000</v>
      </c>
      <c r="N1222" s="654"/>
      <c r="O1222" s="653"/>
      <c r="P1222" s="655">
        <v>3000</v>
      </c>
    </row>
    <row r="1223" spans="1:16" s="619" customFormat="1" ht="36" x14ac:dyDescent="0.2">
      <c r="A1223" s="625" t="s">
        <v>3518</v>
      </c>
      <c r="B1223" s="598" t="s">
        <v>1908</v>
      </c>
      <c r="C1223" s="638" t="s">
        <v>3556</v>
      </c>
      <c r="D1223" s="626" t="s">
        <v>3745</v>
      </c>
      <c r="E1223" s="647">
        <v>1800</v>
      </c>
      <c r="F1223" s="626">
        <v>47206691</v>
      </c>
      <c r="G1223" s="656" t="s">
        <v>3746</v>
      </c>
      <c r="H1223" s="626" t="s">
        <v>3394</v>
      </c>
      <c r="I1223" s="638" t="s">
        <v>3567</v>
      </c>
      <c r="J1223" s="626" t="s">
        <v>3567</v>
      </c>
      <c r="K1223" s="639"/>
      <c r="L1223" s="641" t="s">
        <v>3747</v>
      </c>
      <c r="M1223" s="650" t="s">
        <v>3581</v>
      </c>
      <c r="N1223" s="654"/>
      <c r="O1223" s="653"/>
      <c r="P1223" s="655">
        <v>3600</v>
      </c>
    </row>
    <row r="1224" spans="1:16" s="619" customFormat="1" ht="36" x14ac:dyDescent="0.2">
      <c r="A1224" s="625" t="s">
        <v>3518</v>
      </c>
      <c r="B1224" s="598" t="s">
        <v>1908</v>
      </c>
      <c r="C1224" s="638" t="s">
        <v>3556</v>
      </c>
      <c r="D1224" s="626" t="s">
        <v>3748</v>
      </c>
      <c r="E1224" s="647">
        <v>4550</v>
      </c>
      <c r="F1224" s="626">
        <v>40047011</v>
      </c>
      <c r="G1224" s="656" t="s">
        <v>3749</v>
      </c>
      <c r="H1224" s="626" t="s">
        <v>1911</v>
      </c>
      <c r="I1224" s="638" t="s">
        <v>3567</v>
      </c>
      <c r="J1224" s="626" t="s">
        <v>3567</v>
      </c>
      <c r="K1224" s="639"/>
      <c r="L1224" s="641" t="s">
        <v>3750</v>
      </c>
      <c r="M1224" s="650" t="s">
        <v>3581</v>
      </c>
      <c r="N1224" s="654"/>
      <c r="O1224" s="653"/>
      <c r="P1224" s="655">
        <v>9100</v>
      </c>
    </row>
    <row r="1225" spans="1:16" s="619" customFormat="1" ht="36" x14ac:dyDescent="0.2">
      <c r="A1225" s="625" t="s">
        <v>3518</v>
      </c>
      <c r="B1225" s="598" t="s">
        <v>1908</v>
      </c>
      <c r="C1225" s="638" t="s">
        <v>3556</v>
      </c>
      <c r="D1225" s="626" t="s">
        <v>3751</v>
      </c>
      <c r="E1225" s="647">
        <v>3500</v>
      </c>
      <c r="F1225" s="626">
        <v>45807889</v>
      </c>
      <c r="G1225" s="656" t="s">
        <v>3752</v>
      </c>
      <c r="H1225" s="626" t="s">
        <v>2921</v>
      </c>
      <c r="I1225" s="638" t="s">
        <v>3567</v>
      </c>
      <c r="J1225" s="626" t="s">
        <v>3567</v>
      </c>
      <c r="K1225" s="639"/>
      <c r="L1225" s="641" t="s">
        <v>3683</v>
      </c>
      <c r="M1225" s="650" t="s">
        <v>3581</v>
      </c>
      <c r="N1225" s="654"/>
      <c r="O1225" s="653"/>
      <c r="P1225" s="655">
        <v>10500</v>
      </c>
    </row>
    <row r="1226" spans="1:16" s="619" customFormat="1" ht="36" x14ac:dyDescent="0.2">
      <c r="A1226" s="625" t="s">
        <v>3518</v>
      </c>
      <c r="B1226" s="598" t="s">
        <v>1908</v>
      </c>
      <c r="C1226" s="638" t="s">
        <v>3556</v>
      </c>
      <c r="D1226" s="626" t="s">
        <v>3753</v>
      </c>
      <c r="E1226" s="647">
        <v>1200</v>
      </c>
      <c r="F1226" s="626">
        <v>45500974</v>
      </c>
      <c r="G1226" s="656" t="s">
        <v>3754</v>
      </c>
      <c r="H1226" s="626"/>
      <c r="I1226" s="638"/>
      <c r="J1226" s="626"/>
      <c r="K1226" s="639"/>
      <c r="L1226" s="641" t="s">
        <v>3755</v>
      </c>
      <c r="M1226" s="650" t="s">
        <v>3581</v>
      </c>
      <c r="N1226" s="654"/>
      <c r="O1226" s="653"/>
      <c r="P1226" s="655">
        <v>5400</v>
      </c>
    </row>
    <row r="1227" spans="1:16" s="619" customFormat="1" ht="36" x14ac:dyDescent="0.2">
      <c r="A1227" s="625" t="s">
        <v>3518</v>
      </c>
      <c r="B1227" s="598" t="s">
        <v>1908</v>
      </c>
      <c r="C1227" s="638" t="s">
        <v>3556</v>
      </c>
      <c r="D1227" s="626" t="s">
        <v>3756</v>
      </c>
      <c r="E1227" s="647">
        <v>2000</v>
      </c>
      <c r="F1227" s="626">
        <v>33589372</v>
      </c>
      <c r="G1227" s="656" t="s">
        <v>3757</v>
      </c>
      <c r="H1227" s="626" t="s">
        <v>2946</v>
      </c>
      <c r="I1227" s="638" t="s">
        <v>3567</v>
      </c>
      <c r="J1227" s="626" t="s">
        <v>3567</v>
      </c>
      <c r="K1227" s="639"/>
      <c r="L1227" s="641" t="s">
        <v>3643</v>
      </c>
      <c r="M1227" s="650" t="s">
        <v>3581</v>
      </c>
      <c r="N1227" s="654"/>
      <c r="O1227" s="653"/>
      <c r="P1227" s="655">
        <v>8000</v>
      </c>
    </row>
    <row r="1228" spans="1:16" s="619" customFormat="1" ht="36" x14ac:dyDescent="0.2">
      <c r="A1228" s="625" t="s">
        <v>3518</v>
      </c>
      <c r="B1228" s="598" t="s">
        <v>1908</v>
      </c>
      <c r="C1228" s="638" t="s">
        <v>3556</v>
      </c>
      <c r="D1228" s="626" t="s">
        <v>3758</v>
      </c>
      <c r="E1228" s="647">
        <v>3200</v>
      </c>
      <c r="F1228" s="626">
        <v>41159210</v>
      </c>
      <c r="G1228" s="656" t="s">
        <v>3540</v>
      </c>
      <c r="H1228" s="626" t="s">
        <v>2946</v>
      </c>
      <c r="I1228" s="638" t="s">
        <v>3567</v>
      </c>
      <c r="J1228" s="626" t="s">
        <v>3567</v>
      </c>
      <c r="K1228" s="639" t="s">
        <v>3759</v>
      </c>
      <c r="L1228" s="641" t="s">
        <v>3760</v>
      </c>
      <c r="M1228" s="650" t="s">
        <v>3581</v>
      </c>
      <c r="N1228" s="654"/>
      <c r="O1228" s="653"/>
      <c r="P1228" s="655">
        <v>6400</v>
      </c>
    </row>
    <row r="1229" spans="1:16" s="619" customFormat="1" ht="36" x14ac:dyDescent="0.2">
      <c r="A1229" s="625" t="s">
        <v>3518</v>
      </c>
      <c r="B1229" s="598" t="s">
        <v>1908</v>
      </c>
      <c r="C1229" s="638" t="s">
        <v>3556</v>
      </c>
      <c r="D1229" s="626" t="s">
        <v>3740</v>
      </c>
      <c r="E1229" s="647">
        <v>4500</v>
      </c>
      <c r="F1229" s="626">
        <v>44505447</v>
      </c>
      <c r="G1229" s="656" t="s">
        <v>3761</v>
      </c>
      <c r="H1229" s="626" t="s">
        <v>2921</v>
      </c>
      <c r="I1229" s="638" t="s">
        <v>3567</v>
      </c>
      <c r="J1229" s="626" t="s">
        <v>3567</v>
      </c>
      <c r="K1229" s="639"/>
      <c r="L1229" s="641" t="s">
        <v>3762</v>
      </c>
      <c r="M1229" s="650" t="s">
        <v>3581</v>
      </c>
      <c r="N1229" s="654"/>
      <c r="O1229" s="653"/>
      <c r="P1229" s="655">
        <v>18000</v>
      </c>
    </row>
    <row r="1230" spans="1:16" s="619" customFormat="1" ht="48.75" thickBot="1" x14ac:dyDescent="0.25">
      <c r="A1230" s="625" t="s">
        <v>3518</v>
      </c>
      <c r="B1230" s="598" t="s">
        <v>1908</v>
      </c>
      <c r="C1230" s="638" t="s">
        <v>3556</v>
      </c>
      <c r="D1230" s="626" t="s">
        <v>3707</v>
      </c>
      <c r="E1230" s="647">
        <v>2500</v>
      </c>
      <c r="F1230" s="657">
        <v>71594183</v>
      </c>
      <c r="G1230" s="656" t="s">
        <v>3763</v>
      </c>
      <c r="H1230" s="657" t="s">
        <v>3651</v>
      </c>
      <c r="I1230" s="638" t="s">
        <v>3567</v>
      </c>
      <c r="J1230" s="657" t="s">
        <v>3567</v>
      </c>
      <c r="K1230" s="639"/>
      <c r="L1230" s="658" t="s">
        <v>3764</v>
      </c>
      <c r="M1230" s="650" t="s">
        <v>3581</v>
      </c>
      <c r="N1230" s="659"/>
      <c r="O1230" s="653"/>
      <c r="P1230" s="660">
        <v>6500</v>
      </c>
    </row>
    <row r="1231" spans="1:16" s="619" customFormat="1" ht="13.5" customHeight="1" thickBot="1" x14ac:dyDescent="0.25">
      <c r="A1231" s="1149" t="s">
        <v>1767</v>
      </c>
      <c r="B1231" s="1150"/>
      <c r="C1231" s="1150"/>
      <c r="D1231" s="1151"/>
      <c r="E1231" s="610">
        <f>SUM(E1138:E1230)</f>
        <v>212380</v>
      </c>
      <c r="F1231" s="623"/>
      <c r="G1231" s="109"/>
      <c r="H1231" s="109"/>
      <c r="I1231" s="109"/>
      <c r="J1231" s="109"/>
      <c r="K1231" s="623"/>
      <c r="L1231" s="109"/>
      <c r="M1231" s="624">
        <f>SUM(M1138:M1230)</f>
        <v>642414.31999999995</v>
      </c>
      <c r="N1231" s="623"/>
      <c r="O1231" s="623"/>
      <c r="P1231" s="610">
        <f>SUM(P1138:P1230)</f>
        <v>724779.15</v>
      </c>
    </row>
    <row r="1232" spans="1:16" s="619" customFormat="1" ht="48" x14ac:dyDescent="0.2">
      <c r="A1232" s="630" t="s">
        <v>3765</v>
      </c>
      <c r="B1232" s="630" t="s">
        <v>1908</v>
      </c>
      <c r="C1232" s="661" t="s">
        <v>104</v>
      </c>
      <c r="D1232" s="630" t="s">
        <v>3766</v>
      </c>
      <c r="E1232" s="635">
        <v>2500</v>
      </c>
      <c r="F1232" s="662">
        <v>72042558</v>
      </c>
      <c r="G1232" s="663" t="s">
        <v>3767</v>
      </c>
      <c r="H1232" s="638" t="s">
        <v>3074</v>
      </c>
      <c r="I1232" s="630" t="s">
        <v>3768</v>
      </c>
      <c r="J1232" s="638" t="s">
        <v>3769</v>
      </c>
      <c r="K1232" s="633" t="s">
        <v>649</v>
      </c>
      <c r="L1232" s="633" t="s">
        <v>3770</v>
      </c>
      <c r="M1232" s="664">
        <f>2500*2</f>
        <v>5000</v>
      </c>
      <c r="N1232" s="633"/>
      <c r="O1232" s="633"/>
      <c r="P1232" s="665"/>
    </row>
    <row r="1233" spans="1:16" s="619" customFormat="1" ht="48" x14ac:dyDescent="0.2">
      <c r="A1233" s="626" t="s">
        <v>3765</v>
      </c>
      <c r="B1233" s="626" t="s">
        <v>1908</v>
      </c>
      <c r="C1233" s="625" t="s">
        <v>104</v>
      </c>
      <c r="D1233" s="626" t="s">
        <v>3771</v>
      </c>
      <c r="E1233" s="643">
        <v>2200</v>
      </c>
      <c r="F1233" s="662">
        <v>33766620</v>
      </c>
      <c r="G1233" s="652" t="s">
        <v>3772</v>
      </c>
      <c r="H1233" s="638" t="s">
        <v>3773</v>
      </c>
      <c r="I1233" s="626" t="s">
        <v>3674</v>
      </c>
      <c r="J1233" s="638" t="s">
        <v>3674</v>
      </c>
      <c r="K1233" s="654" t="s">
        <v>3774</v>
      </c>
      <c r="L1233" s="654" t="s">
        <v>3775</v>
      </c>
      <c r="M1233" s="666">
        <f>2200*12</f>
        <v>26400</v>
      </c>
      <c r="N1233" s="641"/>
      <c r="O1233" s="640"/>
      <c r="P1233" s="667"/>
    </row>
    <row r="1234" spans="1:16" s="619" customFormat="1" ht="48" x14ac:dyDescent="0.2">
      <c r="A1234" s="626" t="s">
        <v>3765</v>
      </c>
      <c r="B1234" s="626" t="s">
        <v>1908</v>
      </c>
      <c r="C1234" s="625" t="s">
        <v>104</v>
      </c>
      <c r="D1234" s="626" t="s">
        <v>3776</v>
      </c>
      <c r="E1234" s="643">
        <v>1100</v>
      </c>
      <c r="F1234" s="662">
        <v>33765984</v>
      </c>
      <c r="G1234" s="652" t="s">
        <v>3777</v>
      </c>
      <c r="H1234" s="638" t="s">
        <v>1919</v>
      </c>
      <c r="I1234" s="626" t="s">
        <v>3778</v>
      </c>
      <c r="J1234" s="638" t="s">
        <v>1919</v>
      </c>
      <c r="K1234" s="654" t="s">
        <v>653</v>
      </c>
      <c r="L1234" s="654" t="s">
        <v>3775</v>
      </c>
      <c r="M1234" s="666">
        <f>1100*12</f>
        <v>13200</v>
      </c>
      <c r="N1234" s="641"/>
      <c r="O1234" s="640"/>
      <c r="P1234" s="667"/>
    </row>
    <row r="1235" spans="1:16" s="619" customFormat="1" ht="48" x14ac:dyDescent="0.2">
      <c r="A1235" s="626" t="s">
        <v>3765</v>
      </c>
      <c r="B1235" s="626" t="s">
        <v>1908</v>
      </c>
      <c r="C1235" s="625" t="s">
        <v>104</v>
      </c>
      <c r="D1235" s="626" t="s">
        <v>3548</v>
      </c>
      <c r="E1235" s="643">
        <v>1100</v>
      </c>
      <c r="F1235" s="662">
        <v>33767482</v>
      </c>
      <c r="G1235" s="652" t="s">
        <v>3779</v>
      </c>
      <c r="H1235" s="638" t="s">
        <v>1919</v>
      </c>
      <c r="I1235" s="626" t="s">
        <v>3778</v>
      </c>
      <c r="J1235" s="638" t="s">
        <v>1919</v>
      </c>
      <c r="K1235" s="654" t="s">
        <v>656</v>
      </c>
      <c r="L1235" s="654" t="s">
        <v>3775</v>
      </c>
      <c r="M1235" s="666">
        <f>1100*12</f>
        <v>13200</v>
      </c>
      <c r="N1235" s="641"/>
      <c r="O1235" s="640"/>
      <c r="P1235" s="667"/>
    </row>
    <row r="1236" spans="1:16" s="619" customFormat="1" ht="48" x14ac:dyDescent="0.2">
      <c r="A1236" s="626" t="s">
        <v>3765</v>
      </c>
      <c r="B1236" s="626" t="s">
        <v>1908</v>
      </c>
      <c r="C1236" s="625" t="s">
        <v>104</v>
      </c>
      <c r="D1236" s="626" t="s">
        <v>3548</v>
      </c>
      <c r="E1236" s="643">
        <v>1100</v>
      </c>
      <c r="F1236" s="662">
        <v>33766217</v>
      </c>
      <c r="G1236" s="652" t="s">
        <v>3780</v>
      </c>
      <c r="H1236" s="638" t="s">
        <v>1919</v>
      </c>
      <c r="I1236" s="626" t="s">
        <v>3778</v>
      </c>
      <c r="J1236" s="638" t="s">
        <v>1919</v>
      </c>
      <c r="K1236" s="654" t="s">
        <v>659</v>
      </c>
      <c r="L1236" s="654" t="s">
        <v>3775</v>
      </c>
      <c r="M1236" s="666">
        <f>1100*12</f>
        <v>13200</v>
      </c>
      <c r="N1236" s="641"/>
      <c r="O1236" s="640"/>
      <c r="P1236" s="667"/>
    </row>
    <row r="1237" spans="1:16" s="619" customFormat="1" ht="48" x14ac:dyDescent="0.2">
      <c r="A1237" s="626" t="s">
        <v>3765</v>
      </c>
      <c r="B1237" s="626" t="s">
        <v>1908</v>
      </c>
      <c r="C1237" s="625" t="s">
        <v>104</v>
      </c>
      <c r="D1237" s="626" t="s">
        <v>3548</v>
      </c>
      <c r="E1237" s="643">
        <v>1100</v>
      </c>
      <c r="F1237" s="662" t="s">
        <v>3781</v>
      </c>
      <c r="G1237" s="652" t="s">
        <v>3782</v>
      </c>
      <c r="H1237" s="638" t="s">
        <v>1919</v>
      </c>
      <c r="I1237" s="626" t="s">
        <v>3778</v>
      </c>
      <c r="J1237" s="638" t="s">
        <v>1919</v>
      </c>
      <c r="K1237" s="654" t="s">
        <v>661</v>
      </c>
      <c r="L1237" s="654" t="s">
        <v>3775</v>
      </c>
      <c r="M1237" s="666">
        <f>1100*12</f>
        <v>13200</v>
      </c>
      <c r="N1237" s="641"/>
      <c r="O1237" s="645"/>
      <c r="P1237" s="667"/>
    </row>
    <row r="1238" spans="1:16" s="619" customFormat="1" ht="48" x14ac:dyDescent="0.2">
      <c r="A1238" s="626" t="s">
        <v>3765</v>
      </c>
      <c r="B1238" s="626" t="s">
        <v>1908</v>
      </c>
      <c r="C1238" s="625" t="s">
        <v>104</v>
      </c>
      <c r="D1238" s="626" t="s">
        <v>3783</v>
      </c>
      <c r="E1238" s="643">
        <v>3100</v>
      </c>
      <c r="F1238" s="662">
        <v>40451269</v>
      </c>
      <c r="G1238" s="652" t="s">
        <v>3784</v>
      </c>
      <c r="H1238" s="638" t="s">
        <v>3785</v>
      </c>
      <c r="I1238" s="626" t="s">
        <v>3785</v>
      </c>
      <c r="J1238" s="638" t="s">
        <v>3785</v>
      </c>
      <c r="K1238" s="654" t="s">
        <v>664</v>
      </c>
      <c r="L1238" s="654" t="s">
        <v>3775</v>
      </c>
      <c r="M1238" s="666">
        <f>3100*12</f>
        <v>37200</v>
      </c>
      <c r="N1238" s="641"/>
      <c r="O1238" s="645"/>
      <c r="P1238" s="667"/>
    </row>
    <row r="1239" spans="1:16" s="619" customFormat="1" ht="48" x14ac:dyDescent="0.2">
      <c r="A1239" s="626" t="s">
        <v>3765</v>
      </c>
      <c r="B1239" s="626" t="s">
        <v>1908</v>
      </c>
      <c r="C1239" s="625" t="s">
        <v>104</v>
      </c>
      <c r="D1239" s="626" t="s">
        <v>3786</v>
      </c>
      <c r="E1239" s="643">
        <v>1500</v>
      </c>
      <c r="F1239" s="662">
        <v>41502358</v>
      </c>
      <c r="G1239" s="652" t="s">
        <v>3787</v>
      </c>
      <c r="H1239" s="638" t="s">
        <v>3788</v>
      </c>
      <c r="I1239" s="626" t="s">
        <v>3674</v>
      </c>
      <c r="J1239" s="638" t="s">
        <v>3674</v>
      </c>
      <c r="K1239" s="654" t="s">
        <v>667</v>
      </c>
      <c r="L1239" s="654" t="s">
        <v>3775</v>
      </c>
      <c r="M1239" s="666">
        <f>1500*12</f>
        <v>18000</v>
      </c>
      <c r="N1239" s="641"/>
      <c r="O1239" s="645"/>
      <c r="P1239" s="667"/>
    </row>
    <row r="1240" spans="1:16" s="619" customFormat="1" ht="48" x14ac:dyDescent="0.2">
      <c r="A1240" s="626" t="s">
        <v>3765</v>
      </c>
      <c r="B1240" s="626" t="s">
        <v>1908</v>
      </c>
      <c r="C1240" s="625" t="s">
        <v>104</v>
      </c>
      <c r="D1240" s="626" t="s">
        <v>3789</v>
      </c>
      <c r="E1240" s="643">
        <v>2000</v>
      </c>
      <c r="F1240" s="662">
        <v>41109033</v>
      </c>
      <c r="G1240" s="652" t="s">
        <v>3790</v>
      </c>
      <c r="H1240" s="638" t="s">
        <v>3773</v>
      </c>
      <c r="I1240" s="626" t="s">
        <v>3674</v>
      </c>
      <c r="J1240" s="638" t="s">
        <v>3674</v>
      </c>
      <c r="K1240" s="654" t="s">
        <v>670</v>
      </c>
      <c r="L1240" s="654" t="s">
        <v>3775</v>
      </c>
      <c r="M1240" s="666">
        <f>2000*12</f>
        <v>24000</v>
      </c>
      <c r="N1240" s="641"/>
      <c r="O1240" s="645"/>
      <c r="P1240" s="667"/>
    </row>
    <row r="1241" spans="1:16" s="619" customFormat="1" ht="48" x14ac:dyDescent="0.2">
      <c r="A1241" s="626" t="s">
        <v>3765</v>
      </c>
      <c r="B1241" s="626" t="s">
        <v>1908</v>
      </c>
      <c r="C1241" s="625" t="s">
        <v>104</v>
      </c>
      <c r="D1241" s="626" t="s">
        <v>3791</v>
      </c>
      <c r="E1241" s="643">
        <v>2041</v>
      </c>
      <c r="F1241" s="662">
        <v>16683565</v>
      </c>
      <c r="G1241" s="652" t="s">
        <v>3792</v>
      </c>
      <c r="H1241" s="638" t="s">
        <v>3793</v>
      </c>
      <c r="I1241" s="626" t="s">
        <v>3768</v>
      </c>
      <c r="J1241" s="638" t="s">
        <v>3769</v>
      </c>
      <c r="K1241" s="654" t="s">
        <v>3794</v>
      </c>
      <c r="L1241" s="654" t="s">
        <v>3775</v>
      </c>
      <c r="M1241" s="666">
        <v>2041</v>
      </c>
      <c r="N1241" s="641"/>
      <c r="O1241" s="640"/>
      <c r="P1241" s="667"/>
    </row>
    <row r="1242" spans="1:16" s="619" customFormat="1" ht="48" x14ac:dyDescent="0.2">
      <c r="A1242" s="626" t="s">
        <v>3765</v>
      </c>
      <c r="B1242" s="626" t="s">
        <v>1908</v>
      </c>
      <c r="C1242" s="625" t="s">
        <v>104</v>
      </c>
      <c r="D1242" s="626" t="s">
        <v>3795</v>
      </c>
      <c r="E1242" s="643">
        <v>1500</v>
      </c>
      <c r="F1242" s="662">
        <v>72807046</v>
      </c>
      <c r="G1242" s="652" t="s">
        <v>3796</v>
      </c>
      <c r="H1242" s="638" t="s">
        <v>3797</v>
      </c>
      <c r="I1242" s="626" t="s">
        <v>3594</v>
      </c>
      <c r="J1242" s="638" t="s">
        <v>3594</v>
      </c>
      <c r="K1242" s="654" t="s">
        <v>3798</v>
      </c>
      <c r="L1242" s="654" t="s">
        <v>3775</v>
      </c>
      <c r="M1242" s="666">
        <f>1500*12</f>
        <v>18000</v>
      </c>
      <c r="N1242" s="641"/>
      <c r="O1242" s="640"/>
      <c r="P1242" s="667"/>
    </row>
    <row r="1243" spans="1:16" s="619" customFormat="1" ht="48" x14ac:dyDescent="0.2">
      <c r="A1243" s="626" t="s">
        <v>3765</v>
      </c>
      <c r="B1243" s="626" t="s">
        <v>1908</v>
      </c>
      <c r="C1243" s="625" t="s">
        <v>104</v>
      </c>
      <c r="D1243" s="626" t="s">
        <v>3626</v>
      </c>
      <c r="E1243" s="643">
        <v>2500</v>
      </c>
      <c r="F1243" s="662">
        <v>43731885</v>
      </c>
      <c r="G1243" s="652" t="s">
        <v>3799</v>
      </c>
      <c r="H1243" s="638" t="s">
        <v>3074</v>
      </c>
      <c r="I1243" s="626" t="s">
        <v>3768</v>
      </c>
      <c r="J1243" s="638" t="s">
        <v>3769</v>
      </c>
      <c r="K1243" s="654" t="s">
        <v>672</v>
      </c>
      <c r="L1243" s="654" t="s">
        <v>3775</v>
      </c>
      <c r="M1243" s="666">
        <f>2500*12</f>
        <v>30000</v>
      </c>
      <c r="N1243" s="641"/>
      <c r="O1243" s="640"/>
      <c r="P1243" s="667"/>
    </row>
    <row r="1244" spans="1:16" s="619" customFormat="1" ht="48" x14ac:dyDescent="0.2">
      <c r="A1244" s="626" t="s">
        <v>3765</v>
      </c>
      <c r="B1244" s="626" t="s">
        <v>1908</v>
      </c>
      <c r="C1244" s="625" t="s">
        <v>104</v>
      </c>
      <c r="D1244" s="626" t="s">
        <v>3800</v>
      </c>
      <c r="E1244" s="643">
        <v>1500</v>
      </c>
      <c r="F1244" s="662">
        <v>33570126</v>
      </c>
      <c r="G1244" s="652" t="s">
        <v>3801</v>
      </c>
      <c r="H1244" s="638" t="s">
        <v>1919</v>
      </c>
      <c r="I1244" s="626" t="s">
        <v>3778</v>
      </c>
      <c r="J1244" s="638" t="s">
        <v>1919</v>
      </c>
      <c r="K1244" s="654" t="s">
        <v>675</v>
      </c>
      <c r="L1244" s="654" t="s">
        <v>3775</v>
      </c>
      <c r="M1244" s="666">
        <f>1500*12</f>
        <v>18000</v>
      </c>
      <c r="N1244" s="641"/>
      <c r="O1244" s="640"/>
      <c r="P1244" s="667"/>
    </row>
    <row r="1245" spans="1:16" s="619" customFormat="1" ht="48" x14ac:dyDescent="0.2">
      <c r="A1245" s="626" t="s">
        <v>3765</v>
      </c>
      <c r="B1245" s="626" t="s">
        <v>1908</v>
      </c>
      <c r="C1245" s="625" t="s">
        <v>104</v>
      </c>
      <c r="D1245" s="626" t="s">
        <v>3802</v>
      </c>
      <c r="E1245" s="643">
        <v>1300</v>
      </c>
      <c r="F1245" s="662">
        <v>33767037</v>
      </c>
      <c r="G1245" s="652" t="s">
        <v>3803</v>
      </c>
      <c r="H1245" s="638" t="s">
        <v>1919</v>
      </c>
      <c r="I1245" s="626" t="s">
        <v>3778</v>
      </c>
      <c r="J1245" s="638" t="s">
        <v>1919</v>
      </c>
      <c r="K1245" s="654" t="s">
        <v>677</v>
      </c>
      <c r="L1245" s="654" t="s">
        <v>3775</v>
      </c>
      <c r="M1245" s="666">
        <f>1300*12</f>
        <v>15600</v>
      </c>
      <c r="N1245" s="641"/>
      <c r="O1245" s="640"/>
      <c r="P1245" s="667"/>
    </row>
    <row r="1246" spans="1:16" s="619" customFormat="1" ht="48" x14ac:dyDescent="0.2">
      <c r="A1246" s="626" t="s">
        <v>3765</v>
      </c>
      <c r="B1246" s="626" t="s">
        <v>1908</v>
      </c>
      <c r="C1246" s="625" t="s">
        <v>104</v>
      </c>
      <c r="D1246" s="626" t="s">
        <v>3548</v>
      </c>
      <c r="E1246" s="643">
        <v>1000</v>
      </c>
      <c r="F1246" s="662">
        <v>43629594</v>
      </c>
      <c r="G1246" s="652" t="s">
        <v>3804</v>
      </c>
      <c r="H1246" s="638" t="s">
        <v>1919</v>
      </c>
      <c r="I1246" s="626" t="s">
        <v>3778</v>
      </c>
      <c r="J1246" s="638" t="s">
        <v>1919</v>
      </c>
      <c r="K1246" s="654" t="s">
        <v>680</v>
      </c>
      <c r="L1246" s="654" t="s">
        <v>3775</v>
      </c>
      <c r="M1246" s="666">
        <f>1000*12</f>
        <v>12000</v>
      </c>
      <c r="N1246" s="641"/>
      <c r="O1246" s="640"/>
      <c r="P1246" s="667"/>
    </row>
    <row r="1247" spans="1:16" s="619" customFormat="1" ht="48" x14ac:dyDescent="0.2">
      <c r="A1247" s="626" t="s">
        <v>3765</v>
      </c>
      <c r="B1247" s="626" t="s">
        <v>1908</v>
      </c>
      <c r="C1247" s="625" t="s">
        <v>104</v>
      </c>
      <c r="D1247" s="626" t="s">
        <v>3783</v>
      </c>
      <c r="E1247" s="643">
        <v>3100</v>
      </c>
      <c r="F1247" s="662">
        <v>47204076</v>
      </c>
      <c r="G1247" s="652" t="s">
        <v>3805</v>
      </c>
      <c r="H1247" s="638" t="s">
        <v>3806</v>
      </c>
      <c r="I1247" s="626" t="s">
        <v>3769</v>
      </c>
      <c r="J1247" s="638" t="s">
        <v>3769</v>
      </c>
      <c r="K1247" s="654" t="s">
        <v>682</v>
      </c>
      <c r="L1247" s="654" t="s">
        <v>3807</v>
      </c>
      <c r="M1247" s="666">
        <f>3100*3</f>
        <v>9300</v>
      </c>
      <c r="N1247" s="641"/>
      <c r="O1247" s="640"/>
      <c r="P1247" s="667"/>
    </row>
    <row r="1248" spans="1:16" s="619" customFormat="1" ht="48" x14ac:dyDescent="0.2">
      <c r="A1248" s="626" t="s">
        <v>3765</v>
      </c>
      <c r="B1248" s="626" t="s">
        <v>1908</v>
      </c>
      <c r="C1248" s="625" t="s">
        <v>104</v>
      </c>
      <c r="D1248" s="626" t="s">
        <v>3808</v>
      </c>
      <c r="E1248" s="643">
        <v>2500</v>
      </c>
      <c r="F1248" s="662">
        <v>46335765</v>
      </c>
      <c r="G1248" s="652" t="s">
        <v>3809</v>
      </c>
      <c r="H1248" s="638" t="s">
        <v>3810</v>
      </c>
      <c r="I1248" s="626" t="s">
        <v>3769</v>
      </c>
      <c r="J1248" s="638" t="s">
        <v>3769</v>
      </c>
      <c r="K1248" s="654" t="s">
        <v>3811</v>
      </c>
      <c r="L1248" s="654" t="s">
        <v>3812</v>
      </c>
      <c r="M1248" s="666">
        <f>2500*1</f>
        <v>2500</v>
      </c>
      <c r="N1248" s="641"/>
      <c r="O1248" s="640"/>
      <c r="P1248" s="667"/>
    </row>
    <row r="1249" spans="1:16" s="619" customFormat="1" ht="48" x14ac:dyDescent="0.2">
      <c r="A1249" s="626" t="s">
        <v>3765</v>
      </c>
      <c r="B1249" s="626" t="s">
        <v>1908</v>
      </c>
      <c r="C1249" s="625" t="s">
        <v>104</v>
      </c>
      <c r="D1249" s="626" t="s">
        <v>3783</v>
      </c>
      <c r="E1249" s="643">
        <v>3100</v>
      </c>
      <c r="F1249" s="662">
        <v>40451269</v>
      </c>
      <c r="G1249" s="652" t="s">
        <v>3784</v>
      </c>
      <c r="H1249" s="638" t="s">
        <v>3785</v>
      </c>
      <c r="I1249" s="626" t="s">
        <v>3785</v>
      </c>
      <c r="J1249" s="638" t="s">
        <v>3785</v>
      </c>
      <c r="K1249" s="654" t="s">
        <v>683</v>
      </c>
      <c r="L1249" s="654" t="s">
        <v>3813</v>
      </c>
      <c r="M1249" s="666">
        <v>9713.32</v>
      </c>
      <c r="N1249" s="641"/>
      <c r="O1249" s="640"/>
      <c r="P1249" s="667"/>
    </row>
    <row r="1250" spans="1:16" s="619" customFormat="1" ht="48" x14ac:dyDescent="0.2">
      <c r="A1250" s="626" t="s">
        <v>3765</v>
      </c>
      <c r="B1250" s="626" t="s">
        <v>1908</v>
      </c>
      <c r="C1250" s="625" t="s">
        <v>104</v>
      </c>
      <c r="D1250" s="626" t="s">
        <v>3783</v>
      </c>
      <c r="E1250" s="643">
        <v>3100</v>
      </c>
      <c r="F1250" s="662">
        <v>40451269</v>
      </c>
      <c r="G1250" s="652" t="s">
        <v>3784</v>
      </c>
      <c r="H1250" s="638" t="s">
        <v>3785</v>
      </c>
      <c r="I1250" s="626" t="s">
        <v>3785</v>
      </c>
      <c r="J1250" s="638" t="s">
        <v>3785</v>
      </c>
      <c r="K1250" s="654" t="s">
        <v>683</v>
      </c>
      <c r="L1250" s="654" t="s">
        <v>3814</v>
      </c>
      <c r="M1250" s="666">
        <v>9713.32</v>
      </c>
      <c r="N1250" s="626"/>
      <c r="O1250" s="651"/>
      <c r="P1250" s="667"/>
    </row>
    <row r="1251" spans="1:16" s="619" customFormat="1" ht="48" x14ac:dyDescent="0.2">
      <c r="A1251" s="626" t="s">
        <v>3765</v>
      </c>
      <c r="B1251" s="626" t="s">
        <v>1908</v>
      </c>
      <c r="C1251" s="625" t="s">
        <v>104</v>
      </c>
      <c r="D1251" s="626" t="s">
        <v>3771</v>
      </c>
      <c r="E1251" s="643">
        <v>2200</v>
      </c>
      <c r="F1251" s="662">
        <v>33766620</v>
      </c>
      <c r="G1251" s="652" t="s">
        <v>3772</v>
      </c>
      <c r="H1251" s="638" t="s">
        <v>3773</v>
      </c>
      <c r="I1251" s="626" t="s">
        <v>3674</v>
      </c>
      <c r="J1251" s="638" t="s">
        <v>3674</v>
      </c>
      <c r="K1251" s="654"/>
      <c r="L1251" s="654"/>
      <c r="M1251" s="666"/>
      <c r="N1251" s="626" t="s">
        <v>715</v>
      </c>
      <c r="O1251" s="651" t="s">
        <v>3815</v>
      </c>
      <c r="P1251" s="667">
        <f>2200*12</f>
        <v>26400</v>
      </c>
    </row>
    <row r="1252" spans="1:16" s="619" customFormat="1" ht="48" x14ac:dyDescent="0.2">
      <c r="A1252" s="626" t="s">
        <v>3765</v>
      </c>
      <c r="B1252" s="626" t="s">
        <v>1908</v>
      </c>
      <c r="C1252" s="625" t="s">
        <v>104</v>
      </c>
      <c r="D1252" s="626" t="s">
        <v>3776</v>
      </c>
      <c r="E1252" s="643">
        <v>1100</v>
      </c>
      <c r="F1252" s="662">
        <v>33765984</v>
      </c>
      <c r="G1252" s="652" t="s">
        <v>3777</v>
      </c>
      <c r="H1252" s="638" t="s">
        <v>1919</v>
      </c>
      <c r="I1252" s="626" t="s">
        <v>3778</v>
      </c>
      <c r="J1252" s="638" t="s">
        <v>1919</v>
      </c>
      <c r="K1252" s="654"/>
      <c r="L1252" s="654"/>
      <c r="M1252" s="666"/>
      <c r="N1252" s="626" t="s">
        <v>3816</v>
      </c>
      <c r="O1252" s="651" t="s">
        <v>3817</v>
      </c>
      <c r="P1252" s="667">
        <f>1100*12</f>
        <v>13200</v>
      </c>
    </row>
    <row r="1253" spans="1:16" s="619" customFormat="1" ht="48" x14ac:dyDescent="0.2">
      <c r="A1253" s="626" t="s">
        <v>3765</v>
      </c>
      <c r="B1253" s="626" t="s">
        <v>1908</v>
      </c>
      <c r="C1253" s="625" t="s">
        <v>104</v>
      </c>
      <c r="D1253" s="626" t="s">
        <v>3548</v>
      </c>
      <c r="E1253" s="643">
        <v>1100</v>
      </c>
      <c r="F1253" s="662">
        <v>33767482</v>
      </c>
      <c r="G1253" s="652" t="s">
        <v>3779</v>
      </c>
      <c r="H1253" s="638" t="s">
        <v>1919</v>
      </c>
      <c r="I1253" s="626" t="s">
        <v>3778</v>
      </c>
      <c r="J1253" s="638" t="s">
        <v>1919</v>
      </c>
      <c r="K1253" s="654"/>
      <c r="L1253" s="654"/>
      <c r="M1253" s="666"/>
      <c r="N1253" s="626" t="s">
        <v>727</v>
      </c>
      <c r="O1253" s="651" t="s">
        <v>3818</v>
      </c>
      <c r="P1253" s="667">
        <f>1100*12</f>
        <v>13200</v>
      </c>
    </row>
    <row r="1254" spans="1:16" s="619" customFormat="1" ht="48" x14ac:dyDescent="0.2">
      <c r="A1254" s="626" t="s">
        <v>3765</v>
      </c>
      <c r="B1254" s="626" t="s">
        <v>1908</v>
      </c>
      <c r="C1254" s="625" t="s">
        <v>104</v>
      </c>
      <c r="D1254" s="626" t="s">
        <v>3548</v>
      </c>
      <c r="E1254" s="643">
        <v>1100</v>
      </c>
      <c r="F1254" s="662">
        <v>33766217</v>
      </c>
      <c r="G1254" s="652" t="s">
        <v>3780</v>
      </c>
      <c r="H1254" s="638" t="s">
        <v>1919</v>
      </c>
      <c r="I1254" s="626" t="s">
        <v>3778</v>
      </c>
      <c r="J1254" s="638" t="s">
        <v>1919</v>
      </c>
      <c r="K1254" s="654"/>
      <c r="L1254" s="654"/>
      <c r="M1254" s="666"/>
      <c r="N1254" s="626" t="s">
        <v>724</v>
      </c>
      <c r="O1254" s="651" t="s">
        <v>3819</v>
      </c>
      <c r="P1254" s="667">
        <f>1100*12</f>
        <v>13200</v>
      </c>
    </row>
    <row r="1255" spans="1:16" s="619" customFormat="1" ht="48" x14ac:dyDescent="0.2">
      <c r="A1255" s="626" t="s">
        <v>3765</v>
      </c>
      <c r="B1255" s="626" t="s">
        <v>1908</v>
      </c>
      <c r="C1255" s="625" t="s">
        <v>104</v>
      </c>
      <c r="D1255" s="626" t="s">
        <v>3548</v>
      </c>
      <c r="E1255" s="643">
        <v>1100</v>
      </c>
      <c r="F1255" s="662" t="s">
        <v>3781</v>
      </c>
      <c r="G1255" s="652" t="s">
        <v>3782</v>
      </c>
      <c r="H1255" s="638" t="s">
        <v>1919</v>
      </c>
      <c r="I1255" s="626" t="s">
        <v>3778</v>
      </c>
      <c r="J1255" s="638" t="s">
        <v>1919</v>
      </c>
      <c r="K1255" s="654"/>
      <c r="L1255" s="654"/>
      <c r="M1255" s="666"/>
      <c r="N1255" s="626" t="s">
        <v>661</v>
      </c>
      <c r="O1255" s="651" t="s">
        <v>3820</v>
      </c>
      <c r="P1255" s="667">
        <f>1100*12</f>
        <v>13200</v>
      </c>
    </row>
    <row r="1256" spans="1:16" s="619" customFormat="1" ht="48" x14ac:dyDescent="0.2">
      <c r="A1256" s="626" t="s">
        <v>3765</v>
      </c>
      <c r="B1256" s="626" t="s">
        <v>1908</v>
      </c>
      <c r="C1256" s="625" t="s">
        <v>104</v>
      </c>
      <c r="D1256" s="626" t="s">
        <v>3783</v>
      </c>
      <c r="E1256" s="643">
        <v>3100</v>
      </c>
      <c r="F1256" s="662">
        <v>40451269</v>
      </c>
      <c r="G1256" s="652" t="s">
        <v>3784</v>
      </c>
      <c r="H1256" s="638" t="s">
        <v>3785</v>
      </c>
      <c r="I1256" s="626" t="s">
        <v>3785</v>
      </c>
      <c r="J1256" s="638" t="s">
        <v>3785</v>
      </c>
      <c r="K1256" s="654"/>
      <c r="L1256" s="654"/>
      <c r="M1256" s="666"/>
      <c r="N1256" s="626" t="s">
        <v>706</v>
      </c>
      <c r="O1256" s="651" t="s">
        <v>3821</v>
      </c>
      <c r="P1256" s="667">
        <f>3100*12</f>
        <v>37200</v>
      </c>
    </row>
    <row r="1257" spans="1:16" s="619" customFormat="1" ht="48" x14ac:dyDescent="0.2">
      <c r="A1257" s="626" t="s">
        <v>3765</v>
      </c>
      <c r="B1257" s="626" t="s">
        <v>1908</v>
      </c>
      <c r="C1257" s="625" t="s">
        <v>104</v>
      </c>
      <c r="D1257" s="626" t="s">
        <v>3786</v>
      </c>
      <c r="E1257" s="643">
        <v>1500</v>
      </c>
      <c r="F1257" s="662">
        <v>41502358</v>
      </c>
      <c r="G1257" s="652" t="s">
        <v>3787</v>
      </c>
      <c r="H1257" s="638" t="s">
        <v>3788</v>
      </c>
      <c r="I1257" s="626" t="s">
        <v>3674</v>
      </c>
      <c r="J1257" s="638" t="s">
        <v>3674</v>
      </c>
      <c r="K1257" s="654"/>
      <c r="L1257" s="654"/>
      <c r="M1257" s="666"/>
      <c r="N1257" s="626" t="s">
        <v>730</v>
      </c>
      <c r="O1257" s="651" t="s">
        <v>3822</v>
      </c>
      <c r="P1257" s="667">
        <f>1500*12</f>
        <v>18000</v>
      </c>
    </row>
    <row r="1258" spans="1:16" s="619" customFormat="1" ht="48" x14ac:dyDescent="0.2">
      <c r="A1258" s="626" t="s">
        <v>3765</v>
      </c>
      <c r="B1258" s="626" t="s">
        <v>1908</v>
      </c>
      <c r="C1258" s="625" t="s">
        <v>104</v>
      </c>
      <c r="D1258" s="626" t="s">
        <v>3789</v>
      </c>
      <c r="E1258" s="643">
        <v>2000</v>
      </c>
      <c r="F1258" s="662">
        <v>41109033</v>
      </c>
      <c r="G1258" s="652" t="s">
        <v>3790</v>
      </c>
      <c r="H1258" s="638" t="s">
        <v>3773</v>
      </c>
      <c r="I1258" s="626" t="s">
        <v>3674</v>
      </c>
      <c r="J1258" s="638" t="s">
        <v>3674</v>
      </c>
      <c r="K1258" s="654"/>
      <c r="L1258" s="654"/>
      <c r="M1258" s="666"/>
      <c r="N1258" s="626" t="s">
        <v>719</v>
      </c>
      <c r="O1258" s="651" t="s">
        <v>3823</v>
      </c>
      <c r="P1258" s="667">
        <f>2000*12</f>
        <v>24000</v>
      </c>
    </row>
    <row r="1259" spans="1:16" s="619" customFormat="1" ht="48" x14ac:dyDescent="0.2">
      <c r="A1259" s="626" t="s">
        <v>3765</v>
      </c>
      <c r="B1259" s="626" t="s">
        <v>1908</v>
      </c>
      <c r="C1259" s="625" t="s">
        <v>104</v>
      </c>
      <c r="D1259" s="626" t="s">
        <v>3824</v>
      </c>
      <c r="E1259" s="643">
        <v>2500</v>
      </c>
      <c r="F1259" s="662">
        <v>43731885</v>
      </c>
      <c r="G1259" s="652" t="s">
        <v>3799</v>
      </c>
      <c r="H1259" s="638" t="s">
        <v>3074</v>
      </c>
      <c r="I1259" s="626" t="s">
        <v>3768</v>
      </c>
      <c r="J1259" s="638" t="s">
        <v>3769</v>
      </c>
      <c r="K1259" s="654"/>
      <c r="L1259" s="654"/>
      <c r="M1259" s="666"/>
      <c r="N1259" s="626" t="s">
        <v>733</v>
      </c>
      <c r="O1259" s="651" t="s">
        <v>3825</v>
      </c>
      <c r="P1259" s="667">
        <f>2500*12</f>
        <v>30000</v>
      </c>
    </row>
    <row r="1260" spans="1:16" s="619" customFormat="1" ht="48" x14ac:dyDescent="0.2">
      <c r="A1260" s="626" t="s">
        <v>3765</v>
      </c>
      <c r="B1260" s="626" t="s">
        <v>1908</v>
      </c>
      <c r="C1260" s="625" t="s">
        <v>104</v>
      </c>
      <c r="D1260" s="626" t="s">
        <v>3800</v>
      </c>
      <c r="E1260" s="643">
        <v>1500</v>
      </c>
      <c r="F1260" s="662">
        <v>33570126</v>
      </c>
      <c r="G1260" s="652" t="s">
        <v>3801</v>
      </c>
      <c r="H1260" s="638" t="s">
        <v>1919</v>
      </c>
      <c r="I1260" s="626" t="s">
        <v>3778</v>
      </c>
      <c r="J1260" s="638" t="s">
        <v>1919</v>
      </c>
      <c r="K1260" s="654"/>
      <c r="L1260" s="654"/>
      <c r="M1260" s="666"/>
      <c r="N1260" s="626" t="s">
        <v>718</v>
      </c>
      <c r="O1260" s="651" t="s">
        <v>3826</v>
      </c>
      <c r="P1260" s="667">
        <f>1500*12</f>
        <v>18000</v>
      </c>
    </row>
    <row r="1261" spans="1:16" s="619" customFormat="1" ht="48" x14ac:dyDescent="0.2">
      <c r="A1261" s="626" t="s">
        <v>3765</v>
      </c>
      <c r="B1261" s="626" t="s">
        <v>1908</v>
      </c>
      <c r="C1261" s="625" t="s">
        <v>104</v>
      </c>
      <c r="D1261" s="626" t="s">
        <v>3802</v>
      </c>
      <c r="E1261" s="643">
        <v>1300</v>
      </c>
      <c r="F1261" s="662">
        <v>33767037</v>
      </c>
      <c r="G1261" s="652" t="s">
        <v>3803</v>
      </c>
      <c r="H1261" s="638" t="s">
        <v>1919</v>
      </c>
      <c r="I1261" s="626" t="s">
        <v>3778</v>
      </c>
      <c r="J1261" s="638" t="s">
        <v>1919</v>
      </c>
      <c r="K1261" s="654"/>
      <c r="L1261" s="654"/>
      <c r="M1261" s="666"/>
      <c r="N1261" s="626" t="s">
        <v>736</v>
      </c>
      <c r="O1261" s="651" t="s">
        <v>3827</v>
      </c>
      <c r="P1261" s="667">
        <f>1300*12</f>
        <v>15600</v>
      </c>
    </row>
    <row r="1262" spans="1:16" s="619" customFormat="1" ht="72" x14ac:dyDescent="0.2">
      <c r="A1262" s="626" t="s">
        <v>3765</v>
      </c>
      <c r="B1262" s="626" t="s">
        <v>3828</v>
      </c>
      <c r="C1262" s="625" t="s">
        <v>2015</v>
      </c>
      <c r="D1262" s="626" t="s">
        <v>3829</v>
      </c>
      <c r="E1262" s="643"/>
      <c r="F1262" s="662">
        <v>42683091</v>
      </c>
      <c r="G1262" s="652" t="s">
        <v>3830</v>
      </c>
      <c r="H1262" s="638" t="s">
        <v>3831</v>
      </c>
      <c r="I1262" s="626" t="s">
        <v>3674</v>
      </c>
      <c r="J1262" s="638" t="s">
        <v>1931</v>
      </c>
      <c r="K1262" s="626" t="s">
        <v>3832</v>
      </c>
      <c r="L1262" s="626">
        <v>12</v>
      </c>
      <c r="M1262" s="666">
        <f>6000+2000+2000+2000+2000+2000+2000+2000+2000+2000</f>
        <v>24000</v>
      </c>
      <c r="N1262" s="626"/>
      <c r="O1262" s="651"/>
      <c r="P1262" s="667"/>
    </row>
    <row r="1263" spans="1:16" s="619" customFormat="1" ht="48" x14ac:dyDescent="0.2">
      <c r="A1263" s="626" t="s">
        <v>3765</v>
      </c>
      <c r="B1263" s="626" t="s">
        <v>3828</v>
      </c>
      <c r="C1263" s="625" t="s">
        <v>2015</v>
      </c>
      <c r="D1263" s="626" t="s">
        <v>3833</v>
      </c>
      <c r="E1263" s="643"/>
      <c r="F1263" s="662">
        <v>46579993</v>
      </c>
      <c r="G1263" s="652" t="s">
        <v>3834</v>
      </c>
      <c r="H1263" s="638" t="s">
        <v>3835</v>
      </c>
      <c r="I1263" s="626" t="s">
        <v>3836</v>
      </c>
      <c r="J1263" s="638" t="s">
        <v>3836</v>
      </c>
      <c r="K1263" s="626" t="s">
        <v>3837</v>
      </c>
      <c r="L1263" s="626">
        <v>9</v>
      </c>
      <c r="M1263" s="666">
        <f>6000+1000+2000+2000+2000+2000</f>
        <v>15000</v>
      </c>
      <c r="N1263" s="626"/>
      <c r="O1263" s="651"/>
      <c r="P1263" s="667"/>
    </row>
    <row r="1264" spans="1:16" s="619" customFormat="1" ht="48" x14ac:dyDescent="0.2">
      <c r="A1264" s="626" t="s">
        <v>3765</v>
      </c>
      <c r="B1264" s="626" t="s">
        <v>3828</v>
      </c>
      <c r="C1264" s="625" t="s">
        <v>2015</v>
      </c>
      <c r="D1264" s="626" t="s">
        <v>3838</v>
      </c>
      <c r="E1264" s="643"/>
      <c r="F1264" s="662">
        <v>48394134</v>
      </c>
      <c r="G1264" s="652" t="s">
        <v>3839</v>
      </c>
      <c r="H1264" s="638" t="s">
        <v>3840</v>
      </c>
      <c r="I1264" s="626" t="s">
        <v>3769</v>
      </c>
      <c r="J1264" s="638" t="s">
        <v>3769</v>
      </c>
      <c r="K1264" s="626" t="s">
        <v>3841</v>
      </c>
      <c r="L1264" s="626" t="s">
        <v>3842</v>
      </c>
      <c r="M1264" s="666">
        <v>7000</v>
      </c>
      <c r="N1264" s="626"/>
      <c r="O1264" s="651"/>
      <c r="P1264" s="667"/>
    </row>
    <row r="1265" spans="1:16" s="619" customFormat="1" ht="48" x14ac:dyDescent="0.2">
      <c r="A1265" s="626" t="s">
        <v>3765</v>
      </c>
      <c r="B1265" s="626" t="s">
        <v>3828</v>
      </c>
      <c r="C1265" s="625" t="s">
        <v>2015</v>
      </c>
      <c r="D1265" s="626" t="s">
        <v>3843</v>
      </c>
      <c r="E1265" s="643"/>
      <c r="F1265" s="662">
        <v>43234266</v>
      </c>
      <c r="G1265" s="652" t="s">
        <v>3844</v>
      </c>
      <c r="H1265" s="638" t="s">
        <v>1982</v>
      </c>
      <c r="I1265" s="626" t="s">
        <v>3587</v>
      </c>
      <c r="J1265" s="638" t="s">
        <v>3587</v>
      </c>
      <c r="K1265" s="626" t="s">
        <v>3845</v>
      </c>
      <c r="L1265" s="626">
        <v>4</v>
      </c>
      <c r="M1265" s="666">
        <f>1800+1800+1800+1680</f>
        <v>7080</v>
      </c>
      <c r="N1265" s="654"/>
      <c r="O1265" s="668"/>
      <c r="P1265" s="669"/>
    </row>
    <row r="1266" spans="1:16" s="619" customFormat="1" ht="48" x14ac:dyDescent="0.2">
      <c r="A1266" s="626" t="s">
        <v>3765</v>
      </c>
      <c r="B1266" s="626" t="s">
        <v>3828</v>
      </c>
      <c r="C1266" s="625" t="s">
        <v>2015</v>
      </c>
      <c r="D1266" s="626" t="s">
        <v>3846</v>
      </c>
      <c r="E1266" s="643"/>
      <c r="F1266" s="662">
        <v>45627913</v>
      </c>
      <c r="G1266" s="652" t="s">
        <v>3847</v>
      </c>
      <c r="H1266" s="638" t="s">
        <v>3848</v>
      </c>
      <c r="I1266" s="626" t="s">
        <v>3587</v>
      </c>
      <c r="J1266" s="638" t="s">
        <v>3587</v>
      </c>
      <c r="K1266" s="626" t="s">
        <v>3849</v>
      </c>
      <c r="L1266" s="626">
        <v>7</v>
      </c>
      <c r="M1266" s="666">
        <f>6000+1200+2000+2000+2000</f>
        <v>13200</v>
      </c>
      <c r="N1266" s="654"/>
      <c r="O1266" s="668"/>
      <c r="P1266" s="669"/>
    </row>
    <row r="1267" spans="1:16" s="619" customFormat="1" ht="48" x14ac:dyDescent="0.2">
      <c r="A1267" s="626" t="s">
        <v>3765</v>
      </c>
      <c r="B1267" s="626" t="s">
        <v>3828</v>
      </c>
      <c r="C1267" s="625" t="s">
        <v>2015</v>
      </c>
      <c r="D1267" s="626" t="s">
        <v>3850</v>
      </c>
      <c r="E1267" s="643"/>
      <c r="F1267" s="662">
        <v>42494510</v>
      </c>
      <c r="G1267" s="652" t="s">
        <v>3851</v>
      </c>
      <c r="H1267" s="638" t="s">
        <v>3852</v>
      </c>
      <c r="I1267" s="626" t="s">
        <v>3674</v>
      </c>
      <c r="J1267" s="638" t="s">
        <v>3674</v>
      </c>
      <c r="K1267" s="626" t="s">
        <v>3853</v>
      </c>
      <c r="L1267" s="626" t="s">
        <v>3842</v>
      </c>
      <c r="M1267" s="666">
        <v>5400</v>
      </c>
      <c r="N1267" s="654"/>
      <c r="O1267" s="668"/>
      <c r="P1267" s="669"/>
    </row>
    <row r="1268" spans="1:16" s="619" customFormat="1" ht="48" x14ac:dyDescent="0.2">
      <c r="A1268" s="626" t="s">
        <v>3765</v>
      </c>
      <c r="B1268" s="626" t="s">
        <v>3828</v>
      </c>
      <c r="C1268" s="625" t="s">
        <v>2015</v>
      </c>
      <c r="D1268" s="626" t="s">
        <v>3854</v>
      </c>
      <c r="E1268" s="643"/>
      <c r="F1268" s="662">
        <v>47175467</v>
      </c>
      <c r="G1268" s="652" t="s">
        <v>3855</v>
      </c>
      <c r="H1268" s="638" t="s">
        <v>3856</v>
      </c>
      <c r="I1268" s="626" t="s">
        <v>3674</v>
      </c>
      <c r="J1268" s="638" t="s">
        <v>3674</v>
      </c>
      <c r="K1268" s="626" t="s">
        <v>3857</v>
      </c>
      <c r="L1268" s="626">
        <v>8</v>
      </c>
      <c r="M1268" s="666">
        <f>1500+1500+1500+1500+1500+1500+1500+1500</f>
        <v>12000</v>
      </c>
      <c r="N1268" s="654"/>
      <c r="O1268" s="668"/>
      <c r="P1268" s="667"/>
    </row>
    <row r="1269" spans="1:16" s="619" customFormat="1" ht="48" x14ac:dyDescent="0.2">
      <c r="A1269" s="626" t="s">
        <v>3765</v>
      </c>
      <c r="B1269" s="626" t="s">
        <v>3828</v>
      </c>
      <c r="C1269" s="625" t="s">
        <v>2015</v>
      </c>
      <c r="D1269" s="626" t="s">
        <v>3858</v>
      </c>
      <c r="E1269" s="643"/>
      <c r="F1269" s="662">
        <v>47893516</v>
      </c>
      <c r="G1269" s="652" t="s">
        <v>3859</v>
      </c>
      <c r="H1269" s="638" t="s">
        <v>3860</v>
      </c>
      <c r="I1269" s="626" t="s">
        <v>3769</v>
      </c>
      <c r="J1269" s="638" t="s">
        <v>3769</v>
      </c>
      <c r="K1269" s="626" t="s">
        <v>3861</v>
      </c>
      <c r="L1269" s="626" t="s">
        <v>3842</v>
      </c>
      <c r="M1269" s="666">
        <f>1800+3000+3000</f>
        <v>7800</v>
      </c>
      <c r="N1269" s="654"/>
      <c r="O1269" s="668"/>
      <c r="P1269" s="667"/>
    </row>
    <row r="1270" spans="1:16" s="619" customFormat="1" ht="48" x14ac:dyDescent="0.2">
      <c r="A1270" s="626" t="s">
        <v>3765</v>
      </c>
      <c r="B1270" s="626" t="s">
        <v>3828</v>
      </c>
      <c r="C1270" s="625" t="s">
        <v>2015</v>
      </c>
      <c r="D1270" s="626" t="s">
        <v>3862</v>
      </c>
      <c r="E1270" s="643"/>
      <c r="F1270" s="662">
        <v>33599133</v>
      </c>
      <c r="G1270" s="652" t="s">
        <v>3863</v>
      </c>
      <c r="H1270" s="638" t="s">
        <v>3864</v>
      </c>
      <c r="I1270" s="626" t="s">
        <v>1931</v>
      </c>
      <c r="J1270" s="638" t="s">
        <v>1931</v>
      </c>
      <c r="K1270" s="626" t="s">
        <v>3865</v>
      </c>
      <c r="L1270" s="626">
        <v>10</v>
      </c>
      <c r="M1270" s="666">
        <f>6000+2000+2000+2000+2000+2000+2000+2000</f>
        <v>20000</v>
      </c>
      <c r="N1270" s="654"/>
      <c r="O1270" s="668"/>
      <c r="P1270" s="667"/>
    </row>
    <row r="1271" spans="1:16" s="619" customFormat="1" ht="48" x14ac:dyDescent="0.2">
      <c r="A1271" s="626" t="s">
        <v>3765</v>
      </c>
      <c r="B1271" s="626" t="s">
        <v>3828</v>
      </c>
      <c r="C1271" s="625" t="s">
        <v>2015</v>
      </c>
      <c r="D1271" s="626" t="s">
        <v>3866</v>
      </c>
      <c r="E1271" s="643"/>
      <c r="F1271" s="662">
        <v>27854279</v>
      </c>
      <c r="G1271" s="652" t="s">
        <v>3867</v>
      </c>
      <c r="H1271" s="638" t="s">
        <v>3868</v>
      </c>
      <c r="I1271" s="626" t="s">
        <v>1931</v>
      </c>
      <c r="J1271" s="638" t="s">
        <v>1931</v>
      </c>
      <c r="K1271" s="626" t="s">
        <v>3869</v>
      </c>
      <c r="L1271" s="626" t="s">
        <v>3842</v>
      </c>
      <c r="M1271" s="666">
        <f>1100+1100+1100</f>
        <v>3300</v>
      </c>
      <c r="N1271" s="654"/>
      <c r="O1271" s="668"/>
      <c r="P1271" s="669"/>
    </row>
    <row r="1272" spans="1:16" s="619" customFormat="1" ht="48" x14ac:dyDescent="0.2">
      <c r="A1272" s="626" t="s">
        <v>3765</v>
      </c>
      <c r="B1272" s="626" t="s">
        <v>3828</v>
      </c>
      <c r="C1272" s="625" t="s">
        <v>2015</v>
      </c>
      <c r="D1272" s="626" t="s">
        <v>3870</v>
      </c>
      <c r="E1272" s="643"/>
      <c r="F1272" s="662">
        <v>42019083</v>
      </c>
      <c r="G1272" s="652" t="s">
        <v>3871</v>
      </c>
      <c r="H1272" s="638" t="s">
        <v>3872</v>
      </c>
      <c r="I1272" s="626" t="s">
        <v>3587</v>
      </c>
      <c r="J1272" s="638" t="s">
        <v>3587</v>
      </c>
      <c r="K1272" s="626" t="s">
        <v>3873</v>
      </c>
      <c r="L1272" s="626">
        <v>7</v>
      </c>
      <c r="M1272" s="666">
        <f>4000+2500+2500+2000+2000+2000</f>
        <v>15000</v>
      </c>
      <c r="N1272" s="654"/>
      <c r="O1272" s="668"/>
      <c r="P1272" s="669"/>
    </row>
    <row r="1273" spans="1:16" s="619" customFormat="1" ht="48" x14ac:dyDescent="0.2">
      <c r="A1273" s="626" t="s">
        <v>3765</v>
      </c>
      <c r="B1273" s="626" t="s">
        <v>3828</v>
      </c>
      <c r="C1273" s="625" t="s">
        <v>2015</v>
      </c>
      <c r="D1273" s="626" t="s">
        <v>3874</v>
      </c>
      <c r="E1273" s="643"/>
      <c r="F1273" s="662">
        <v>73953479</v>
      </c>
      <c r="G1273" s="652" t="s">
        <v>3875</v>
      </c>
      <c r="H1273" s="638" t="s">
        <v>3876</v>
      </c>
      <c r="I1273" s="626" t="s">
        <v>3877</v>
      </c>
      <c r="J1273" s="638" t="s">
        <v>3878</v>
      </c>
      <c r="K1273" s="626" t="s">
        <v>3879</v>
      </c>
      <c r="L1273" s="626" t="s">
        <v>3842</v>
      </c>
      <c r="M1273" s="666">
        <v>3900</v>
      </c>
      <c r="N1273" s="654"/>
      <c r="O1273" s="668"/>
      <c r="P1273" s="669"/>
    </row>
    <row r="1274" spans="1:16" s="619" customFormat="1" ht="48" x14ac:dyDescent="0.2">
      <c r="A1274" s="626" t="s">
        <v>3765</v>
      </c>
      <c r="B1274" s="626" t="s">
        <v>3828</v>
      </c>
      <c r="C1274" s="625" t="s">
        <v>2015</v>
      </c>
      <c r="D1274" s="626" t="s">
        <v>3880</v>
      </c>
      <c r="E1274" s="643"/>
      <c r="F1274" s="662">
        <v>477031148</v>
      </c>
      <c r="G1274" s="652" t="s">
        <v>3881</v>
      </c>
      <c r="H1274" s="638" t="s">
        <v>3778</v>
      </c>
      <c r="I1274" s="626" t="s">
        <v>1919</v>
      </c>
      <c r="J1274" s="638" t="s">
        <v>3778</v>
      </c>
      <c r="K1274" s="626" t="s">
        <v>3882</v>
      </c>
      <c r="L1274" s="626" t="s">
        <v>3842</v>
      </c>
      <c r="M1274" s="666">
        <v>3900</v>
      </c>
      <c r="N1274" s="654"/>
      <c r="O1274" s="668"/>
      <c r="P1274" s="669"/>
    </row>
    <row r="1275" spans="1:16" s="619" customFormat="1" ht="48" x14ac:dyDescent="0.2">
      <c r="A1275" s="626" t="s">
        <v>3765</v>
      </c>
      <c r="B1275" s="626" t="s">
        <v>3828</v>
      </c>
      <c r="C1275" s="625" t="s">
        <v>2015</v>
      </c>
      <c r="D1275" s="626" t="s">
        <v>3883</v>
      </c>
      <c r="E1275" s="643"/>
      <c r="F1275" s="662">
        <v>33770096</v>
      </c>
      <c r="G1275" s="652" t="s">
        <v>3884</v>
      </c>
      <c r="H1275" s="638" t="s">
        <v>3778</v>
      </c>
      <c r="I1275" s="626" t="s">
        <v>1919</v>
      </c>
      <c r="J1275" s="638" t="s">
        <v>3778</v>
      </c>
      <c r="K1275" s="626" t="s">
        <v>3885</v>
      </c>
      <c r="L1275" s="626" t="s">
        <v>3886</v>
      </c>
      <c r="M1275" s="666">
        <f>1100+1100</f>
        <v>2200</v>
      </c>
      <c r="N1275" s="654"/>
      <c r="O1275" s="668"/>
      <c r="P1275" s="669"/>
    </row>
    <row r="1276" spans="1:16" s="619" customFormat="1" ht="48" x14ac:dyDescent="0.2">
      <c r="A1276" s="626" t="s">
        <v>3765</v>
      </c>
      <c r="B1276" s="626" t="s">
        <v>3828</v>
      </c>
      <c r="C1276" s="625" t="s">
        <v>2015</v>
      </c>
      <c r="D1276" s="626" t="s">
        <v>3887</v>
      </c>
      <c r="E1276" s="643"/>
      <c r="F1276" s="662">
        <v>33767466</v>
      </c>
      <c r="G1276" s="652" t="s">
        <v>3888</v>
      </c>
      <c r="H1276" s="638" t="s">
        <v>3778</v>
      </c>
      <c r="I1276" s="626" t="s">
        <v>1919</v>
      </c>
      <c r="J1276" s="638" t="s">
        <v>3778</v>
      </c>
      <c r="K1276" s="626" t="s">
        <v>3889</v>
      </c>
      <c r="L1276" s="626">
        <v>6</v>
      </c>
      <c r="M1276" s="666">
        <f>3300+1100+920+1100</f>
        <v>6420</v>
      </c>
      <c r="N1276" s="654"/>
      <c r="O1276" s="668"/>
      <c r="P1276" s="669"/>
    </row>
    <row r="1277" spans="1:16" s="619" customFormat="1" ht="48" x14ac:dyDescent="0.2">
      <c r="A1277" s="626" t="s">
        <v>3765</v>
      </c>
      <c r="B1277" s="626" t="s">
        <v>3828</v>
      </c>
      <c r="C1277" s="625" t="s">
        <v>2015</v>
      </c>
      <c r="D1277" s="626" t="s">
        <v>3890</v>
      </c>
      <c r="E1277" s="643"/>
      <c r="F1277" s="662">
        <v>43115459</v>
      </c>
      <c r="G1277" s="652" t="s">
        <v>3891</v>
      </c>
      <c r="H1277" s="638" t="s">
        <v>3892</v>
      </c>
      <c r="I1277" s="626" t="s">
        <v>3674</v>
      </c>
      <c r="J1277" s="638" t="s">
        <v>3674</v>
      </c>
      <c r="K1277" s="626" t="s">
        <v>3893</v>
      </c>
      <c r="L1277" s="626">
        <v>9</v>
      </c>
      <c r="M1277" s="666">
        <f>4500+1500+1500+1500+1500+1500+1500</f>
        <v>13500</v>
      </c>
      <c r="N1277" s="654"/>
      <c r="O1277" s="668"/>
      <c r="P1277" s="669"/>
    </row>
    <row r="1278" spans="1:16" s="619" customFormat="1" ht="40.5" customHeight="1" x14ac:dyDescent="0.2">
      <c r="A1278" s="626" t="s">
        <v>3765</v>
      </c>
      <c r="B1278" s="626" t="s">
        <v>3828</v>
      </c>
      <c r="C1278" s="625" t="s">
        <v>2015</v>
      </c>
      <c r="D1278" s="626" t="s">
        <v>3894</v>
      </c>
      <c r="E1278" s="643"/>
      <c r="F1278" s="662">
        <v>43990450</v>
      </c>
      <c r="G1278" s="652" t="s">
        <v>3895</v>
      </c>
      <c r="H1278" s="638" t="s">
        <v>3896</v>
      </c>
      <c r="I1278" s="626" t="s">
        <v>3769</v>
      </c>
      <c r="J1278" s="638" t="s">
        <v>3769</v>
      </c>
      <c r="K1278" s="626" t="s">
        <v>3897</v>
      </c>
      <c r="L1278" s="626">
        <v>9</v>
      </c>
      <c r="M1278" s="666">
        <f>9000+1800+3000+3000+3000+3000</f>
        <v>22800</v>
      </c>
      <c r="N1278" s="654"/>
      <c r="O1278" s="668"/>
      <c r="P1278" s="669"/>
    </row>
    <row r="1279" spans="1:16" s="619" customFormat="1" ht="48" x14ac:dyDescent="0.2">
      <c r="A1279" s="626" t="s">
        <v>3765</v>
      </c>
      <c r="B1279" s="626" t="s">
        <v>3828</v>
      </c>
      <c r="C1279" s="625" t="s">
        <v>2015</v>
      </c>
      <c r="D1279" s="626" t="s">
        <v>3898</v>
      </c>
      <c r="E1279" s="643"/>
      <c r="F1279" s="662">
        <v>74560341</v>
      </c>
      <c r="G1279" s="652" t="s">
        <v>3899</v>
      </c>
      <c r="H1279" s="638" t="s">
        <v>3778</v>
      </c>
      <c r="I1279" s="626" t="s">
        <v>1919</v>
      </c>
      <c r="J1279" s="638" t="s">
        <v>3778</v>
      </c>
      <c r="K1279" s="626" t="s">
        <v>3900</v>
      </c>
      <c r="L1279" s="626">
        <v>6</v>
      </c>
      <c r="M1279" s="666">
        <f>2200+1100+ 1100+1136.76+1063.33</f>
        <v>6600.09</v>
      </c>
      <c r="N1279" s="654"/>
      <c r="O1279" s="668"/>
      <c r="P1279" s="669"/>
    </row>
    <row r="1280" spans="1:16" s="619" customFormat="1" ht="72" x14ac:dyDescent="0.2">
      <c r="A1280" s="626" t="s">
        <v>3765</v>
      </c>
      <c r="B1280" s="626" t="s">
        <v>3828</v>
      </c>
      <c r="C1280" s="625" t="s">
        <v>2015</v>
      </c>
      <c r="D1280" s="626" t="s">
        <v>3901</v>
      </c>
      <c r="E1280" s="643"/>
      <c r="F1280" s="662">
        <v>73201197</v>
      </c>
      <c r="G1280" s="652" t="s">
        <v>3902</v>
      </c>
      <c r="H1280" s="638" t="s">
        <v>3852</v>
      </c>
      <c r="I1280" s="626" t="s">
        <v>1931</v>
      </c>
      <c r="J1280" s="638" t="s">
        <v>1931</v>
      </c>
      <c r="K1280" s="626" t="s">
        <v>3903</v>
      </c>
      <c r="L1280" s="626">
        <v>10</v>
      </c>
      <c r="M1280" s="666">
        <f>1900+1900+950+ 1900+950+1900+1900+1900+1900+1900</f>
        <v>17100</v>
      </c>
      <c r="N1280" s="654"/>
      <c r="O1280" s="668"/>
      <c r="P1280" s="669"/>
    </row>
    <row r="1281" spans="1:16" s="619" customFormat="1" ht="48" x14ac:dyDescent="0.2">
      <c r="A1281" s="626" t="s">
        <v>3765</v>
      </c>
      <c r="B1281" s="626" t="s">
        <v>3828</v>
      </c>
      <c r="C1281" s="625" t="s">
        <v>2015</v>
      </c>
      <c r="D1281" s="626" t="s">
        <v>3904</v>
      </c>
      <c r="E1281" s="643"/>
      <c r="F1281" s="662">
        <v>72424699</v>
      </c>
      <c r="G1281" s="652" t="s">
        <v>3905</v>
      </c>
      <c r="H1281" s="638" t="s">
        <v>3778</v>
      </c>
      <c r="I1281" s="626" t="s">
        <v>1919</v>
      </c>
      <c r="J1281" s="638" t="s">
        <v>3778</v>
      </c>
      <c r="K1281" s="626" t="s">
        <v>3906</v>
      </c>
      <c r="L1281" s="626" t="s">
        <v>3886</v>
      </c>
      <c r="M1281" s="666">
        <f>1100+1100</f>
        <v>2200</v>
      </c>
      <c r="N1281" s="654"/>
      <c r="O1281" s="668"/>
      <c r="P1281" s="669"/>
    </row>
    <row r="1282" spans="1:16" s="619" customFormat="1" ht="47.25" customHeight="1" x14ac:dyDescent="0.2">
      <c r="A1282" s="626" t="s">
        <v>3765</v>
      </c>
      <c r="B1282" s="626" t="s">
        <v>3828</v>
      </c>
      <c r="C1282" s="625" t="s">
        <v>2015</v>
      </c>
      <c r="D1282" s="626" t="s">
        <v>3907</v>
      </c>
      <c r="E1282" s="643"/>
      <c r="F1282" s="662">
        <v>47781338</v>
      </c>
      <c r="G1282" s="652" t="s">
        <v>3908</v>
      </c>
      <c r="H1282" s="638" t="s">
        <v>3852</v>
      </c>
      <c r="I1282" s="626" t="s">
        <v>3346</v>
      </c>
      <c r="J1282" s="638" t="s">
        <v>3125</v>
      </c>
      <c r="K1282" s="626" t="s">
        <v>3909</v>
      </c>
      <c r="L1282" s="626">
        <v>7</v>
      </c>
      <c r="M1282" s="666">
        <f>3900+1100+1200+1100+1100</f>
        <v>8400</v>
      </c>
      <c r="N1282" s="654"/>
      <c r="O1282" s="668"/>
      <c r="P1282" s="669"/>
    </row>
    <row r="1283" spans="1:16" s="619" customFormat="1" ht="48" x14ac:dyDescent="0.2">
      <c r="A1283" s="626" t="s">
        <v>3765</v>
      </c>
      <c r="B1283" s="626" t="s">
        <v>3828</v>
      </c>
      <c r="C1283" s="625" t="s">
        <v>2015</v>
      </c>
      <c r="D1283" s="626" t="s">
        <v>3910</v>
      </c>
      <c r="E1283" s="643"/>
      <c r="F1283" s="662">
        <v>75699259</v>
      </c>
      <c r="G1283" s="652" t="s">
        <v>3911</v>
      </c>
      <c r="H1283" s="638" t="s">
        <v>3778</v>
      </c>
      <c r="I1283" s="626" t="s">
        <v>1919</v>
      </c>
      <c r="J1283" s="638" t="s">
        <v>3778</v>
      </c>
      <c r="K1283" s="626" t="s">
        <v>3912</v>
      </c>
      <c r="L1283" s="626" t="s">
        <v>3842</v>
      </c>
      <c r="M1283" s="666">
        <f>1100+1100+1100</f>
        <v>3300</v>
      </c>
      <c r="N1283" s="654"/>
      <c r="O1283" s="668"/>
      <c r="P1283" s="669"/>
    </row>
    <row r="1284" spans="1:16" s="619" customFormat="1" ht="48" x14ac:dyDescent="0.2">
      <c r="A1284" s="626" t="s">
        <v>3765</v>
      </c>
      <c r="B1284" s="626" t="s">
        <v>3828</v>
      </c>
      <c r="C1284" s="625" t="s">
        <v>2015</v>
      </c>
      <c r="D1284" s="626" t="s">
        <v>3913</v>
      </c>
      <c r="E1284" s="643"/>
      <c r="F1284" s="662">
        <v>44680546</v>
      </c>
      <c r="G1284" s="652" t="s">
        <v>3914</v>
      </c>
      <c r="H1284" s="638" t="s">
        <v>3778</v>
      </c>
      <c r="I1284" s="626" t="s">
        <v>1919</v>
      </c>
      <c r="J1284" s="638" t="s">
        <v>3778</v>
      </c>
      <c r="K1284" s="626" t="s">
        <v>3915</v>
      </c>
      <c r="L1284" s="626" t="s">
        <v>3842</v>
      </c>
      <c r="M1284" s="666">
        <f>1100+1100+1100</f>
        <v>3300</v>
      </c>
      <c r="N1284" s="654"/>
      <c r="O1284" s="668"/>
      <c r="P1284" s="669"/>
    </row>
    <row r="1285" spans="1:16" s="619" customFormat="1" ht="48" x14ac:dyDescent="0.2">
      <c r="A1285" s="626" t="s">
        <v>3765</v>
      </c>
      <c r="B1285" s="626" t="s">
        <v>3828</v>
      </c>
      <c r="C1285" s="625" t="s">
        <v>2015</v>
      </c>
      <c r="D1285" s="626" t="s">
        <v>3898</v>
      </c>
      <c r="E1285" s="643"/>
      <c r="F1285" s="662">
        <v>45646052</v>
      </c>
      <c r="G1285" s="652" t="s">
        <v>3916</v>
      </c>
      <c r="H1285" s="638" t="s">
        <v>3778</v>
      </c>
      <c r="I1285" s="626" t="s">
        <v>1919</v>
      </c>
      <c r="J1285" s="638" t="s">
        <v>3778</v>
      </c>
      <c r="K1285" s="626" t="s">
        <v>3917</v>
      </c>
      <c r="L1285" s="626" t="s">
        <v>3918</v>
      </c>
      <c r="M1285" s="666">
        <f>1100+1100+1026.77+1100+1100</f>
        <v>5426.77</v>
      </c>
      <c r="N1285" s="654"/>
      <c r="O1285" s="668"/>
      <c r="P1285" s="669"/>
    </row>
    <row r="1286" spans="1:16" s="619" customFormat="1" ht="48" x14ac:dyDescent="0.2">
      <c r="A1286" s="626" t="s">
        <v>3765</v>
      </c>
      <c r="B1286" s="626" t="s">
        <v>3828</v>
      </c>
      <c r="C1286" s="625" t="s">
        <v>2015</v>
      </c>
      <c r="D1286" s="626" t="s">
        <v>3838</v>
      </c>
      <c r="E1286" s="643"/>
      <c r="F1286" s="662">
        <v>75725322</v>
      </c>
      <c r="G1286" s="652" t="s">
        <v>3919</v>
      </c>
      <c r="H1286" s="638" t="s">
        <v>3920</v>
      </c>
      <c r="I1286" s="626" t="s">
        <v>3877</v>
      </c>
      <c r="J1286" s="638" t="s">
        <v>3878</v>
      </c>
      <c r="K1286" s="626" t="s">
        <v>3921</v>
      </c>
      <c r="L1286" s="626" t="s">
        <v>3886</v>
      </c>
      <c r="M1286" s="666">
        <f>1000+1000</f>
        <v>2000</v>
      </c>
      <c r="N1286" s="654"/>
      <c r="O1286" s="668"/>
      <c r="P1286" s="669"/>
    </row>
    <row r="1287" spans="1:16" s="619" customFormat="1" ht="46.5" customHeight="1" x14ac:dyDescent="0.2">
      <c r="A1287" s="626" t="s">
        <v>3765</v>
      </c>
      <c r="B1287" s="626" t="s">
        <v>3828</v>
      </c>
      <c r="C1287" s="625" t="s">
        <v>2015</v>
      </c>
      <c r="D1287" s="626" t="s">
        <v>3922</v>
      </c>
      <c r="E1287" s="643"/>
      <c r="F1287" s="662">
        <v>74740729</v>
      </c>
      <c r="G1287" s="652" t="s">
        <v>3923</v>
      </c>
      <c r="H1287" s="638" t="s">
        <v>1951</v>
      </c>
      <c r="I1287" s="626" t="s">
        <v>3674</v>
      </c>
      <c r="J1287" s="638" t="s">
        <v>3674</v>
      </c>
      <c r="K1287" s="626" t="s">
        <v>3924</v>
      </c>
      <c r="L1287" s="626">
        <v>6</v>
      </c>
      <c r="M1287" s="666">
        <f>1300+1300+1200+1500+1500</f>
        <v>6800</v>
      </c>
      <c r="N1287" s="654"/>
      <c r="O1287" s="668"/>
      <c r="P1287" s="669"/>
    </row>
    <row r="1288" spans="1:16" s="619" customFormat="1" ht="48" x14ac:dyDescent="0.2">
      <c r="A1288" s="626" t="s">
        <v>3765</v>
      </c>
      <c r="B1288" s="626" t="s">
        <v>3828</v>
      </c>
      <c r="C1288" s="625" t="s">
        <v>2015</v>
      </c>
      <c r="D1288" s="626" t="s">
        <v>3925</v>
      </c>
      <c r="E1288" s="643"/>
      <c r="F1288" s="662">
        <v>74550439</v>
      </c>
      <c r="G1288" s="652" t="s">
        <v>3926</v>
      </c>
      <c r="H1288" s="638" t="s">
        <v>3773</v>
      </c>
      <c r="I1288" s="626" t="s">
        <v>3674</v>
      </c>
      <c r="J1288" s="638" t="s">
        <v>1931</v>
      </c>
      <c r="K1288" s="626" t="s">
        <v>3927</v>
      </c>
      <c r="L1288" s="626" t="s">
        <v>3928</v>
      </c>
      <c r="M1288" s="666">
        <v>1000</v>
      </c>
      <c r="N1288" s="654"/>
      <c r="O1288" s="668"/>
      <c r="P1288" s="669"/>
    </row>
    <row r="1289" spans="1:16" s="619" customFormat="1" ht="48" x14ac:dyDescent="0.2">
      <c r="A1289" s="626" t="s">
        <v>3765</v>
      </c>
      <c r="B1289" s="626" t="s">
        <v>3828</v>
      </c>
      <c r="C1289" s="625" t="s">
        <v>2015</v>
      </c>
      <c r="D1289" s="626" t="s">
        <v>3907</v>
      </c>
      <c r="E1289" s="643"/>
      <c r="F1289" s="662">
        <v>7281114999</v>
      </c>
      <c r="G1289" s="652" t="s">
        <v>3929</v>
      </c>
      <c r="H1289" s="638" t="s">
        <v>3778</v>
      </c>
      <c r="I1289" s="626" t="s">
        <v>1919</v>
      </c>
      <c r="J1289" s="638" t="s">
        <v>3778</v>
      </c>
      <c r="K1289" s="626" t="s">
        <v>3930</v>
      </c>
      <c r="L1289" s="626" t="s">
        <v>3928</v>
      </c>
      <c r="M1289" s="666">
        <v>1000</v>
      </c>
      <c r="N1289" s="654"/>
      <c r="O1289" s="668"/>
      <c r="P1289" s="669"/>
    </row>
    <row r="1290" spans="1:16" s="619" customFormat="1" ht="48" x14ac:dyDescent="0.2">
      <c r="A1290" s="626" t="s">
        <v>3765</v>
      </c>
      <c r="B1290" s="626" t="s">
        <v>3828</v>
      </c>
      <c r="C1290" s="625" t="s">
        <v>2015</v>
      </c>
      <c r="D1290" s="626" t="s">
        <v>3843</v>
      </c>
      <c r="E1290" s="643"/>
      <c r="F1290" s="662">
        <v>76316451</v>
      </c>
      <c r="G1290" s="652" t="s">
        <v>3931</v>
      </c>
      <c r="H1290" s="638" t="s">
        <v>2087</v>
      </c>
      <c r="I1290" s="626" t="s">
        <v>3674</v>
      </c>
      <c r="J1290" s="638" t="s">
        <v>3674</v>
      </c>
      <c r="K1290" s="626" t="s">
        <v>3932</v>
      </c>
      <c r="L1290" s="626">
        <v>9</v>
      </c>
      <c r="M1290" s="666">
        <f>1300+1500+1500+1500+1500+1500+1500+1500</f>
        <v>11800</v>
      </c>
      <c r="N1290" s="654"/>
      <c r="O1290" s="668"/>
      <c r="P1290" s="669"/>
    </row>
    <row r="1291" spans="1:16" s="619" customFormat="1" ht="48" x14ac:dyDescent="0.2">
      <c r="A1291" s="626" t="s">
        <v>3765</v>
      </c>
      <c r="B1291" s="626" t="s">
        <v>3828</v>
      </c>
      <c r="C1291" s="625" t="s">
        <v>2015</v>
      </c>
      <c r="D1291" s="626" t="s">
        <v>3933</v>
      </c>
      <c r="E1291" s="643"/>
      <c r="F1291" s="662">
        <v>75683132</v>
      </c>
      <c r="G1291" s="652" t="s">
        <v>3934</v>
      </c>
      <c r="H1291" s="638" t="s">
        <v>2971</v>
      </c>
      <c r="I1291" s="626" t="s">
        <v>3877</v>
      </c>
      <c r="J1291" s="638" t="s">
        <v>3878</v>
      </c>
      <c r="K1291" s="626" t="s">
        <v>3935</v>
      </c>
      <c r="L1291" s="626" t="s">
        <v>3928</v>
      </c>
      <c r="M1291" s="666">
        <v>1000</v>
      </c>
      <c r="N1291" s="654"/>
      <c r="O1291" s="668"/>
      <c r="P1291" s="669"/>
    </row>
    <row r="1292" spans="1:16" s="619" customFormat="1" ht="48" x14ac:dyDescent="0.2">
      <c r="A1292" s="626" t="s">
        <v>3765</v>
      </c>
      <c r="B1292" s="626" t="s">
        <v>3828</v>
      </c>
      <c r="C1292" s="625" t="s">
        <v>2015</v>
      </c>
      <c r="D1292" s="626" t="s">
        <v>3936</v>
      </c>
      <c r="E1292" s="643"/>
      <c r="F1292" s="662">
        <v>45367091</v>
      </c>
      <c r="G1292" s="652" t="s">
        <v>3937</v>
      </c>
      <c r="H1292" s="638" t="s">
        <v>3938</v>
      </c>
      <c r="I1292" s="626" t="s">
        <v>3769</v>
      </c>
      <c r="J1292" s="638" t="s">
        <v>3769</v>
      </c>
      <c r="K1292" s="626" t="s">
        <v>3939</v>
      </c>
      <c r="L1292" s="626" t="s">
        <v>3886</v>
      </c>
      <c r="M1292" s="666">
        <f>1200+1200</f>
        <v>2400</v>
      </c>
      <c r="N1292" s="654"/>
      <c r="O1292" s="668"/>
      <c r="P1292" s="669"/>
    </row>
    <row r="1293" spans="1:16" s="619" customFormat="1" ht="48" x14ac:dyDescent="0.2">
      <c r="A1293" s="626" t="s">
        <v>3765</v>
      </c>
      <c r="B1293" s="626" t="s">
        <v>3828</v>
      </c>
      <c r="C1293" s="625" t="s">
        <v>2015</v>
      </c>
      <c r="D1293" s="626" t="s">
        <v>3940</v>
      </c>
      <c r="E1293" s="643"/>
      <c r="F1293" s="662">
        <v>72489174</v>
      </c>
      <c r="G1293" s="652" t="s">
        <v>3941</v>
      </c>
      <c r="H1293" s="638" t="s">
        <v>3942</v>
      </c>
      <c r="I1293" s="626" t="s">
        <v>3877</v>
      </c>
      <c r="J1293" s="638" t="s">
        <v>3878</v>
      </c>
      <c r="K1293" s="626" t="s">
        <v>3943</v>
      </c>
      <c r="L1293" s="626" t="s">
        <v>3928</v>
      </c>
      <c r="M1293" s="666">
        <v>1000</v>
      </c>
      <c r="N1293" s="654"/>
      <c r="O1293" s="668"/>
      <c r="P1293" s="669"/>
    </row>
    <row r="1294" spans="1:16" s="619" customFormat="1" ht="48" x14ac:dyDescent="0.2">
      <c r="A1294" s="626" t="s">
        <v>3765</v>
      </c>
      <c r="B1294" s="626" t="s">
        <v>3828</v>
      </c>
      <c r="C1294" s="625" t="s">
        <v>2015</v>
      </c>
      <c r="D1294" s="626" t="s">
        <v>3944</v>
      </c>
      <c r="E1294" s="643"/>
      <c r="F1294" s="662">
        <v>76557770</v>
      </c>
      <c r="G1294" s="652" t="s">
        <v>3945</v>
      </c>
      <c r="H1294" s="638" t="s">
        <v>3778</v>
      </c>
      <c r="I1294" s="626" t="s">
        <v>1919</v>
      </c>
      <c r="J1294" s="638" t="s">
        <v>3778</v>
      </c>
      <c r="K1294" s="626" t="s">
        <v>3946</v>
      </c>
      <c r="L1294" s="626" t="s">
        <v>3928</v>
      </c>
      <c r="M1294" s="666">
        <v>1000</v>
      </c>
      <c r="N1294" s="654"/>
      <c r="O1294" s="668"/>
      <c r="P1294" s="669"/>
    </row>
    <row r="1295" spans="1:16" s="619" customFormat="1" ht="48" x14ac:dyDescent="0.2">
      <c r="A1295" s="626" t="s">
        <v>3765</v>
      </c>
      <c r="B1295" s="626" t="s">
        <v>3828</v>
      </c>
      <c r="C1295" s="625" t="s">
        <v>2015</v>
      </c>
      <c r="D1295" s="626" t="s">
        <v>3947</v>
      </c>
      <c r="E1295" s="643"/>
      <c r="F1295" s="662">
        <v>60157795</v>
      </c>
      <c r="G1295" s="652" t="s">
        <v>3948</v>
      </c>
      <c r="H1295" s="638" t="s">
        <v>3778</v>
      </c>
      <c r="I1295" s="626" t="s">
        <v>1919</v>
      </c>
      <c r="J1295" s="638" t="s">
        <v>3778</v>
      </c>
      <c r="K1295" s="626" t="s">
        <v>3949</v>
      </c>
      <c r="L1295" s="626" t="s">
        <v>3928</v>
      </c>
      <c r="M1295" s="666">
        <v>1000</v>
      </c>
      <c r="N1295" s="654"/>
      <c r="O1295" s="668"/>
      <c r="P1295" s="669"/>
    </row>
    <row r="1296" spans="1:16" s="619" customFormat="1" ht="48" x14ac:dyDescent="0.2">
      <c r="A1296" s="626" t="s">
        <v>3765</v>
      </c>
      <c r="B1296" s="626" t="s">
        <v>3828</v>
      </c>
      <c r="C1296" s="625" t="s">
        <v>2015</v>
      </c>
      <c r="D1296" s="626" t="s">
        <v>3950</v>
      </c>
      <c r="E1296" s="643"/>
      <c r="F1296" s="662">
        <v>76870208</v>
      </c>
      <c r="G1296" s="652" t="s">
        <v>3951</v>
      </c>
      <c r="H1296" s="638" t="s">
        <v>3778</v>
      </c>
      <c r="I1296" s="626" t="s">
        <v>1919</v>
      </c>
      <c r="J1296" s="638" t="s">
        <v>3778</v>
      </c>
      <c r="K1296" s="626" t="s">
        <v>3952</v>
      </c>
      <c r="L1296" s="626" t="s">
        <v>3928</v>
      </c>
      <c r="M1296" s="666">
        <v>1000</v>
      </c>
      <c r="N1296" s="654"/>
      <c r="O1296" s="668"/>
      <c r="P1296" s="669"/>
    </row>
    <row r="1297" spans="1:16" s="619" customFormat="1" ht="48" x14ac:dyDescent="0.2">
      <c r="A1297" s="626" t="s">
        <v>3765</v>
      </c>
      <c r="B1297" s="626" t="s">
        <v>3828</v>
      </c>
      <c r="C1297" s="625" t="s">
        <v>2015</v>
      </c>
      <c r="D1297" s="626" t="s">
        <v>3953</v>
      </c>
      <c r="E1297" s="643"/>
      <c r="F1297" s="662">
        <v>48003800</v>
      </c>
      <c r="G1297" s="652" t="s">
        <v>3954</v>
      </c>
      <c r="H1297" s="638" t="s">
        <v>3831</v>
      </c>
      <c r="I1297" s="626" t="s">
        <v>3674</v>
      </c>
      <c r="J1297" s="638" t="s">
        <v>3674</v>
      </c>
      <c r="K1297" s="626" t="s">
        <v>3955</v>
      </c>
      <c r="L1297" s="626">
        <v>4</v>
      </c>
      <c r="M1297" s="666">
        <f>1000+1500+1100+1100</f>
        <v>4700</v>
      </c>
      <c r="N1297" s="654"/>
      <c r="O1297" s="668"/>
      <c r="P1297" s="669"/>
    </row>
    <row r="1298" spans="1:16" s="619" customFormat="1" ht="48" x14ac:dyDescent="0.2">
      <c r="A1298" s="626" t="s">
        <v>3765</v>
      </c>
      <c r="B1298" s="626" t="s">
        <v>3828</v>
      </c>
      <c r="C1298" s="625" t="s">
        <v>2015</v>
      </c>
      <c r="D1298" s="626" t="s">
        <v>3956</v>
      </c>
      <c r="E1298" s="643"/>
      <c r="F1298" s="662">
        <v>76832028</v>
      </c>
      <c r="G1298" s="652" t="s">
        <v>3957</v>
      </c>
      <c r="H1298" s="638" t="s">
        <v>3958</v>
      </c>
      <c r="I1298" s="626" t="s">
        <v>3877</v>
      </c>
      <c r="J1298" s="638" t="s">
        <v>3878</v>
      </c>
      <c r="K1298" s="626" t="s">
        <v>3959</v>
      </c>
      <c r="L1298" s="626" t="s">
        <v>3886</v>
      </c>
      <c r="M1298" s="666">
        <f>1000+1000</f>
        <v>2000</v>
      </c>
      <c r="N1298" s="654"/>
      <c r="O1298" s="668"/>
      <c r="P1298" s="669"/>
    </row>
    <row r="1299" spans="1:16" s="619" customFormat="1" ht="48" x14ac:dyDescent="0.2">
      <c r="A1299" s="626" t="s">
        <v>3765</v>
      </c>
      <c r="B1299" s="626" t="s">
        <v>3828</v>
      </c>
      <c r="C1299" s="625" t="s">
        <v>2015</v>
      </c>
      <c r="D1299" s="626" t="s">
        <v>3960</v>
      </c>
      <c r="E1299" s="643"/>
      <c r="F1299" s="662">
        <v>76780961</v>
      </c>
      <c r="G1299" s="652" t="s">
        <v>3961</v>
      </c>
      <c r="H1299" s="638" t="s">
        <v>3958</v>
      </c>
      <c r="I1299" s="626" t="s">
        <v>3877</v>
      </c>
      <c r="J1299" s="638" t="s">
        <v>3878</v>
      </c>
      <c r="K1299" s="626" t="s">
        <v>3962</v>
      </c>
      <c r="L1299" s="626" t="s">
        <v>3928</v>
      </c>
      <c r="M1299" s="666">
        <v>1000</v>
      </c>
      <c r="N1299" s="654"/>
      <c r="O1299" s="668"/>
      <c r="P1299" s="669"/>
    </row>
    <row r="1300" spans="1:16" s="619" customFormat="1" ht="48" x14ac:dyDescent="0.2">
      <c r="A1300" s="626" t="s">
        <v>3765</v>
      </c>
      <c r="B1300" s="626" t="s">
        <v>3828</v>
      </c>
      <c r="C1300" s="625" t="s">
        <v>2015</v>
      </c>
      <c r="D1300" s="626" t="s">
        <v>3963</v>
      </c>
      <c r="E1300" s="643"/>
      <c r="F1300" s="662">
        <v>45693286</v>
      </c>
      <c r="G1300" s="652" t="s">
        <v>3964</v>
      </c>
      <c r="H1300" s="638" t="s">
        <v>3872</v>
      </c>
      <c r="I1300" s="626" t="s">
        <v>3587</v>
      </c>
      <c r="J1300" s="638" t="s">
        <v>3587</v>
      </c>
      <c r="K1300" s="626" t="s">
        <v>3965</v>
      </c>
      <c r="L1300" s="626" t="s">
        <v>3886</v>
      </c>
      <c r="M1300" s="666">
        <f>1500+1500</f>
        <v>3000</v>
      </c>
      <c r="N1300" s="654"/>
      <c r="O1300" s="668"/>
      <c r="P1300" s="669"/>
    </row>
    <row r="1301" spans="1:16" s="619" customFormat="1" ht="48" x14ac:dyDescent="0.2">
      <c r="A1301" s="626" t="s">
        <v>3765</v>
      </c>
      <c r="B1301" s="626" t="s">
        <v>3828</v>
      </c>
      <c r="C1301" s="625" t="s">
        <v>2015</v>
      </c>
      <c r="D1301" s="626" t="s">
        <v>3966</v>
      </c>
      <c r="E1301" s="643"/>
      <c r="F1301" s="662">
        <v>74560017</v>
      </c>
      <c r="G1301" s="652" t="s">
        <v>3967</v>
      </c>
      <c r="H1301" s="638" t="s">
        <v>3778</v>
      </c>
      <c r="I1301" s="626" t="s">
        <v>3968</v>
      </c>
      <c r="J1301" s="638" t="s">
        <v>3878</v>
      </c>
      <c r="K1301" s="626" t="s">
        <v>3969</v>
      </c>
      <c r="L1301" s="626" t="s">
        <v>3928</v>
      </c>
      <c r="M1301" s="666">
        <v>1000</v>
      </c>
      <c r="N1301" s="654"/>
      <c r="O1301" s="668"/>
      <c r="P1301" s="669"/>
    </row>
    <row r="1302" spans="1:16" s="619" customFormat="1" ht="48" x14ac:dyDescent="0.2">
      <c r="A1302" s="626" t="s">
        <v>3765</v>
      </c>
      <c r="B1302" s="626" t="s">
        <v>3828</v>
      </c>
      <c r="C1302" s="625" t="s">
        <v>2015</v>
      </c>
      <c r="D1302" s="626" t="s">
        <v>3970</v>
      </c>
      <c r="E1302" s="643"/>
      <c r="F1302" s="662">
        <v>73853282</v>
      </c>
      <c r="G1302" s="652" t="s">
        <v>3971</v>
      </c>
      <c r="H1302" s="638" t="s">
        <v>3778</v>
      </c>
      <c r="I1302" s="626" t="s">
        <v>1919</v>
      </c>
      <c r="J1302" s="638" t="s">
        <v>3778</v>
      </c>
      <c r="K1302" s="626" t="s">
        <v>3972</v>
      </c>
      <c r="L1302" s="626" t="s">
        <v>3928</v>
      </c>
      <c r="M1302" s="666">
        <v>1000</v>
      </c>
      <c r="N1302" s="654"/>
      <c r="O1302" s="668"/>
      <c r="P1302" s="669"/>
    </row>
    <row r="1303" spans="1:16" s="619" customFormat="1" ht="48" x14ac:dyDescent="0.2">
      <c r="A1303" s="626" t="s">
        <v>3765</v>
      </c>
      <c r="B1303" s="626" t="s">
        <v>3828</v>
      </c>
      <c r="C1303" s="625" t="s">
        <v>2015</v>
      </c>
      <c r="D1303" s="626" t="s">
        <v>3973</v>
      </c>
      <c r="E1303" s="643"/>
      <c r="F1303" s="662">
        <v>48579866</v>
      </c>
      <c r="G1303" s="652" t="s">
        <v>3974</v>
      </c>
      <c r="H1303" s="638" t="s">
        <v>3778</v>
      </c>
      <c r="I1303" s="626" t="s">
        <v>1919</v>
      </c>
      <c r="J1303" s="638" t="s">
        <v>3778</v>
      </c>
      <c r="K1303" s="626" t="s">
        <v>3975</v>
      </c>
      <c r="L1303" s="626" t="s">
        <v>3928</v>
      </c>
      <c r="M1303" s="666">
        <v>1000</v>
      </c>
      <c r="N1303" s="654"/>
      <c r="O1303" s="668"/>
      <c r="P1303" s="669"/>
    </row>
    <row r="1304" spans="1:16" s="619" customFormat="1" ht="48" x14ac:dyDescent="0.2">
      <c r="A1304" s="626" t="s">
        <v>3765</v>
      </c>
      <c r="B1304" s="626" t="s">
        <v>3828</v>
      </c>
      <c r="C1304" s="625" t="s">
        <v>2015</v>
      </c>
      <c r="D1304" s="626" t="s">
        <v>3976</v>
      </c>
      <c r="E1304" s="643"/>
      <c r="F1304" s="662">
        <v>70939611</v>
      </c>
      <c r="G1304" s="652" t="s">
        <v>3977</v>
      </c>
      <c r="H1304" s="638" t="s">
        <v>3978</v>
      </c>
      <c r="I1304" s="626" t="s">
        <v>3587</v>
      </c>
      <c r="J1304" s="638" t="s">
        <v>3587</v>
      </c>
      <c r="K1304" s="626" t="s">
        <v>3979</v>
      </c>
      <c r="L1304" s="626" t="s">
        <v>3886</v>
      </c>
      <c r="M1304" s="666">
        <f>2800+2800</f>
        <v>5600</v>
      </c>
      <c r="N1304" s="654"/>
      <c r="O1304" s="668"/>
      <c r="P1304" s="669"/>
    </row>
    <row r="1305" spans="1:16" s="619" customFormat="1" ht="48" x14ac:dyDescent="0.2">
      <c r="A1305" s="626" t="s">
        <v>3765</v>
      </c>
      <c r="B1305" s="626" t="s">
        <v>3828</v>
      </c>
      <c r="C1305" s="625" t="s">
        <v>2015</v>
      </c>
      <c r="D1305" s="626" t="s">
        <v>3980</v>
      </c>
      <c r="E1305" s="643"/>
      <c r="F1305" s="662">
        <v>73971556</v>
      </c>
      <c r="G1305" s="652" t="s">
        <v>3981</v>
      </c>
      <c r="H1305" s="638" t="s">
        <v>3982</v>
      </c>
      <c r="I1305" s="626" t="s">
        <v>3877</v>
      </c>
      <c r="J1305" s="638" t="s">
        <v>3878</v>
      </c>
      <c r="K1305" s="626" t="s">
        <v>3983</v>
      </c>
      <c r="L1305" s="626">
        <v>5</v>
      </c>
      <c r="M1305" s="666">
        <f>1000+1200+1200+720+1200</f>
        <v>5320</v>
      </c>
      <c r="N1305" s="654"/>
      <c r="O1305" s="668"/>
      <c r="P1305" s="669"/>
    </row>
    <row r="1306" spans="1:16" s="619" customFormat="1" ht="44.25" customHeight="1" x14ac:dyDescent="0.2">
      <c r="A1306" s="626" t="s">
        <v>3765</v>
      </c>
      <c r="B1306" s="626" t="s">
        <v>3828</v>
      </c>
      <c r="C1306" s="625" t="s">
        <v>2015</v>
      </c>
      <c r="D1306" s="626" t="s">
        <v>3984</v>
      </c>
      <c r="E1306" s="643"/>
      <c r="F1306" s="662">
        <v>60157426</v>
      </c>
      <c r="G1306" s="652" t="s">
        <v>3985</v>
      </c>
      <c r="H1306" s="638" t="s">
        <v>3852</v>
      </c>
      <c r="I1306" s="626" t="s">
        <v>3674</v>
      </c>
      <c r="J1306" s="638" t="s">
        <v>3674</v>
      </c>
      <c r="K1306" s="626" t="s">
        <v>3986</v>
      </c>
      <c r="L1306" s="626">
        <v>9</v>
      </c>
      <c r="M1306" s="666">
        <f>1200+ 1200+1200+3600+3600+1800</f>
        <v>12600</v>
      </c>
      <c r="N1306" s="654"/>
      <c r="O1306" s="668"/>
      <c r="P1306" s="669"/>
    </row>
    <row r="1307" spans="1:16" s="619" customFormat="1" ht="48" x14ac:dyDescent="0.2">
      <c r="A1307" s="626" t="s">
        <v>3765</v>
      </c>
      <c r="B1307" s="626" t="s">
        <v>3828</v>
      </c>
      <c r="C1307" s="625" t="s">
        <v>2015</v>
      </c>
      <c r="D1307" s="626" t="s">
        <v>3987</v>
      </c>
      <c r="E1307" s="643"/>
      <c r="F1307" s="662">
        <v>73227010</v>
      </c>
      <c r="G1307" s="652" t="s">
        <v>3988</v>
      </c>
      <c r="H1307" s="638" t="s">
        <v>3877</v>
      </c>
      <c r="I1307" s="626" t="s">
        <v>3878</v>
      </c>
      <c r="J1307" s="638" t="s">
        <v>3878</v>
      </c>
      <c r="K1307" s="626" t="s">
        <v>3989</v>
      </c>
      <c r="L1307" s="626" t="s">
        <v>3886</v>
      </c>
      <c r="M1307" s="666">
        <f>1000+1000</f>
        <v>2000</v>
      </c>
      <c r="N1307" s="654"/>
      <c r="O1307" s="668"/>
      <c r="P1307" s="669"/>
    </row>
    <row r="1308" spans="1:16" s="619" customFormat="1" ht="48" x14ac:dyDescent="0.2">
      <c r="A1308" s="626" t="s">
        <v>3765</v>
      </c>
      <c r="B1308" s="626" t="s">
        <v>3828</v>
      </c>
      <c r="C1308" s="625" t="s">
        <v>2015</v>
      </c>
      <c r="D1308" s="626" t="s">
        <v>3990</v>
      </c>
      <c r="E1308" s="643"/>
      <c r="F1308" s="662">
        <v>72489174</v>
      </c>
      <c r="G1308" s="652" t="s">
        <v>3941</v>
      </c>
      <c r="H1308" s="638" t="s">
        <v>3942</v>
      </c>
      <c r="I1308" s="626" t="s">
        <v>3878</v>
      </c>
      <c r="J1308" s="638" t="s">
        <v>3878</v>
      </c>
      <c r="K1308" s="626" t="s">
        <v>3991</v>
      </c>
      <c r="L1308" s="626" t="s">
        <v>3928</v>
      </c>
      <c r="M1308" s="666">
        <v>1000</v>
      </c>
      <c r="N1308" s="654"/>
      <c r="O1308" s="668"/>
      <c r="P1308" s="669"/>
    </row>
    <row r="1309" spans="1:16" s="619" customFormat="1" ht="48" x14ac:dyDescent="0.2">
      <c r="A1309" s="626" t="s">
        <v>3765</v>
      </c>
      <c r="B1309" s="626" t="s">
        <v>3828</v>
      </c>
      <c r="C1309" s="625" t="s">
        <v>2015</v>
      </c>
      <c r="D1309" s="626" t="s">
        <v>3992</v>
      </c>
      <c r="E1309" s="643"/>
      <c r="F1309" s="662">
        <v>47657976</v>
      </c>
      <c r="G1309" s="652" t="s">
        <v>3993</v>
      </c>
      <c r="H1309" s="638" t="s">
        <v>2979</v>
      </c>
      <c r="I1309" s="626" t="s">
        <v>3769</v>
      </c>
      <c r="J1309" s="638" t="s">
        <v>3769</v>
      </c>
      <c r="K1309" s="626" t="s">
        <v>3994</v>
      </c>
      <c r="L1309" s="626" t="s">
        <v>3928</v>
      </c>
      <c r="M1309" s="666">
        <v>2800</v>
      </c>
      <c r="N1309" s="654"/>
      <c r="O1309" s="668"/>
      <c r="P1309" s="669"/>
    </row>
    <row r="1310" spans="1:16" s="619" customFormat="1" ht="48" x14ac:dyDescent="0.2">
      <c r="A1310" s="626" t="s">
        <v>3765</v>
      </c>
      <c r="B1310" s="626" t="s">
        <v>3828</v>
      </c>
      <c r="C1310" s="625" t="s">
        <v>2015</v>
      </c>
      <c r="D1310" s="626" t="s">
        <v>3995</v>
      </c>
      <c r="E1310" s="643"/>
      <c r="F1310" s="662">
        <v>48394134</v>
      </c>
      <c r="G1310" s="652" t="s">
        <v>3996</v>
      </c>
      <c r="H1310" s="638" t="s">
        <v>3773</v>
      </c>
      <c r="I1310" s="626" t="s">
        <v>3674</v>
      </c>
      <c r="J1310" s="638" t="s">
        <v>3674</v>
      </c>
      <c r="K1310" s="626" t="s">
        <v>3997</v>
      </c>
      <c r="L1310" s="626" t="s">
        <v>3886</v>
      </c>
      <c r="M1310" s="666">
        <f>1500+1500</f>
        <v>3000</v>
      </c>
      <c r="N1310" s="654"/>
      <c r="O1310" s="668"/>
      <c r="P1310" s="669"/>
    </row>
    <row r="1311" spans="1:16" s="619" customFormat="1" ht="48" x14ac:dyDescent="0.2">
      <c r="A1311" s="626" t="s">
        <v>3765</v>
      </c>
      <c r="B1311" s="626" t="s">
        <v>3828</v>
      </c>
      <c r="C1311" s="625" t="s">
        <v>2015</v>
      </c>
      <c r="D1311" s="626" t="s">
        <v>3970</v>
      </c>
      <c r="E1311" s="643"/>
      <c r="F1311" s="662">
        <v>73825500</v>
      </c>
      <c r="G1311" s="652" t="s">
        <v>3998</v>
      </c>
      <c r="H1311" s="638" t="s">
        <v>3999</v>
      </c>
      <c r="I1311" s="626" t="s">
        <v>3587</v>
      </c>
      <c r="J1311" s="638" t="s">
        <v>3587</v>
      </c>
      <c r="K1311" s="626" t="s">
        <v>4000</v>
      </c>
      <c r="L1311" s="626" t="s">
        <v>3928</v>
      </c>
      <c r="M1311" s="666">
        <v>1500</v>
      </c>
      <c r="N1311" s="654"/>
      <c r="O1311" s="668"/>
      <c r="P1311" s="669"/>
    </row>
    <row r="1312" spans="1:16" s="619" customFormat="1" ht="48" x14ac:dyDescent="0.2">
      <c r="A1312" s="626" t="s">
        <v>3765</v>
      </c>
      <c r="B1312" s="626" t="s">
        <v>3828</v>
      </c>
      <c r="C1312" s="625" t="s">
        <v>2015</v>
      </c>
      <c r="D1312" s="626" t="s">
        <v>4001</v>
      </c>
      <c r="E1312" s="643"/>
      <c r="F1312" s="662">
        <v>33764824</v>
      </c>
      <c r="G1312" s="652" t="s">
        <v>4002</v>
      </c>
      <c r="H1312" s="638" t="s">
        <v>3778</v>
      </c>
      <c r="I1312" s="626" t="s">
        <v>1919</v>
      </c>
      <c r="J1312" s="638" t="s">
        <v>3778</v>
      </c>
      <c r="K1312" s="626" t="s">
        <v>4003</v>
      </c>
      <c r="L1312" s="626" t="s">
        <v>3886</v>
      </c>
      <c r="M1312" s="666">
        <f>1000+1000</f>
        <v>2000</v>
      </c>
      <c r="N1312" s="654"/>
      <c r="O1312" s="668"/>
      <c r="P1312" s="669"/>
    </row>
    <row r="1313" spans="1:16" s="619" customFormat="1" ht="48" x14ac:dyDescent="0.2">
      <c r="A1313" s="626" t="s">
        <v>3765</v>
      </c>
      <c r="B1313" s="626" t="s">
        <v>3828</v>
      </c>
      <c r="C1313" s="625" t="s">
        <v>2015</v>
      </c>
      <c r="D1313" s="626" t="s">
        <v>4004</v>
      </c>
      <c r="E1313" s="643"/>
      <c r="F1313" s="662">
        <v>46423568</v>
      </c>
      <c r="G1313" s="652" t="s">
        <v>4005</v>
      </c>
      <c r="H1313" s="638" t="s">
        <v>1951</v>
      </c>
      <c r="I1313" s="626" t="s">
        <v>3674</v>
      </c>
      <c r="J1313" s="638" t="s">
        <v>3674</v>
      </c>
      <c r="K1313" s="626" t="s">
        <v>4006</v>
      </c>
      <c r="L1313" s="626">
        <v>7</v>
      </c>
      <c r="M1313" s="666">
        <f>1500+1500+1306.67+1400+1400+1400+1400</f>
        <v>9906.67</v>
      </c>
      <c r="N1313" s="654"/>
      <c r="O1313" s="668"/>
      <c r="P1313" s="669"/>
    </row>
    <row r="1314" spans="1:16" s="619" customFormat="1" ht="48" x14ac:dyDescent="0.2">
      <c r="A1314" s="626" t="s">
        <v>3765</v>
      </c>
      <c r="B1314" s="626" t="s">
        <v>3828</v>
      </c>
      <c r="C1314" s="625" t="s">
        <v>2015</v>
      </c>
      <c r="D1314" s="626" t="s">
        <v>4007</v>
      </c>
      <c r="E1314" s="643"/>
      <c r="F1314" s="662">
        <v>76832028</v>
      </c>
      <c r="G1314" s="652" t="s">
        <v>3957</v>
      </c>
      <c r="H1314" s="638" t="s">
        <v>3958</v>
      </c>
      <c r="I1314" s="626" t="s">
        <v>3877</v>
      </c>
      <c r="J1314" s="638" t="s">
        <v>3878</v>
      </c>
      <c r="K1314" s="626" t="s">
        <v>4008</v>
      </c>
      <c r="L1314" s="626" t="s">
        <v>3928</v>
      </c>
      <c r="M1314" s="666">
        <v>1000</v>
      </c>
      <c r="N1314" s="654"/>
      <c r="O1314" s="668"/>
      <c r="P1314" s="669"/>
    </row>
    <row r="1315" spans="1:16" s="619" customFormat="1" ht="48" x14ac:dyDescent="0.2">
      <c r="A1315" s="626" t="s">
        <v>3765</v>
      </c>
      <c r="B1315" s="626" t="s">
        <v>3828</v>
      </c>
      <c r="C1315" s="625" t="s">
        <v>2015</v>
      </c>
      <c r="D1315" s="626" t="s">
        <v>4009</v>
      </c>
      <c r="E1315" s="643"/>
      <c r="F1315" s="662">
        <v>45964523</v>
      </c>
      <c r="G1315" s="652" t="s">
        <v>4010</v>
      </c>
      <c r="H1315" s="638" t="s">
        <v>3778</v>
      </c>
      <c r="I1315" s="626" t="s">
        <v>1919</v>
      </c>
      <c r="J1315" s="638" t="s">
        <v>3778</v>
      </c>
      <c r="K1315" s="626" t="s">
        <v>4011</v>
      </c>
      <c r="L1315" s="626" t="s">
        <v>3928</v>
      </c>
      <c r="M1315" s="666">
        <v>1213</v>
      </c>
      <c r="N1315" s="654"/>
      <c r="O1315" s="668"/>
      <c r="P1315" s="669"/>
    </row>
    <row r="1316" spans="1:16" s="619" customFormat="1" ht="48" x14ac:dyDescent="0.2">
      <c r="A1316" s="626" t="s">
        <v>3765</v>
      </c>
      <c r="B1316" s="626" t="s">
        <v>3828</v>
      </c>
      <c r="C1316" s="625" t="s">
        <v>2015</v>
      </c>
      <c r="D1316" s="626" t="s">
        <v>4012</v>
      </c>
      <c r="E1316" s="643"/>
      <c r="F1316" s="662">
        <v>45627912</v>
      </c>
      <c r="G1316" s="652" t="s">
        <v>4013</v>
      </c>
      <c r="H1316" s="638" t="s">
        <v>4014</v>
      </c>
      <c r="I1316" s="626" t="s">
        <v>3877</v>
      </c>
      <c r="J1316" s="638" t="s">
        <v>3878</v>
      </c>
      <c r="K1316" s="626" t="s">
        <v>4015</v>
      </c>
      <c r="L1316" s="626" t="s">
        <v>3928</v>
      </c>
      <c r="M1316" s="666">
        <v>1050</v>
      </c>
      <c r="N1316" s="654"/>
      <c r="O1316" s="668"/>
      <c r="P1316" s="669"/>
    </row>
    <row r="1317" spans="1:16" s="619" customFormat="1" ht="48" x14ac:dyDescent="0.2">
      <c r="A1317" s="626" t="s">
        <v>3765</v>
      </c>
      <c r="B1317" s="626" t="s">
        <v>3828</v>
      </c>
      <c r="C1317" s="625" t="s">
        <v>2015</v>
      </c>
      <c r="D1317" s="626" t="s">
        <v>3751</v>
      </c>
      <c r="E1317" s="643"/>
      <c r="F1317" s="662">
        <v>42164169</v>
      </c>
      <c r="G1317" s="652" t="s">
        <v>4016</v>
      </c>
      <c r="H1317" s="638" t="s">
        <v>3773</v>
      </c>
      <c r="I1317" s="626" t="s">
        <v>3674</v>
      </c>
      <c r="J1317" s="638" t="s">
        <v>3674</v>
      </c>
      <c r="K1317" s="626" t="s">
        <v>4017</v>
      </c>
      <c r="L1317" s="626" t="s">
        <v>3886</v>
      </c>
      <c r="M1317" s="666">
        <f>2500+2500</f>
        <v>5000</v>
      </c>
      <c r="N1317" s="654"/>
      <c r="O1317" s="668"/>
      <c r="P1317" s="669"/>
    </row>
    <row r="1318" spans="1:16" s="619" customFormat="1" ht="48" x14ac:dyDescent="0.2">
      <c r="A1318" s="626" t="s">
        <v>3765</v>
      </c>
      <c r="B1318" s="626" t="s">
        <v>3828</v>
      </c>
      <c r="C1318" s="625" t="s">
        <v>2015</v>
      </c>
      <c r="D1318" s="626" t="s">
        <v>4018</v>
      </c>
      <c r="E1318" s="643"/>
      <c r="F1318" s="662">
        <v>70086222</v>
      </c>
      <c r="G1318" s="652" t="s">
        <v>4019</v>
      </c>
      <c r="H1318" s="638" t="s">
        <v>4020</v>
      </c>
      <c r="I1318" s="626" t="s">
        <v>3587</v>
      </c>
      <c r="J1318" s="638" t="s">
        <v>3587</v>
      </c>
      <c r="K1318" s="626" t="s">
        <v>4021</v>
      </c>
      <c r="L1318" s="626">
        <v>5</v>
      </c>
      <c r="M1318" s="666">
        <f>1620+1800+2000+2000+2000</f>
        <v>9420</v>
      </c>
      <c r="N1318" s="654"/>
      <c r="O1318" s="668"/>
      <c r="P1318" s="669"/>
    </row>
    <row r="1319" spans="1:16" s="619" customFormat="1" ht="48" x14ac:dyDescent="0.2">
      <c r="A1319" s="626" t="s">
        <v>3765</v>
      </c>
      <c r="B1319" s="626" t="s">
        <v>3828</v>
      </c>
      <c r="C1319" s="625" t="s">
        <v>2015</v>
      </c>
      <c r="D1319" s="626" t="s">
        <v>4022</v>
      </c>
      <c r="E1319" s="643"/>
      <c r="F1319" s="662">
        <v>42120629</v>
      </c>
      <c r="G1319" s="652" t="s">
        <v>4023</v>
      </c>
      <c r="H1319" s="638" t="s">
        <v>3856</v>
      </c>
      <c r="I1319" s="626" t="s">
        <v>3674</v>
      </c>
      <c r="J1319" s="638" t="s">
        <v>3674</v>
      </c>
      <c r="K1319" s="626" t="s">
        <v>4024</v>
      </c>
      <c r="L1319" s="626" t="s">
        <v>3886</v>
      </c>
      <c r="M1319" s="666">
        <f>600+1500</f>
        <v>2100</v>
      </c>
      <c r="N1319" s="654"/>
      <c r="O1319" s="668"/>
      <c r="P1319" s="669"/>
    </row>
    <row r="1320" spans="1:16" s="619" customFormat="1" ht="48" x14ac:dyDescent="0.2">
      <c r="A1320" s="626" t="s">
        <v>3765</v>
      </c>
      <c r="B1320" s="626" t="s">
        <v>3828</v>
      </c>
      <c r="C1320" s="625" t="s">
        <v>2015</v>
      </c>
      <c r="D1320" s="626" t="s">
        <v>3883</v>
      </c>
      <c r="E1320" s="643"/>
      <c r="F1320" s="662">
        <v>44712103</v>
      </c>
      <c r="G1320" s="652" t="s">
        <v>4025</v>
      </c>
      <c r="H1320" s="638" t="s">
        <v>3778</v>
      </c>
      <c r="I1320" s="626" t="s">
        <v>1919</v>
      </c>
      <c r="J1320" s="638" t="s">
        <v>3778</v>
      </c>
      <c r="K1320" s="626">
        <v>110</v>
      </c>
      <c r="L1320" s="626" t="s">
        <v>3928</v>
      </c>
      <c r="M1320" s="666">
        <v>1100</v>
      </c>
      <c r="N1320" s="654"/>
      <c r="O1320" s="668"/>
      <c r="P1320" s="669"/>
    </row>
    <row r="1321" spans="1:16" s="619" customFormat="1" ht="48" x14ac:dyDescent="0.2">
      <c r="A1321" s="626" t="s">
        <v>3765</v>
      </c>
      <c r="B1321" s="626" t="s">
        <v>3828</v>
      </c>
      <c r="C1321" s="625" t="s">
        <v>2015</v>
      </c>
      <c r="D1321" s="626" t="s">
        <v>3887</v>
      </c>
      <c r="E1321" s="643"/>
      <c r="F1321" s="662">
        <v>33770056</v>
      </c>
      <c r="G1321" s="652" t="s">
        <v>4026</v>
      </c>
      <c r="H1321" s="638" t="s">
        <v>3778</v>
      </c>
      <c r="I1321" s="626" t="s">
        <v>1919</v>
      </c>
      <c r="J1321" s="638" t="s">
        <v>3778</v>
      </c>
      <c r="K1321" s="626">
        <v>111</v>
      </c>
      <c r="L1321" s="626" t="s">
        <v>3928</v>
      </c>
      <c r="M1321" s="666">
        <v>1100</v>
      </c>
      <c r="N1321" s="654"/>
      <c r="O1321" s="668"/>
      <c r="P1321" s="669"/>
    </row>
    <row r="1322" spans="1:16" s="619" customFormat="1" ht="48" x14ac:dyDescent="0.2">
      <c r="A1322" s="626" t="s">
        <v>3765</v>
      </c>
      <c r="B1322" s="626" t="s">
        <v>3828</v>
      </c>
      <c r="C1322" s="625" t="s">
        <v>2015</v>
      </c>
      <c r="D1322" s="626" t="s">
        <v>3898</v>
      </c>
      <c r="E1322" s="643"/>
      <c r="F1322" s="662">
        <v>44680546</v>
      </c>
      <c r="G1322" s="652" t="s">
        <v>3914</v>
      </c>
      <c r="H1322" s="638" t="s">
        <v>3778</v>
      </c>
      <c r="I1322" s="626" t="s">
        <v>1919</v>
      </c>
      <c r="J1322" s="638" t="s">
        <v>3778</v>
      </c>
      <c r="K1322" s="626" t="s">
        <v>4027</v>
      </c>
      <c r="L1322" s="626">
        <v>2</v>
      </c>
      <c r="M1322" s="666">
        <f>1100+1100</f>
        <v>2200</v>
      </c>
      <c r="N1322" s="654"/>
      <c r="O1322" s="668"/>
      <c r="P1322" s="669"/>
    </row>
    <row r="1323" spans="1:16" s="619" customFormat="1" ht="48" x14ac:dyDescent="0.2">
      <c r="A1323" s="626" t="s">
        <v>3765</v>
      </c>
      <c r="B1323" s="626" t="s">
        <v>3828</v>
      </c>
      <c r="C1323" s="625" t="s">
        <v>2015</v>
      </c>
      <c r="D1323" s="626" t="s">
        <v>3883</v>
      </c>
      <c r="E1323" s="643"/>
      <c r="F1323" s="662">
        <v>45339894</v>
      </c>
      <c r="G1323" s="652" t="s">
        <v>4028</v>
      </c>
      <c r="H1323" s="638" t="s">
        <v>3778</v>
      </c>
      <c r="I1323" s="626" t="s">
        <v>1919</v>
      </c>
      <c r="J1323" s="638" t="s">
        <v>3778</v>
      </c>
      <c r="K1323" s="626" t="s">
        <v>4029</v>
      </c>
      <c r="L1323" s="626">
        <v>1</v>
      </c>
      <c r="M1323" s="666">
        <v>440</v>
      </c>
      <c r="N1323" s="654"/>
      <c r="O1323" s="668"/>
      <c r="P1323" s="669"/>
    </row>
    <row r="1324" spans="1:16" s="619" customFormat="1" ht="48" x14ac:dyDescent="0.2">
      <c r="A1324" s="626" t="s">
        <v>3765</v>
      </c>
      <c r="B1324" s="626" t="s">
        <v>3828</v>
      </c>
      <c r="C1324" s="625" t="s">
        <v>2015</v>
      </c>
      <c r="D1324" s="626" t="s">
        <v>4030</v>
      </c>
      <c r="E1324" s="643"/>
      <c r="F1324" s="662">
        <v>33766221</v>
      </c>
      <c r="G1324" s="652" t="s">
        <v>4031</v>
      </c>
      <c r="H1324" s="638" t="s">
        <v>3778</v>
      </c>
      <c r="I1324" s="626" t="s">
        <v>1919</v>
      </c>
      <c r="J1324" s="638" t="s">
        <v>3778</v>
      </c>
      <c r="K1324" s="626" t="s">
        <v>4032</v>
      </c>
      <c r="L1324" s="626">
        <v>2</v>
      </c>
      <c r="M1324" s="666">
        <f>2000+2000</f>
        <v>4000</v>
      </c>
      <c r="N1324" s="654"/>
      <c r="O1324" s="668"/>
      <c r="P1324" s="669"/>
    </row>
    <row r="1325" spans="1:16" s="619" customFormat="1" ht="48" x14ac:dyDescent="0.2">
      <c r="A1325" s="626" t="s">
        <v>3765</v>
      </c>
      <c r="B1325" s="626" t="s">
        <v>3828</v>
      </c>
      <c r="C1325" s="625" t="s">
        <v>2015</v>
      </c>
      <c r="D1325" s="626" t="s">
        <v>3904</v>
      </c>
      <c r="E1325" s="643"/>
      <c r="F1325" s="662">
        <v>48003800</v>
      </c>
      <c r="G1325" s="652" t="s">
        <v>3954</v>
      </c>
      <c r="H1325" s="638" t="s">
        <v>3831</v>
      </c>
      <c r="I1325" s="626" t="s">
        <v>3674</v>
      </c>
      <c r="J1325" s="638" t="s">
        <v>3674</v>
      </c>
      <c r="K1325" s="626">
        <v>124</v>
      </c>
      <c r="L1325" s="626" t="s">
        <v>3928</v>
      </c>
      <c r="M1325" s="666">
        <v>1100</v>
      </c>
      <c r="N1325" s="654"/>
      <c r="O1325" s="668"/>
      <c r="P1325" s="669"/>
    </row>
    <row r="1326" spans="1:16" s="619" customFormat="1" ht="48" x14ac:dyDescent="0.2">
      <c r="A1326" s="626" t="s">
        <v>3765</v>
      </c>
      <c r="B1326" s="626" t="s">
        <v>3828</v>
      </c>
      <c r="C1326" s="625" t="s">
        <v>2015</v>
      </c>
      <c r="D1326" s="626" t="s">
        <v>3883</v>
      </c>
      <c r="E1326" s="643"/>
      <c r="F1326" s="662">
        <v>70932681</v>
      </c>
      <c r="G1326" s="652" t="s">
        <v>4033</v>
      </c>
      <c r="H1326" s="638" t="s">
        <v>3778</v>
      </c>
      <c r="I1326" s="626" t="s">
        <v>1919</v>
      </c>
      <c r="J1326" s="638" t="s">
        <v>3778</v>
      </c>
      <c r="K1326" s="645">
        <v>132168</v>
      </c>
      <c r="L1326" s="626">
        <v>3</v>
      </c>
      <c r="M1326" s="666">
        <f>1283.33+1100</f>
        <v>2383.33</v>
      </c>
      <c r="N1326" s="654"/>
      <c r="O1326" s="668"/>
      <c r="P1326" s="669"/>
    </row>
    <row r="1327" spans="1:16" s="619" customFormat="1" ht="48" x14ac:dyDescent="0.2">
      <c r="A1327" s="626" t="s">
        <v>3765</v>
      </c>
      <c r="B1327" s="626" t="s">
        <v>3828</v>
      </c>
      <c r="C1327" s="625" t="s">
        <v>2015</v>
      </c>
      <c r="D1327" s="626" t="s">
        <v>3883</v>
      </c>
      <c r="E1327" s="643"/>
      <c r="F1327" s="662">
        <v>33765955</v>
      </c>
      <c r="G1327" s="652" t="s">
        <v>4034</v>
      </c>
      <c r="H1327" s="638" t="s">
        <v>3778</v>
      </c>
      <c r="I1327" s="626" t="s">
        <v>1919</v>
      </c>
      <c r="J1327" s="638" t="s">
        <v>3778</v>
      </c>
      <c r="K1327" s="626" t="s">
        <v>4035</v>
      </c>
      <c r="L1327" s="626">
        <v>3</v>
      </c>
      <c r="M1327" s="666">
        <f>1356.67+1100</f>
        <v>2456.67</v>
      </c>
      <c r="N1327" s="654"/>
      <c r="O1327" s="668"/>
      <c r="P1327" s="669"/>
    </row>
    <row r="1328" spans="1:16" s="619" customFormat="1" ht="48" x14ac:dyDescent="0.2">
      <c r="A1328" s="626" t="s">
        <v>3765</v>
      </c>
      <c r="B1328" s="626" t="s">
        <v>3828</v>
      </c>
      <c r="C1328" s="625" t="s">
        <v>2015</v>
      </c>
      <c r="D1328" s="626" t="s">
        <v>4036</v>
      </c>
      <c r="E1328" s="643"/>
      <c r="F1328" s="662">
        <v>33770151</v>
      </c>
      <c r="G1328" s="652" t="s">
        <v>4037</v>
      </c>
      <c r="H1328" s="638" t="s">
        <v>4038</v>
      </c>
      <c r="I1328" s="626" t="s">
        <v>3674</v>
      </c>
      <c r="J1328" s="638" t="s">
        <v>3674</v>
      </c>
      <c r="K1328" s="645" t="s">
        <v>4039</v>
      </c>
      <c r="L1328" s="626">
        <v>7</v>
      </c>
      <c r="M1328" s="666">
        <f>2340+1800+1800+1800+1800+1800</f>
        <v>11340</v>
      </c>
      <c r="N1328" s="654"/>
      <c r="O1328" s="668"/>
      <c r="P1328" s="669"/>
    </row>
    <row r="1329" spans="1:16" s="619" customFormat="1" ht="48" x14ac:dyDescent="0.2">
      <c r="A1329" s="626" t="s">
        <v>3765</v>
      </c>
      <c r="B1329" s="626" t="s">
        <v>3828</v>
      </c>
      <c r="C1329" s="625" t="s">
        <v>2015</v>
      </c>
      <c r="D1329" s="626" t="s">
        <v>4001</v>
      </c>
      <c r="E1329" s="643"/>
      <c r="F1329" s="662">
        <v>72492326</v>
      </c>
      <c r="G1329" s="652" t="s">
        <v>4040</v>
      </c>
      <c r="H1329" s="638" t="s">
        <v>2087</v>
      </c>
      <c r="I1329" s="626" t="s">
        <v>3674</v>
      </c>
      <c r="J1329" s="638" t="s">
        <v>1931</v>
      </c>
      <c r="K1329" s="626">
        <v>138</v>
      </c>
      <c r="L1329" s="626">
        <v>1</v>
      </c>
      <c r="M1329" s="666">
        <v>1451</v>
      </c>
      <c r="N1329" s="654"/>
      <c r="O1329" s="668"/>
      <c r="P1329" s="669"/>
    </row>
    <row r="1330" spans="1:16" s="619" customFormat="1" ht="48" x14ac:dyDescent="0.2">
      <c r="A1330" s="626" t="s">
        <v>3765</v>
      </c>
      <c r="B1330" s="626" t="s">
        <v>3828</v>
      </c>
      <c r="C1330" s="625" t="s">
        <v>2015</v>
      </c>
      <c r="D1330" s="626" t="s">
        <v>4041</v>
      </c>
      <c r="E1330" s="643"/>
      <c r="F1330" s="662">
        <v>72424699</v>
      </c>
      <c r="G1330" s="652" t="s">
        <v>3905</v>
      </c>
      <c r="H1330" s="638" t="s">
        <v>3778</v>
      </c>
      <c r="I1330" s="626" t="s">
        <v>1919</v>
      </c>
      <c r="J1330" s="638" t="s">
        <v>3778</v>
      </c>
      <c r="K1330" s="626" t="s">
        <v>4042</v>
      </c>
      <c r="L1330" s="626">
        <v>4</v>
      </c>
      <c r="M1330" s="666">
        <f>1064.52+1100+1100+1100</f>
        <v>4364.5200000000004</v>
      </c>
      <c r="N1330" s="654"/>
      <c r="O1330" s="668"/>
      <c r="P1330" s="669"/>
    </row>
    <row r="1331" spans="1:16" s="619" customFormat="1" ht="48" x14ac:dyDescent="0.2">
      <c r="A1331" s="626" t="s">
        <v>3765</v>
      </c>
      <c r="B1331" s="626" t="s">
        <v>3828</v>
      </c>
      <c r="C1331" s="625" t="s">
        <v>2015</v>
      </c>
      <c r="D1331" s="626" t="s">
        <v>4043</v>
      </c>
      <c r="E1331" s="643"/>
      <c r="F1331" s="662">
        <v>73953479</v>
      </c>
      <c r="G1331" s="652" t="s">
        <v>3875</v>
      </c>
      <c r="H1331" s="638" t="s">
        <v>3876</v>
      </c>
      <c r="I1331" s="626" t="s">
        <v>3877</v>
      </c>
      <c r="J1331" s="638" t="s">
        <v>3878</v>
      </c>
      <c r="K1331" s="626" t="s">
        <v>4044</v>
      </c>
      <c r="L1331" s="626">
        <v>2</v>
      </c>
      <c r="M1331" s="666">
        <f>1863.33+1100</f>
        <v>2963.33</v>
      </c>
      <c r="N1331" s="654"/>
      <c r="O1331" s="668"/>
      <c r="P1331" s="669"/>
    </row>
    <row r="1332" spans="1:16" s="619" customFormat="1" ht="48" x14ac:dyDescent="0.2">
      <c r="A1332" s="626" t="s">
        <v>3765</v>
      </c>
      <c r="B1332" s="626" t="s">
        <v>3828</v>
      </c>
      <c r="C1332" s="625" t="s">
        <v>2015</v>
      </c>
      <c r="D1332" s="626" t="s">
        <v>3973</v>
      </c>
      <c r="E1332" s="643"/>
      <c r="F1332" s="662">
        <v>44095590</v>
      </c>
      <c r="G1332" s="652" t="s">
        <v>4045</v>
      </c>
      <c r="H1332" s="638" t="s">
        <v>4046</v>
      </c>
      <c r="I1332" s="626" t="s">
        <v>3587</v>
      </c>
      <c r="J1332" s="638" t="s">
        <v>3587</v>
      </c>
      <c r="K1332" s="626" t="s">
        <v>4047</v>
      </c>
      <c r="L1332" s="626">
        <v>5</v>
      </c>
      <c r="M1332" s="666">
        <f>2600+2000+2000+2000+2000</f>
        <v>10600</v>
      </c>
      <c r="N1332" s="654"/>
      <c r="O1332" s="668"/>
      <c r="P1332" s="669"/>
    </row>
    <row r="1333" spans="1:16" s="619" customFormat="1" ht="48" x14ac:dyDescent="0.2">
      <c r="A1333" s="626" t="s">
        <v>3765</v>
      </c>
      <c r="B1333" s="626" t="s">
        <v>3828</v>
      </c>
      <c r="C1333" s="625" t="s">
        <v>2015</v>
      </c>
      <c r="D1333" s="626" t="s">
        <v>3698</v>
      </c>
      <c r="E1333" s="643"/>
      <c r="F1333" s="662">
        <v>43674676</v>
      </c>
      <c r="G1333" s="652" t="s">
        <v>4048</v>
      </c>
      <c r="H1333" s="638" t="s">
        <v>3074</v>
      </c>
      <c r="I1333" s="626" t="s">
        <v>3769</v>
      </c>
      <c r="J1333" s="638" t="s">
        <v>3769</v>
      </c>
      <c r="K1333" s="626">
        <v>142</v>
      </c>
      <c r="L1333" s="626">
        <v>3</v>
      </c>
      <c r="M1333" s="666">
        <v>13500</v>
      </c>
      <c r="N1333" s="654"/>
      <c r="O1333" s="668"/>
      <c r="P1333" s="669"/>
    </row>
    <row r="1334" spans="1:16" s="619" customFormat="1" ht="40.5" customHeight="1" x14ac:dyDescent="0.2">
      <c r="A1334" s="626" t="s">
        <v>3765</v>
      </c>
      <c r="B1334" s="626" t="s">
        <v>3828</v>
      </c>
      <c r="C1334" s="625" t="s">
        <v>2015</v>
      </c>
      <c r="D1334" s="626" t="s">
        <v>3883</v>
      </c>
      <c r="E1334" s="643"/>
      <c r="F1334" s="662">
        <v>45416693</v>
      </c>
      <c r="G1334" s="652" t="s">
        <v>4049</v>
      </c>
      <c r="H1334" s="638" t="s">
        <v>3938</v>
      </c>
      <c r="I1334" s="626" t="s">
        <v>3769</v>
      </c>
      <c r="J1334" s="638" t="s">
        <v>3769</v>
      </c>
      <c r="K1334" s="626" t="s">
        <v>4050</v>
      </c>
      <c r="L1334" s="626">
        <v>6</v>
      </c>
      <c r="M1334" s="666">
        <f>887.1+1000+1000+1100+1100+1100</f>
        <v>6187.1</v>
      </c>
      <c r="N1334" s="654"/>
      <c r="O1334" s="668"/>
      <c r="P1334" s="669"/>
    </row>
    <row r="1335" spans="1:16" s="619" customFormat="1" ht="48" x14ac:dyDescent="0.2">
      <c r="A1335" s="626" t="s">
        <v>3765</v>
      </c>
      <c r="B1335" s="626" t="s">
        <v>3828</v>
      </c>
      <c r="C1335" s="625" t="s">
        <v>2015</v>
      </c>
      <c r="D1335" s="626" t="s">
        <v>3898</v>
      </c>
      <c r="E1335" s="643"/>
      <c r="F1335" s="662">
        <v>44680546</v>
      </c>
      <c r="G1335" s="652" t="s">
        <v>3914</v>
      </c>
      <c r="H1335" s="638" t="s">
        <v>3778</v>
      </c>
      <c r="I1335" s="626" t="s">
        <v>1919</v>
      </c>
      <c r="J1335" s="638" t="s">
        <v>3778</v>
      </c>
      <c r="K1335" s="626">
        <v>144</v>
      </c>
      <c r="L1335" s="626">
        <v>1</v>
      </c>
      <c r="M1335" s="666">
        <v>1100</v>
      </c>
      <c r="N1335" s="654"/>
      <c r="O1335" s="668"/>
      <c r="P1335" s="669"/>
    </row>
    <row r="1336" spans="1:16" s="619" customFormat="1" ht="48" x14ac:dyDescent="0.2">
      <c r="A1336" s="626" t="s">
        <v>3765</v>
      </c>
      <c r="B1336" s="626" t="s">
        <v>3828</v>
      </c>
      <c r="C1336" s="625" t="s">
        <v>2015</v>
      </c>
      <c r="D1336" s="626" t="s">
        <v>4051</v>
      </c>
      <c r="E1336" s="643"/>
      <c r="F1336" s="662">
        <v>44026921</v>
      </c>
      <c r="G1336" s="652" t="s">
        <v>4052</v>
      </c>
      <c r="H1336" s="638" t="s">
        <v>4053</v>
      </c>
      <c r="I1336" s="626" t="s">
        <v>1931</v>
      </c>
      <c r="J1336" s="638" t="s">
        <v>1931</v>
      </c>
      <c r="K1336" s="626" t="s">
        <v>4054</v>
      </c>
      <c r="L1336" s="626">
        <v>5</v>
      </c>
      <c r="M1336" s="666">
        <f>2000+2000+2000+2000+2000</f>
        <v>10000</v>
      </c>
      <c r="N1336" s="654"/>
      <c r="O1336" s="668"/>
      <c r="P1336" s="669"/>
    </row>
    <row r="1337" spans="1:16" s="619" customFormat="1" ht="48" x14ac:dyDescent="0.2">
      <c r="A1337" s="626" t="s">
        <v>3765</v>
      </c>
      <c r="B1337" s="626" t="s">
        <v>3828</v>
      </c>
      <c r="C1337" s="625" t="s">
        <v>2015</v>
      </c>
      <c r="D1337" s="626" t="s">
        <v>4055</v>
      </c>
      <c r="E1337" s="643"/>
      <c r="F1337" s="662">
        <v>47126695</v>
      </c>
      <c r="G1337" s="652" t="s">
        <v>4056</v>
      </c>
      <c r="H1337" s="638" t="s">
        <v>4057</v>
      </c>
      <c r="I1337" s="626" t="s">
        <v>3769</v>
      </c>
      <c r="J1337" s="638" t="s">
        <v>3769</v>
      </c>
      <c r="K1337" s="626">
        <v>146</v>
      </c>
      <c r="L1337" s="626">
        <v>1</v>
      </c>
      <c r="M1337" s="666">
        <v>3000</v>
      </c>
      <c r="N1337" s="654"/>
      <c r="O1337" s="668"/>
      <c r="P1337" s="669"/>
    </row>
    <row r="1338" spans="1:16" s="619" customFormat="1" ht="48" x14ac:dyDescent="0.2">
      <c r="A1338" s="626" t="s">
        <v>3765</v>
      </c>
      <c r="B1338" s="626" t="s">
        <v>3828</v>
      </c>
      <c r="C1338" s="625" t="s">
        <v>2015</v>
      </c>
      <c r="D1338" s="626" t="s">
        <v>4001</v>
      </c>
      <c r="E1338" s="643"/>
      <c r="F1338" s="662">
        <v>47175467</v>
      </c>
      <c r="G1338" s="652" t="s">
        <v>3855</v>
      </c>
      <c r="H1338" s="638" t="s">
        <v>3856</v>
      </c>
      <c r="I1338" s="626" t="s">
        <v>3674</v>
      </c>
      <c r="J1338" s="638" t="s">
        <v>3674</v>
      </c>
      <c r="K1338" s="626">
        <v>152</v>
      </c>
      <c r="L1338" s="626">
        <v>1</v>
      </c>
      <c r="M1338" s="666">
        <v>720</v>
      </c>
      <c r="N1338" s="654"/>
      <c r="O1338" s="668"/>
      <c r="P1338" s="669"/>
    </row>
    <row r="1339" spans="1:16" s="619" customFormat="1" ht="48" x14ac:dyDescent="0.2">
      <c r="A1339" s="626" t="s">
        <v>3765</v>
      </c>
      <c r="B1339" s="626" t="s">
        <v>3828</v>
      </c>
      <c r="C1339" s="625" t="s">
        <v>2015</v>
      </c>
      <c r="D1339" s="626" t="s">
        <v>4058</v>
      </c>
      <c r="E1339" s="643"/>
      <c r="F1339" s="662">
        <v>44395510</v>
      </c>
      <c r="G1339" s="652" t="s">
        <v>4059</v>
      </c>
      <c r="H1339" s="638" t="s">
        <v>4060</v>
      </c>
      <c r="I1339" s="626" t="s">
        <v>3587</v>
      </c>
      <c r="J1339" s="638" t="s">
        <v>3587</v>
      </c>
      <c r="K1339" s="645" t="s">
        <v>4061</v>
      </c>
      <c r="L1339" s="626">
        <v>6</v>
      </c>
      <c r="M1339" s="666">
        <f>916.66+7500+2500+2800</f>
        <v>13716.66</v>
      </c>
      <c r="N1339" s="654"/>
      <c r="O1339" s="668"/>
      <c r="P1339" s="669"/>
    </row>
    <row r="1340" spans="1:16" s="619" customFormat="1" ht="48" x14ac:dyDescent="0.2">
      <c r="A1340" s="626" t="s">
        <v>3765</v>
      </c>
      <c r="B1340" s="626" t="s">
        <v>3828</v>
      </c>
      <c r="C1340" s="625" t="s">
        <v>2015</v>
      </c>
      <c r="D1340" s="626" t="s">
        <v>4062</v>
      </c>
      <c r="E1340" s="643"/>
      <c r="F1340" s="662">
        <v>46833260</v>
      </c>
      <c r="G1340" s="652" t="s">
        <v>4063</v>
      </c>
      <c r="H1340" s="638" t="s">
        <v>3896</v>
      </c>
      <c r="I1340" s="626" t="s">
        <v>3769</v>
      </c>
      <c r="J1340" s="638" t="s">
        <v>3769</v>
      </c>
      <c r="K1340" s="645">
        <v>159193</v>
      </c>
      <c r="L1340" s="626">
        <v>2</v>
      </c>
      <c r="M1340" s="666">
        <f>2000+1000</f>
        <v>3000</v>
      </c>
      <c r="N1340" s="654"/>
      <c r="O1340" s="668"/>
      <c r="P1340" s="669"/>
    </row>
    <row r="1341" spans="1:16" s="619" customFormat="1" ht="48" x14ac:dyDescent="0.2">
      <c r="A1341" s="626" t="s">
        <v>3765</v>
      </c>
      <c r="B1341" s="626" t="s">
        <v>3828</v>
      </c>
      <c r="C1341" s="625" t="s">
        <v>2015</v>
      </c>
      <c r="D1341" s="626" t="s">
        <v>4064</v>
      </c>
      <c r="E1341" s="643"/>
      <c r="F1341" s="662">
        <v>72492326</v>
      </c>
      <c r="G1341" s="652" t="s">
        <v>4040</v>
      </c>
      <c r="H1341" s="638" t="s">
        <v>2087</v>
      </c>
      <c r="I1341" s="626" t="s">
        <v>3674</v>
      </c>
      <c r="J1341" s="638" t="s">
        <v>1931</v>
      </c>
      <c r="K1341" s="626">
        <v>160</v>
      </c>
      <c r="L1341" s="626">
        <v>1</v>
      </c>
      <c r="M1341" s="666">
        <v>1500</v>
      </c>
      <c r="N1341" s="654"/>
      <c r="O1341" s="668"/>
      <c r="P1341" s="669"/>
    </row>
    <row r="1342" spans="1:16" s="619" customFormat="1" ht="48" x14ac:dyDescent="0.2">
      <c r="A1342" s="626" t="s">
        <v>3765</v>
      </c>
      <c r="B1342" s="626" t="s">
        <v>3828</v>
      </c>
      <c r="C1342" s="625" t="s">
        <v>2015</v>
      </c>
      <c r="D1342" s="626" t="s">
        <v>4065</v>
      </c>
      <c r="E1342" s="643"/>
      <c r="F1342" s="662">
        <v>46887724</v>
      </c>
      <c r="G1342" s="652" t="s">
        <v>4066</v>
      </c>
      <c r="H1342" s="638" t="s">
        <v>3074</v>
      </c>
      <c r="I1342" s="626" t="s">
        <v>3769</v>
      </c>
      <c r="J1342" s="638" t="s">
        <v>3769</v>
      </c>
      <c r="K1342" s="645" t="s">
        <v>4067</v>
      </c>
      <c r="L1342" s="626">
        <v>4</v>
      </c>
      <c r="M1342" s="666">
        <f>2000+2000+2000+2000</f>
        <v>8000</v>
      </c>
      <c r="N1342" s="654"/>
      <c r="O1342" s="668"/>
      <c r="P1342" s="669"/>
    </row>
    <row r="1343" spans="1:16" s="619" customFormat="1" ht="48" x14ac:dyDescent="0.2">
      <c r="A1343" s="626" t="s">
        <v>3765</v>
      </c>
      <c r="B1343" s="626" t="s">
        <v>3828</v>
      </c>
      <c r="C1343" s="625" t="s">
        <v>2015</v>
      </c>
      <c r="D1343" s="626" t="s">
        <v>4068</v>
      </c>
      <c r="E1343" s="643"/>
      <c r="F1343" s="662">
        <v>43145184</v>
      </c>
      <c r="G1343" s="652" t="s">
        <v>4069</v>
      </c>
      <c r="H1343" s="638" t="s">
        <v>4068</v>
      </c>
      <c r="I1343" s="626" t="s">
        <v>1931</v>
      </c>
      <c r="J1343" s="638" t="s">
        <v>1931</v>
      </c>
      <c r="K1343" s="626" t="s">
        <v>4070</v>
      </c>
      <c r="L1343" s="626">
        <v>5</v>
      </c>
      <c r="M1343" s="666">
        <f>2000+4000+2000+2000</f>
        <v>10000</v>
      </c>
      <c r="N1343" s="654"/>
      <c r="O1343" s="668"/>
      <c r="P1343" s="669"/>
    </row>
    <row r="1344" spans="1:16" s="619" customFormat="1" ht="48" x14ac:dyDescent="0.2">
      <c r="A1344" s="626" t="s">
        <v>3765</v>
      </c>
      <c r="B1344" s="626" t="s">
        <v>3828</v>
      </c>
      <c r="C1344" s="625" t="s">
        <v>2015</v>
      </c>
      <c r="D1344" s="626" t="s">
        <v>4071</v>
      </c>
      <c r="E1344" s="643"/>
      <c r="F1344" s="662">
        <v>73825500</v>
      </c>
      <c r="G1344" s="652" t="s">
        <v>3998</v>
      </c>
      <c r="H1344" s="638" t="s">
        <v>3999</v>
      </c>
      <c r="I1344" s="626" t="s">
        <v>3587</v>
      </c>
      <c r="J1344" s="638" t="s">
        <v>3587</v>
      </c>
      <c r="K1344" s="626" t="s">
        <v>4072</v>
      </c>
      <c r="L1344" s="626">
        <v>5</v>
      </c>
      <c r="M1344" s="666">
        <f>2053.33+2000+2000+2000+2000</f>
        <v>10053.33</v>
      </c>
      <c r="N1344" s="654"/>
      <c r="O1344" s="668"/>
      <c r="P1344" s="669"/>
    </row>
    <row r="1345" spans="1:16" s="619" customFormat="1" ht="48" x14ac:dyDescent="0.2">
      <c r="A1345" s="626" t="s">
        <v>3765</v>
      </c>
      <c r="B1345" s="626" t="s">
        <v>3828</v>
      </c>
      <c r="C1345" s="625" t="s">
        <v>2015</v>
      </c>
      <c r="D1345" s="626" t="s">
        <v>4073</v>
      </c>
      <c r="E1345" s="643"/>
      <c r="F1345" s="662">
        <v>40085680</v>
      </c>
      <c r="G1345" s="652" t="s">
        <v>4074</v>
      </c>
      <c r="H1345" s="638" t="s">
        <v>3778</v>
      </c>
      <c r="I1345" s="626" t="s">
        <v>1919</v>
      </c>
      <c r="J1345" s="638" t="s">
        <v>3778</v>
      </c>
      <c r="K1345" s="626">
        <v>182</v>
      </c>
      <c r="L1345" s="626">
        <v>1</v>
      </c>
      <c r="M1345" s="666">
        <v>1026.67</v>
      </c>
      <c r="N1345" s="654"/>
      <c r="O1345" s="668"/>
      <c r="P1345" s="669"/>
    </row>
    <row r="1346" spans="1:16" s="619" customFormat="1" ht="48" x14ac:dyDescent="0.2">
      <c r="A1346" s="626" t="s">
        <v>3765</v>
      </c>
      <c r="B1346" s="626" t="s">
        <v>3828</v>
      </c>
      <c r="C1346" s="625" t="s">
        <v>2015</v>
      </c>
      <c r="D1346" s="626" t="s">
        <v>4075</v>
      </c>
      <c r="E1346" s="643"/>
      <c r="F1346" s="662">
        <v>74740979</v>
      </c>
      <c r="G1346" s="652" t="s">
        <v>4076</v>
      </c>
      <c r="H1346" s="638" t="s">
        <v>4077</v>
      </c>
      <c r="I1346" s="626" t="s">
        <v>3877</v>
      </c>
      <c r="J1346" s="638" t="s">
        <v>3878</v>
      </c>
      <c r="K1346" s="626" t="s">
        <v>4078</v>
      </c>
      <c r="L1346" s="626">
        <v>2</v>
      </c>
      <c r="M1346" s="666">
        <f>933.33+1000</f>
        <v>1933.33</v>
      </c>
      <c r="N1346" s="654"/>
      <c r="O1346" s="668"/>
      <c r="P1346" s="669"/>
    </row>
    <row r="1347" spans="1:16" s="619" customFormat="1" ht="48" x14ac:dyDescent="0.2">
      <c r="A1347" s="626" t="s">
        <v>3765</v>
      </c>
      <c r="B1347" s="626" t="s">
        <v>3828</v>
      </c>
      <c r="C1347" s="625" t="s">
        <v>2015</v>
      </c>
      <c r="D1347" s="626" t="s">
        <v>4079</v>
      </c>
      <c r="E1347" s="643"/>
      <c r="F1347" s="662">
        <v>72489174</v>
      </c>
      <c r="G1347" s="652" t="s">
        <v>3941</v>
      </c>
      <c r="H1347" s="638" t="s">
        <v>3942</v>
      </c>
      <c r="I1347" s="626" t="s">
        <v>3877</v>
      </c>
      <c r="J1347" s="638" t="s">
        <v>3878</v>
      </c>
      <c r="K1347" s="626">
        <v>184</v>
      </c>
      <c r="L1347" s="626" t="s">
        <v>3928</v>
      </c>
      <c r="M1347" s="666">
        <v>933.33</v>
      </c>
      <c r="N1347" s="654"/>
      <c r="O1347" s="668"/>
      <c r="P1347" s="669"/>
    </row>
    <row r="1348" spans="1:16" s="619" customFormat="1" ht="48" x14ac:dyDescent="0.2">
      <c r="A1348" s="626" t="s">
        <v>3765</v>
      </c>
      <c r="B1348" s="626" t="s">
        <v>3828</v>
      </c>
      <c r="C1348" s="625" t="s">
        <v>2015</v>
      </c>
      <c r="D1348" s="626" t="s">
        <v>4018</v>
      </c>
      <c r="E1348" s="643"/>
      <c r="F1348" s="662">
        <v>48108094</v>
      </c>
      <c r="G1348" s="652" t="s">
        <v>4080</v>
      </c>
      <c r="H1348" s="638" t="s">
        <v>3778</v>
      </c>
      <c r="I1348" s="626" t="s">
        <v>1919</v>
      </c>
      <c r="J1348" s="638" t="s">
        <v>3778</v>
      </c>
      <c r="K1348" s="626" t="s">
        <v>4081</v>
      </c>
      <c r="L1348" s="626">
        <v>3</v>
      </c>
      <c r="M1348" s="666">
        <f>700+1200+1200</f>
        <v>3100</v>
      </c>
      <c r="N1348" s="654"/>
      <c r="O1348" s="668"/>
      <c r="P1348" s="669"/>
    </row>
    <row r="1349" spans="1:16" s="619" customFormat="1" ht="48" x14ac:dyDescent="0.2">
      <c r="A1349" s="626" t="s">
        <v>3765</v>
      </c>
      <c r="B1349" s="626" t="s">
        <v>3828</v>
      </c>
      <c r="C1349" s="625" t="s">
        <v>2015</v>
      </c>
      <c r="D1349" s="626" t="s">
        <v>3925</v>
      </c>
      <c r="E1349" s="643"/>
      <c r="F1349" s="662">
        <v>48077517</v>
      </c>
      <c r="G1349" s="652" t="s">
        <v>4082</v>
      </c>
      <c r="H1349" s="638" t="s">
        <v>4083</v>
      </c>
      <c r="I1349" s="626" t="s">
        <v>3587</v>
      </c>
      <c r="J1349" s="638" t="s">
        <v>3587</v>
      </c>
      <c r="K1349" s="626" t="s">
        <v>4084</v>
      </c>
      <c r="L1349" s="626">
        <v>2</v>
      </c>
      <c r="M1349" s="666">
        <f>1000+1500</f>
        <v>2500</v>
      </c>
      <c r="N1349" s="654"/>
      <c r="O1349" s="668"/>
      <c r="P1349" s="669"/>
    </row>
    <row r="1350" spans="1:16" s="619" customFormat="1" ht="48" x14ac:dyDescent="0.2">
      <c r="A1350" s="626" t="s">
        <v>3765</v>
      </c>
      <c r="B1350" s="626" t="s">
        <v>3828</v>
      </c>
      <c r="C1350" s="625" t="s">
        <v>2015</v>
      </c>
      <c r="D1350" s="626" t="s">
        <v>4085</v>
      </c>
      <c r="E1350" s="643"/>
      <c r="F1350" s="662">
        <v>43181873</v>
      </c>
      <c r="G1350" s="652" t="s">
        <v>4086</v>
      </c>
      <c r="H1350" s="638" t="s">
        <v>4087</v>
      </c>
      <c r="I1350" s="626" t="s">
        <v>3587</v>
      </c>
      <c r="J1350" s="638" t="s">
        <v>3587</v>
      </c>
      <c r="K1350" s="626" t="s">
        <v>4088</v>
      </c>
      <c r="L1350" s="626">
        <v>4</v>
      </c>
      <c r="M1350" s="666">
        <f>2800+2800+2800+2800</f>
        <v>11200</v>
      </c>
      <c r="N1350" s="654"/>
      <c r="O1350" s="668"/>
      <c r="P1350" s="669"/>
    </row>
    <row r="1351" spans="1:16" s="619" customFormat="1" ht="48" x14ac:dyDescent="0.2">
      <c r="A1351" s="626" t="s">
        <v>3765</v>
      </c>
      <c r="B1351" s="626" t="s">
        <v>3828</v>
      </c>
      <c r="C1351" s="625" t="s">
        <v>2015</v>
      </c>
      <c r="D1351" s="626" t="s">
        <v>4089</v>
      </c>
      <c r="E1351" s="643"/>
      <c r="F1351" s="662">
        <v>73953479</v>
      </c>
      <c r="G1351" s="652" t="s">
        <v>3875</v>
      </c>
      <c r="H1351" s="638" t="s">
        <v>3876</v>
      </c>
      <c r="I1351" s="626" t="s">
        <v>3877</v>
      </c>
      <c r="J1351" s="638" t="s">
        <v>3878</v>
      </c>
      <c r="K1351" s="626" t="s">
        <v>4090</v>
      </c>
      <c r="L1351" s="626">
        <v>4</v>
      </c>
      <c r="M1351" s="666">
        <f>1300+1300+1300+1300</f>
        <v>5200</v>
      </c>
      <c r="N1351" s="654"/>
      <c r="O1351" s="668"/>
      <c r="P1351" s="669"/>
    </row>
    <row r="1352" spans="1:16" s="619" customFormat="1" ht="48" x14ac:dyDescent="0.2">
      <c r="A1352" s="626" t="s">
        <v>3765</v>
      </c>
      <c r="B1352" s="626" t="s">
        <v>3828</v>
      </c>
      <c r="C1352" s="625" t="s">
        <v>2015</v>
      </c>
      <c r="D1352" s="626" t="s">
        <v>4091</v>
      </c>
      <c r="E1352" s="643"/>
      <c r="F1352" s="662">
        <v>73971556</v>
      </c>
      <c r="G1352" s="652" t="s">
        <v>3981</v>
      </c>
      <c r="H1352" s="638" t="s">
        <v>3982</v>
      </c>
      <c r="I1352" s="626" t="s">
        <v>3877</v>
      </c>
      <c r="J1352" s="638" t="s">
        <v>3878</v>
      </c>
      <c r="K1352" s="626" t="s">
        <v>4092</v>
      </c>
      <c r="L1352" s="626">
        <v>4</v>
      </c>
      <c r="M1352" s="666">
        <f>1100+1100+1100+319</f>
        <v>3619</v>
      </c>
      <c r="N1352" s="654"/>
      <c r="O1352" s="668"/>
      <c r="P1352" s="669"/>
    </row>
    <row r="1353" spans="1:16" s="619" customFormat="1" ht="48" x14ac:dyDescent="0.2">
      <c r="A1353" s="626" t="s">
        <v>3765</v>
      </c>
      <c r="B1353" s="626" t="s">
        <v>3828</v>
      </c>
      <c r="C1353" s="625" t="s">
        <v>2015</v>
      </c>
      <c r="D1353" s="626" t="s">
        <v>4041</v>
      </c>
      <c r="E1353" s="643"/>
      <c r="F1353" s="662">
        <v>43234266</v>
      </c>
      <c r="G1353" s="652" t="s">
        <v>3844</v>
      </c>
      <c r="H1353" s="638" t="s">
        <v>1982</v>
      </c>
      <c r="I1353" s="626" t="s">
        <v>3587</v>
      </c>
      <c r="J1353" s="638" t="s">
        <v>3587</v>
      </c>
      <c r="K1353" s="626" t="s">
        <v>4093</v>
      </c>
      <c r="L1353" s="626">
        <v>4</v>
      </c>
      <c r="M1353" s="666">
        <f>2000+2000+2000+2000</f>
        <v>8000</v>
      </c>
      <c r="N1353" s="654"/>
      <c r="O1353" s="668"/>
      <c r="P1353" s="669"/>
    </row>
    <row r="1354" spans="1:16" s="619" customFormat="1" ht="48" x14ac:dyDescent="0.2">
      <c r="A1354" s="626" t="s">
        <v>3765</v>
      </c>
      <c r="B1354" s="626" t="s">
        <v>3828</v>
      </c>
      <c r="C1354" s="625" t="s">
        <v>2015</v>
      </c>
      <c r="D1354" s="626" t="s">
        <v>4094</v>
      </c>
      <c r="E1354" s="643"/>
      <c r="F1354" s="662">
        <v>72489174</v>
      </c>
      <c r="G1354" s="652" t="s">
        <v>3941</v>
      </c>
      <c r="H1354" s="638" t="s">
        <v>3942</v>
      </c>
      <c r="I1354" s="626" t="s">
        <v>3877</v>
      </c>
      <c r="J1354" s="638" t="s">
        <v>3878</v>
      </c>
      <c r="K1354" s="626" t="s">
        <v>4095</v>
      </c>
      <c r="L1354" s="626">
        <v>3</v>
      </c>
      <c r="M1354" s="666">
        <f>1000+1100+1100</f>
        <v>3200</v>
      </c>
      <c r="N1354" s="654"/>
      <c r="O1354" s="668"/>
      <c r="P1354" s="669"/>
    </row>
    <row r="1355" spans="1:16" s="619" customFormat="1" ht="48" x14ac:dyDescent="0.2">
      <c r="A1355" s="626" t="s">
        <v>3765</v>
      </c>
      <c r="B1355" s="626" t="s">
        <v>3828</v>
      </c>
      <c r="C1355" s="625" t="s">
        <v>2015</v>
      </c>
      <c r="D1355" s="626" t="s">
        <v>4058</v>
      </c>
      <c r="E1355" s="643"/>
      <c r="F1355" s="662">
        <v>60627242</v>
      </c>
      <c r="G1355" s="652" t="s">
        <v>4096</v>
      </c>
      <c r="H1355" s="638" t="s">
        <v>3852</v>
      </c>
      <c r="I1355" s="626" t="s">
        <v>3674</v>
      </c>
      <c r="J1355" s="638" t="s">
        <v>3674</v>
      </c>
      <c r="K1355" s="626" t="s">
        <v>4097</v>
      </c>
      <c r="L1355" s="626">
        <v>2</v>
      </c>
      <c r="M1355" s="666">
        <f>1100+1100</f>
        <v>2200</v>
      </c>
      <c r="N1355" s="654"/>
      <c r="O1355" s="668"/>
      <c r="P1355" s="669"/>
    </row>
    <row r="1356" spans="1:16" s="619" customFormat="1" ht="48" x14ac:dyDescent="0.2">
      <c r="A1356" s="626" t="s">
        <v>3765</v>
      </c>
      <c r="B1356" s="626" t="s">
        <v>3828</v>
      </c>
      <c r="C1356" s="625" t="s">
        <v>2015</v>
      </c>
      <c r="D1356" s="626" t="s">
        <v>4098</v>
      </c>
      <c r="E1356" s="643"/>
      <c r="F1356" s="662">
        <v>27684476</v>
      </c>
      <c r="G1356" s="652" t="s">
        <v>4099</v>
      </c>
      <c r="H1356" s="638" t="s">
        <v>3778</v>
      </c>
      <c r="I1356" s="626" t="s">
        <v>1919</v>
      </c>
      <c r="J1356" s="638" t="s">
        <v>3778</v>
      </c>
      <c r="K1356" s="626" t="s">
        <v>4100</v>
      </c>
      <c r="L1356" s="626">
        <v>2</v>
      </c>
      <c r="M1356" s="666">
        <f>2000+2000</f>
        <v>4000</v>
      </c>
      <c r="N1356" s="654"/>
      <c r="O1356" s="668"/>
      <c r="P1356" s="669"/>
    </row>
    <row r="1357" spans="1:16" s="619" customFormat="1" ht="48" x14ac:dyDescent="0.2">
      <c r="A1357" s="626" t="s">
        <v>3765</v>
      </c>
      <c r="B1357" s="626" t="s">
        <v>3828</v>
      </c>
      <c r="C1357" s="625" t="s">
        <v>2015</v>
      </c>
      <c r="D1357" s="626" t="s">
        <v>4101</v>
      </c>
      <c r="E1357" s="643"/>
      <c r="F1357" s="662">
        <v>41355003</v>
      </c>
      <c r="G1357" s="652" t="s">
        <v>4102</v>
      </c>
      <c r="H1357" s="638" t="s">
        <v>3872</v>
      </c>
      <c r="I1357" s="626" t="s">
        <v>3587</v>
      </c>
      <c r="J1357" s="638" t="s">
        <v>3587</v>
      </c>
      <c r="K1357" s="626" t="s">
        <v>4103</v>
      </c>
      <c r="L1357" s="626">
        <v>4</v>
      </c>
      <c r="M1357" s="666">
        <f>1450+1500+1500+1500</f>
        <v>5950</v>
      </c>
      <c r="N1357" s="654"/>
      <c r="O1357" s="668"/>
      <c r="P1357" s="669"/>
    </row>
    <row r="1358" spans="1:16" s="619" customFormat="1" ht="48" x14ac:dyDescent="0.2">
      <c r="A1358" s="626" t="s">
        <v>3765</v>
      </c>
      <c r="B1358" s="626" t="s">
        <v>3828</v>
      </c>
      <c r="C1358" s="625" t="s">
        <v>2015</v>
      </c>
      <c r="D1358" s="626" t="s">
        <v>4104</v>
      </c>
      <c r="E1358" s="643"/>
      <c r="F1358" s="662">
        <v>76558885</v>
      </c>
      <c r="G1358" s="652" t="s">
        <v>4105</v>
      </c>
      <c r="H1358" s="638" t="s">
        <v>4106</v>
      </c>
      <c r="I1358" s="626" t="s">
        <v>1931</v>
      </c>
      <c r="J1358" s="638" t="s">
        <v>1931</v>
      </c>
      <c r="K1358" s="626" t="s">
        <v>4107</v>
      </c>
      <c r="L1358" s="626">
        <v>4</v>
      </c>
      <c r="M1358" s="666">
        <f>1063.43+916.75+1100+1100</f>
        <v>4180.18</v>
      </c>
      <c r="N1358" s="654"/>
      <c r="O1358" s="668"/>
      <c r="P1358" s="669"/>
    </row>
    <row r="1359" spans="1:16" s="619" customFormat="1" ht="48" x14ac:dyDescent="0.2">
      <c r="A1359" s="626" t="s">
        <v>3765</v>
      </c>
      <c r="B1359" s="626" t="s">
        <v>3828</v>
      </c>
      <c r="C1359" s="625" t="s">
        <v>2015</v>
      </c>
      <c r="D1359" s="626" t="s">
        <v>4108</v>
      </c>
      <c r="E1359" s="643"/>
      <c r="F1359" s="662">
        <v>74550439</v>
      </c>
      <c r="G1359" s="652" t="s">
        <v>3926</v>
      </c>
      <c r="H1359" s="638" t="s">
        <v>3773</v>
      </c>
      <c r="I1359" s="626" t="s">
        <v>3674</v>
      </c>
      <c r="J1359" s="638" t="s">
        <v>1931</v>
      </c>
      <c r="K1359" s="626" t="s">
        <v>4109</v>
      </c>
      <c r="L1359" s="626">
        <v>4</v>
      </c>
      <c r="M1359" s="666">
        <f>1256.67+1300+1300+1300</f>
        <v>5156.67</v>
      </c>
      <c r="N1359" s="654"/>
      <c r="O1359" s="668"/>
      <c r="P1359" s="669"/>
    </row>
    <row r="1360" spans="1:16" s="619" customFormat="1" ht="48" x14ac:dyDescent="0.2">
      <c r="A1360" s="626" t="s">
        <v>3765</v>
      </c>
      <c r="B1360" s="626" t="s">
        <v>3828</v>
      </c>
      <c r="C1360" s="625" t="s">
        <v>2015</v>
      </c>
      <c r="D1360" s="626" t="s">
        <v>4110</v>
      </c>
      <c r="E1360" s="643"/>
      <c r="F1360" s="662">
        <v>73424580</v>
      </c>
      <c r="G1360" s="652" t="s">
        <v>4111</v>
      </c>
      <c r="H1360" s="638" t="s">
        <v>3778</v>
      </c>
      <c r="I1360" s="626" t="s">
        <v>1919</v>
      </c>
      <c r="J1360" s="638" t="s">
        <v>3778</v>
      </c>
      <c r="K1360" s="645">
        <v>223266</v>
      </c>
      <c r="L1360" s="626">
        <v>2</v>
      </c>
      <c r="M1360" s="666">
        <f>966.67+1100</f>
        <v>2066.67</v>
      </c>
      <c r="N1360" s="654"/>
      <c r="O1360" s="668"/>
      <c r="P1360" s="669"/>
    </row>
    <row r="1361" spans="1:16" s="619" customFormat="1" ht="48" x14ac:dyDescent="0.2">
      <c r="A1361" s="626" t="s">
        <v>3765</v>
      </c>
      <c r="B1361" s="626" t="s">
        <v>3828</v>
      </c>
      <c r="C1361" s="625" t="s">
        <v>2015</v>
      </c>
      <c r="D1361" s="626" t="s">
        <v>4112</v>
      </c>
      <c r="E1361" s="643"/>
      <c r="F1361" s="662">
        <v>75336742</v>
      </c>
      <c r="G1361" s="652" t="s">
        <v>4113</v>
      </c>
      <c r="H1361" s="638" t="s">
        <v>4114</v>
      </c>
      <c r="I1361" s="626" t="s">
        <v>3877</v>
      </c>
      <c r="J1361" s="638" t="s">
        <v>3878</v>
      </c>
      <c r="K1361" s="626">
        <v>224</v>
      </c>
      <c r="L1361" s="626">
        <v>1</v>
      </c>
      <c r="M1361" s="666">
        <v>966.67</v>
      </c>
      <c r="N1361" s="654"/>
      <c r="O1361" s="668"/>
      <c r="P1361" s="669"/>
    </row>
    <row r="1362" spans="1:16" s="619" customFormat="1" ht="48" x14ac:dyDescent="0.2">
      <c r="A1362" s="626" t="s">
        <v>3765</v>
      </c>
      <c r="B1362" s="626" t="s">
        <v>3828</v>
      </c>
      <c r="C1362" s="625" t="s">
        <v>2015</v>
      </c>
      <c r="D1362" s="626" t="s">
        <v>4115</v>
      </c>
      <c r="E1362" s="643"/>
      <c r="F1362" s="662">
        <v>73488783</v>
      </c>
      <c r="G1362" s="652" t="s">
        <v>4116</v>
      </c>
      <c r="H1362" s="638" t="s">
        <v>4117</v>
      </c>
      <c r="I1362" s="626" t="s">
        <v>3587</v>
      </c>
      <c r="J1362" s="638" t="s">
        <v>3587</v>
      </c>
      <c r="K1362" s="626" t="s">
        <v>4118</v>
      </c>
      <c r="L1362" s="626">
        <v>4</v>
      </c>
      <c r="M1362" s="666">
        <f>2000+2000+2000+2000</f>
        <v>8000</v>
      </c>
      <c r="N1362" s="654"/>
      <c r="O1362" s="668"/>
      <c r="P1362" s="669"/>
    </row>
    <row r="1363" spans="1:16" s="619" customFormat="1" ht="48" x14ac:dyDescent="0.2">
      <c r="A1363" s="626" t="s">
        <v>3765</v>
      </c>
      <c r="B1363" s="626" t="s">
        <v>3828</v>
      </c>
      <c r="C1363" s="625" t="s">
        <v>2015</v>
      </c>
      <c r="D1363" s="626" t="s">
        <v>3970</v>
      </c>
      <c r="E1363" s="643"/>
      <c r="F1363" s="662">
        <v>48204869</v>
      </c>
      <c r="G1363" s="652" t="s">
        <v>4119</v>
      </c>
      <c r="H1363" s="638" t="s">
        <v>3896</v>
      </c>
      <c r="I1363" s="626" t="s">
        <v>3769</v>
      </c>
      <c r="J1363" s="638" t="s">
        <v>3769</v>
      </c>
      <c r="K1363" s="626">
        <v>227</v>
      </c>
      <c r="L1363" s="626">
        <v>1</v>
      </c>
      <c r="M1363" s="666">
        <v>1256.57</v>
      </c>
      <c r="N1363" s="654"/>
      <c r="O1363" s="668"/>
      <c r="P1363" s="669"/>
    </row>
    <row r="1364" spans="1:16" s="619" customFormat="1" ht="48" x14ac:dyDescent="0.2">
      <c r="A1364" s="626" t="s">
        <v>3765</v>
      </c>
      <c r="B1364" s="626" t="s">
        <v>3828</v>
      </c>
      <c r="C1364" s="625" t="s">
        <v>2015</v>
      </c>
      <c r="D1364" s="626" t="s">
        <v>4120</v>
      </c>
      <c r="E1364" s="643"/>
      <c r="F1364" s="662">
        <v>76557770</v>
      </c>
      <c r="G1364" s="652" t="s">
        <v>3945</v>
      </c>
      <c r="H1364" s="638" t="s">
        <v>3778</v>
      </c>
      <c r="I1364" s="626" t="s">
        <v>1919</v>
      </c>
      <c r="J1364" s="638" t="s">
        <v>3778</v>
      </c>
      <c r="K1364" s="626">
        <v>228</v>
      </c>
      <c r="L1364" s="626" t="s">
        <v>3928</v>
      </c>
      <c r="M1364" s="666">
        <v>933.33</v>
      </c>
      <c r="N1364" s="654"/>
      <c r="O1364" s="668"/>
      <c r="P1364" s="669"/>
    </row>
    <row r="1365" spans="1:16" s="619" customFormat="1" ht="48" x14ac:dyDescent="0.2">
      <c r="A1365" s="626" t="s">
        <v>3765</v>
      </c>
      <c r="B1365" s="626" t="s">
        <v>3828</v>
      </c>
      <c r="C1365" s="625" t="s">
        <v>2015</v>
      </c>
      <c r="D1365" s="626" t="s">
        <v>4121</v>
      </c>
      <c r="E1365" s="643"/>
      <c r="F1365" s="662">
        <v>40085680</v>
      </c>
      <c r="G1365" s="652" t="s">
        <v>4074</v>
      </c>
      <c r="H1365" s="638" t="s">
        <v>3778</v>
      </c>
      <c r="I1365" s="626" t="s">
        <v>1919</v>
      </c>
      <c r="J1365" s="638" t="s">
        <v>3778</v>
      </c>
      <c r="K1365" s="626">
        <v>229</v>
      </c>
      <c r="L1365" s="626">
        <v>1</v>
      </c>
      <c r="M1365" s="666">
        <v>966.67</v>
      </c>
      <c r="N1365" s="654"/>
      <c r="O1365" s="668"/>
      <c r="P1365" s="669"/>
    </row>
    <row r="1366" spans="1:16" s="619" customFormat="1" ht="48" x14ac:dyDescent="0.2">
      <c r="A1366" s="626" t="s">
        <v>3765</v>
      </c>
      <c r="B1366" s="626" t="s">
        <v>3828</v>
      </c>
      <c r="C1366" s="625" t="s">
        <v>2015</v>
      </c>
      <c r="D1366" s="626" t="s">
        <v>4079</v>
      </c>
      <c r="E1366" s="643"/>
      <c r="F1366" s="662">
        <v>48655348</v>
      </c>
      <c r="G1366" s="652" t="s">
        <v>4122</v>
      </c>
      <c r="H1366" s="638" t="s">
        <v>3778</v>
      </c>
      <c r="I1366" s="626" t="s">
        <v>1919</v>
      </c>
      <c r="J1366" s="638" t="s">
        <v>3778</v>
      </c>
      <c r="K1366" s="626" t="s">
        <v>4123</v>
      </c>
      <c r="L1366" s="626">
        <v>4</v>
      </c>
      <c r="M1366" s="666">
        <f>800+843.33+1100+1100</f>
        <v>3843.33</v>
      </c>
      <c r="N1366" s="654"/>
      <c r="O1366" s="668"/>
      <c r="P1366" s="669"/>
    </row>
    <row r="1367" spans="1:16" s="619" customFormat="1" ht="48" x14ac:dyDescent="0.2">
      <c r="A1367" s="626" t="s">
        <v>3765</v>
      </c>
      <c r="B1367" s="626" t="s">
        <v>3828</v>
      </c>
      <c r="C1367" s="625" t="s">
        <v>2015</v>
      </c>
      <c r="D1367" s="626" t="s">
        <v>3850</v>
      </c>
      <c r="E1367" s="643"/>
      <c r="F1367" s="662">
        <v>42745142</v>
      </c>
      <c r="G1367" s="652" t="s">
        <v>4124</v>
      </c>
      <c r="H1367" s="638" t="s">
        <v>4106</v>
      </c>
      <c r="I1367" s="626" t="s">
        <v>3674</v>
      </c>
      <c r="J1367" s="638" t="s">
        <v>1931</v>
      </c>
      <c r="K1367" s="626" t="s">
        <v>4125</v>
      </c>
      <c r="L1367" s="626">
        <v>3</v>
      </c>
      <c r="M1367" s="666">
        <f>2000+2500+2500</f>
        <v>7000</v>
      </c>
      <c r="N1367" s="654"/>
      <c r="O1367" s="668"/>
      <c r="P1367" s="669"/>
    </row>
    <row r="1368" spans="1:16" s="619" customFormat="1" ht="48" x14ac:dyDescent="0.2">
      <c r="A1368" s="626" t="s">
        <v>3765</v>
      </c>
      <c r="B1368" s="626" t="s">
        <v>3828</v>
      </c>
      <c r="C1368" s="625" t="s">
        <v>2015</v>
      </c>
      <c r="D1368" s="626" t="s">
        <v>3944</v>
      </c>
      <c r="E1368" s="643"/>
      <c r="F1368" s="662">
        <v>47988382</v>
      </c>
      <c r="G1368" s="652" t="s">
        <v>4126</v>
      </c>
      <c r="H1368" s="638" t="s">
        <v>4127</v>
      </c>
      <c r="I1368" s="626" t="s">
        <v>3674</v>
      </c>
      <c r="J1368" s="638" t="s">
        <v>3125</v>
      </c>
      <c r="K1368" s="626" t="s">
        <v>4128</v>
      </c>
      <c r="L1368" s="626">
        <v>4</v>
      </c>
      <c r="M1368" s="666">
        <f>880+916.67+600+1200</f>
        <v>3596.67</v>
      </c>
      <c r="N1368" s="654"/>
      <c r="O1368" s="668"/>
      <c r="P1368" s="669"/>
    </row>
    <row r="1369" spans="1:16" s="619" customFormat="1" ht="48" x14ac:dyDescent="0.2">
      <c r="A1369" s="626" t="s">
        <v>3765</v>
      </c>
      <c r="B1369" s="626" t="s">
        <v>3828</v>
      </c>
      <c r="C1369" s="625" t="s">
        <v>2015</v>
      </c>
      <c r="D1369" s="626" t="s">
        <v>4129</v>
      </c>
      <c r="E1369" s="643"/>
      <c r="F1369" s="662">
        <v>80173108</v>
      </c>
      <c r="G1369" s="652" t="s">
        <v>4130</v>
      </c>
      <c r="H1369" s="638" t="s">
        <v>3778</v>
      </c>
      <c r="I1369" s="626" t="s">
        <v>1919</v>
      </c>
      <c r="J1369" s="638" t="s">
        <v>3778</v>
      </c>
      <c r="K1369" s="626">
        <v>235</v>
      </c>
      <c r="L1369" s="626">
        <v>1</v>
      </c>
      <c r="M1369" s="666">
        <v>770</v>
      </c>
      <c r="N1369" s="654"/>
      <c r="O1369" s="668"/>
      <c r="P1369" s="669"/>
    </row>
    <row r="1370" spans="1:16" s="619" customFormat="1" ht="48" x14ac:dyDescent="0.2">
      <c r="A1370" s="626" t="s">
        <v>3765</v>
      </c>
      <c r="B1370" s="626" t="s">
        <v>3828</v>
      </c>
      <c r="C1370" s="625" t="s">
        <v>2015</v>
      </c>
      <c r="D1370" s="626" t="s">
        <v>4041</v>
      </c>
      <c r="E1370" s="643"/>
      <c r="F1370" s="662">
        <v>75725649</v>
      </c>
      <c r="G1370" s="652" t="s">
        <v>4131</v>
      </c>
      <c r="H1370" s="638" t="s">
        <v>3778</v>
      </c>
      <c r="I1370" s="626" t="s">
        <v>1919</v>
      </c>
      <c r="J1370" s="638" t="s">
        <v>3778</v>
      </c>
      <c r="K1370" s="626">
        <v>236</v>
      </c>
      <c r="L1370" s="626">
        <v>1</v>
      </c>
      <c r="M1370" s="666">
        <v>623.33000000000004</v>
      </c>
      <c r="N1370" s="654"/>
      <c r="O1370" s="668"/>
      <c r="P1370" s="669"/>
    </row>
    <row r="1371" spans="1:16" s="619" customFormat="1" ht="27" customHeight="1" x14ac:dyDescent="0.2">
      <c r="A1371" s="626" t="s">
        <v>3765</v>
      </c>
      <c r="B1371" s="626" t="s">
        <v>3828</v>
      </c>
      <c r="C1371" s="625" t="s">
        <v>2015</v>
      </c>
      <c r="D1371" s="626" t="s">
        <v>4132</v>
      </c>
      <c r="E1371" s="643"/>
      <c r="F1371" s="662">
        <v>74753143</v>
      </c>
      <c r="G1371" s="652" t="s">
        <v>4133</v>
      </c>
      <c r="H1371" s="638" t="s">
        <v>3778</v>
      </c>
      <c r="I1371" s="626" t="s">
        <v>1919</v>
      </c>
      <c r="J1371" s="638" t="s">
        <v>3778</v>
      </c>
      <c r="K1371" s="626" t="s">
        <v>4134</v>
      </c>
      <c r="L1371" s="626">
        <v>3</v>
      </c>
      <c r="M1371" s="666">
        <f>1000+1000+1100</f>
        <v>3100</v>
      </c>
      <c r="N1371" s="654"/>
      <c r="O1371" s="668"/>
      <c r="P1371" s="669"/>
    </row>
    <row r="1372" spans="1:16" s="619" customFormat="1" ht="48" x14ac:dyDescent="0.2">
      <c r="A1372" s="626" t="s">
        <v>3765</v>
      </c>
      <c r="B1372" s="626" t="s">
        <v>3828</v>
      </c>
      <c r="C1372" s="625" t="s">
        <v>2015</v>
      </c>
      <c r="D1372" s="626" t="s">
        <v>4135</v>
      </c>
      <c r="E1372" s="643"/>
      <c r="F1372" s="662">
        <v>48865154</v>
      </c>
      <c r="G1372" s="652" t="s">
        <v>4136</v>
      </c>
      <c r="H1372" s="638" t="s">
        <v>3778</v>
      </c>
      <c r="I1372" s="626" t="s">
        <v>1919</v>
      </c>
      <c r="J1372" s="638" t="s">
        <v>3778</v>
      </c>
      <c r="K1372" s="626">
        <v>244</v>
      </c>
      <c r="L1372" s="626">
        <v>1</v>
      </c>
      <c r="M1372" s="666">
        <v>1000</v>
      </c>
      <c r="N1372" s="654"/>
      <c r="O1372" s="668"/>
      <c r="P1372" s="669"/>
    </row>
    <row r="1373" spans="1:16" s="619" customFormat="1" ht="48" x14ac:dyDescent="0.2">
      <c r="A1373" s="626" t="s">
        <v>3765</v>
      </c>
      <c r="B1373" s="626" t="s">
        <v>3828</v>
      </c>
      <c r="C1373" s="625" t="s">
        <v>2015</v>
      </c>
      <c r="D1373" s="626" t="s">
        <v>4137</v>
      </c>
      <c r="E1373" s="643"/>
      <c r="F1373" s="662">
        <v>75803353</v>
      </c>
      <c r="G1373" s="652" t="s">
        <v>4138</v>
      </c>
      <c r="H1373" s="638" t="s">
        <v>4139</v>
      </c>
      <c r="I1373" s="626" t="s">
        <v>3877</v>
      </c>
      <c r="J1373" s="638" t="s">
        <v>3878</v>
      </c>
      <c r="K1373" s="626" t="s">
        <v>4140</v>
      </c>
      <c r="L1373" s="626">
        <v>3</v>
      </c>
      <c r="M1373" s="666">
        <f>953.33+1100+1100</f>
        <v>3153.33</v>
      </c>
      <c r="N1373" s="654"/>
      <c r="O1373" s="668"/>
      <c r="P1373" s="669"/>
    </row>
    <row r="1374" spans="1:16" s="619" customFormat="1" ht="48" x14ac:dyDescent="0.2">
      <c r="A1374" s="626" t="s">
        <v>3765</v>
      </c>
      <c r="B1374" s="626" t="s">
        <v>3828</v>
      </c>
      <c r="C1374" s="625" t="s">
        <v>2015</v>
      </c>
      <c r="D1374" s="626" t="s">
        <v>3890</v>
      </c>
      <c r="E1374" s="643"/>
      <c r="F1374" s="662">
        <v>80173108</v>
      </c>
      <c r="G1374" s="652" t="s">
        <v>4130</v>
      </c>
      <c r="H1374" s="638" t="s">
        <v>3778</v>
      </c>
      <c r="I1374" s="626" t="s">
        <v>1919</v>
      </c>
      <c r="J1374" s="638" t="s">
        <v>3778</v>
      </c>
      <c r="K1374" s="626">
        <v>254</v>
      </c>
      <c r="L1374" s="626">
        <v>1</v>
      </c>
      <c r="M1374" s="666">
        <v>1126.67</v>
      </c>
      <c r="N1374" s="654"/>
      <c r="O1374" s="668"/>
      <c r="P1374" s="669"/>
    </row>
    <row r="1375" spans="1:16" s="619" customFormat="1" ht="48" x14ac:dyDescent="0.2">
      <c r="A1375" s="626" t="s">
        <v>3765</v>
      </c>
      <c r="B1375" s="626" t="s">
        <v>3828</v>
      </c>
      <c r="C1375" s="625" t="s">
        <v>2015</v>
      </c>
      <c r="D1375" s="626" t="s">
        <v>4141</v>
      </c>
      <c r="E1375" s="643"/>
      <c r="F1375" s="662">
        <v>73809794</v>
      </c>
      <c r="G1375" s="652" t="s">
        <v>4142</v>
      </c>
      <c r="H1375" s="638" t="s">
        <v>3778</v>
      </c>
      <c r="I1375" s="626" t="s">
        <v>1919</v>
      </c>
      <c r="J1375" s="638" t="s">
        <v>3778</v>
      </c>
      <c r="K1375" s="626" t="s">
        <v>4143</v>
      </c>
      <c r="L1375" s="626">
        <v>3</v>
      </c>
      <c r="M1375" s="666">
        <f>916.75+1100+1100</f>
        <v>3116.75</v>
      </c>
      <c r="N1375" s="654"/>
      <c r="O1375" s="668"/>
      <c r="P1375" s="669"/>
    </row>
    <row r="1376" spans="1:16" s="619" customFormat="1" ht="48" x14ac:dyDescent="0.2">
      <c r="A1376" s="626" t="s">
        <v>3765</v>
      </c>
      <c r="B1376" s="626" t="s">
        <v>3828</v>
      </c>
      <c r="C1376" s="625" t="s">
        <v>2015</v>
      </c>
      <c r="D1376" s="626" t="s">
        <v>4144</v>
      </c>
      <c r="E1376" s="643"/>
      <c r="F1376" s="662">
        <v>46570184</v>
      </c>
      <c r="G1376" s="652" t="s">
        <v>4145</v>
      </c>
      <c r="H1376" s="638" t="s">
        <v>3778</v>
      </c>
      <c r="I1376" s="626" t="s">
        <v>1919</v>
      </c>
      <c r="J1376" s="638" t="s">
        <v>3778</v>
      </c>
      <c r="K1376" s="626">
        <v>256</v>
      </c>
      <c r="L1376" s="626">
        <v>1</v>
      </c>
      <c r="M1376" s="666">
        <v>916.75</v>
      </c>
      <c r="N1376" s="654"/>
      <c r="O1376" s="668"/>
      <c r="P1376" s="669"/>
    </row>
    <row r="1377" spans="1:16" s="619" customFormat="1" ht="48" x14ac:dyDescent="0.2">
      <c r="A1377" s="626" t="s">
        <v>3765</v>
      </c>
      <c r="B1377" s="626" t="s">
        <v>3828</v>
      </c>
      <c r="C1377" s="625" t="s">
        <v>2015</v>
      </c>
      <c r="D1377" s="626" t="s">
        <v>3990</v>
      </c>
      <c r="E1377" s="643"/>
      <c r="F1377" s="662">
        <v>43696481</v>
      </c>
      <c r="G1377" s="652" t="s">
        <v>4146</v>
      </c>
      <c r="H1377" s="638" t="s">
        <v>2558</v>
      </c>
      <c r="I1377" s="626" t="s">
        <v>3674</v>
      </c>
      <c r="J1377" s="638" t="s">
        <v>3674</v>
      </c>
      <c r="K1377" s="626" t="s">
        <v>4147</v>
      </c>
      <c r="L1377" s="626">
        <v>1</v>
      </c>
      <c r="M1377" s="666">
        <v>916.67</v>
      </c>
      <c r="N1377" s="654"/>
      <c r="O1377" s="668"/>
      <c r="P1377" s="669"/>
    </row>
    <row r="1378" spans="1:16" s="619" customFormat="1" ht="48" x14ac:dyDescent="0.2">
      <c r="A1378" s="626" t="s">
        <v>3765</v>
      </c>
      <c r="B1378" s="626" t="s">
        <v>3828</v>
      </c>
      <c r="C1378" s="625" t="s">
        <v>2015</v>
      </c>
      <c r="D1378" s="626" t="s">
        <v>4148</v>
      </c>
      <c r="E1378" s="643"/>
      <c r="F1378" s="662">
        <v>72424699</v>
      </c>
      <c r="G1378" s="652" t="s">
        <v>3905</v>
      </c>
      <c r="H1378" s="638" t="s">
        <v>3778</v>
      </c>
      <c r="I1378" s="626" t="s">
        <v>1919</v>
      </c>
      <c r="J1378" s="638" t="s">
        <v>3778</v>
      </c>
      <c r="K1378" s="626" t="s">
        <v>4149</v>
      </c>
      <c r="L1378" s="626">
        <v>1</v>
      </c>
      <c r="M1378" s="666">
        <v>1100</v>
      </c>
      <c r="N1378" s="654"/>
      <c r="O1378" s="668"/>
      <c r="P1378" s="669"/>
    </row>
    <row r="1379" spans="1:16" s="619" customFormat="1" ht="48" x14ac:dyDescent="0.2">
      <c r="A1379" s="626" t="s">
        <v>3765</v>
      </c>
      <c r="B1379" s="626" t="s">
        <v>3828</v>
      </c>
      <c r="C1379" s="625" t="s">
        <v>2015</v>
      </c>
      <c r="D1379" s="626" t="s">
        <v>4007</v>
      </c>
      <c r="E1379" s="643"/>
      <c r="F1379" s="662">
        <v>72787223</v>
      </c>
      <c r="G1379" s="652" t="s">
        <v>4150</v>
      </c>
      <c r="H1379" s="638" t="s">
        <v>3778</v>
      </c>
      <c r="I1379" s="626" t="s">
        <v>1919</v>
      </c>
      <c r="J1379" s="638" t="s">
        <v>3778</v>
      </c>
      <c r="K1379" s="626" t="s">
        <v>4151</v>
      </c>
      <c r="L1379" s="626">
        <v>1</v>
      </c>
      <c r="M1379" s="666">
        <v>843.33</v>
      </c>
      <c r="N1379" s="654"/>
      <c r="O1379" s="668"/>
      <c r="P1379" s="669"/>
    </row>
    <row r="1380" spans="1:16" s="619" customFormat="1" ht="48" x14ac:dyDescent="0.2">
      <c r="A1380" s="626" t="s">
        <v>3765</v>
      </c>
      <c r="B1380" s="626" t="s">
        <v>3828</v>
      </c>
      <c r="C1380" s="625" t="s">
        <v>2015</v>
      </c>
      <c r="D1380" s="626" t="s">
        <v>4152</v>
      </c>
      <c r="E1380" s="643"/>
      <c r="F1380" s="662">
        <v>73826374</v>
      </c>
      <c r="G1380" s="652" t="s">
        <v>4153</v>
      </c>
      <c r="H1380" s="638" t="s">
        <v>3778</v>
      </c>
      <c r="I1380" s="626" t="s">
        <v>1919</v>
      </c>
      <c r="J1380" s="638" t="s">
        <v>3778</v>
      </c>
      <c r="K1380" s="626" t="s">
        <v>4154</v>
      </c>
      <c r="L1380" s="626">
        <v>1</v>
      </c>
      <c r="M1380" s="666">
        <v>916.67</v>
      </c>
      <c r="N1380" s="654"/>
      <c r="O1380" s="668"/>
      <c r="P1380" s="669"/>
    </row>
    <row r="1381" spans="1:16" s="619" customFormat="1" ht="48" x14ac:dyDescent="0.2">
      <c r="A1381" s="626" t="s">
        <v>3765</v>
      </c>
      <c r="B1381" s="626" t="s">
        <v>3828</v>
      </c>
      <c r="C1381" s="625" t="s">
        <v>2015</v>
      </c>
      <c r="D1381" s="626" t="s">
        <v>4155</v>
      </c>
      <c r="E1381" s="643"/>
      <c r="F1381" s="662">
        <v>77461635</v>
      </c>
      <c r="G1381" s="652" t="s">
        <v>4156</v>
      </c>
      <c r="H1381" s="638" t="s">
        <v>3778</v>
      </c>
      <c r="I1381" s="626" t="s">
        <v>1919</v>
      </c>
      <c r="J1381" s="638" t="s">
        <v>3778</v>
      </c>
      <c r="K1381" s="626" t="s">
        <v>4157</v>
      </c>
      <c r="L1381" s="626">
        <v>1</v>
      </c>
      <c r="M1381" s="666">
        <v>183.25</v>
      </c>
      <c r="N1381" s="654"/>
      <c r="O1381" s="668"/>
      <c r="P1381" s="669"/>
    </row>
    <row r="1382" spans="1:16" s="619" customFormat="1" ht="48" x14ac:dyDescent="0.2">
      <c r="A1382" s="626" t="s">
        <v>3765</v>
      </c>
      <c r="B1382" s="626" t="s">
        <v>3828</v>
      </c>
      <c r="C1382" s="625" t="s">
        <v>2015</v>
      </c>
      <c r="D1382" s="626" t="s">
        <v>3890</v>
      </c>
      <c r="E1382" s="643"/>
      <c r="F1382" s="662">
        <v>45812580</v>
      </c>
      <c r="G1382" s="652" t="s">
        <v>4158</v>
      </c>
      <c r="H1382" s="638" t="s">
        <v>3892</v>
      </c>
      <c r="I1382" s="626" t="s">
        <v>3674</v>
      </c>
      <c r="J1382" s="638" t="s">
        <v>3674</v>
      </c>
      <c r="K1382" s="626" t="s">
        <v>4159</v>
      </c>
      <c r="L1382" s="626">
        <v>2</v>
      </c>
      <c r="M1382" s="666">
        <f>2000+2000</f>
        <v>4000</v>
      </c>
      <c r="N1382" s="654"/>
      <c r="O1382" s="668"/>
      <c r="P1382" s="669"/>
    </row>
    <row r="1383" spans="1:16" s="619" customFormat="1" ht="48" x14ac:dyDescent="0.2">
      <c r="A1383" s="626" t="s">
        <v>3765</v>
      </c>
      <c r="B1383" s="626" t="s">
        <v>3828</v>
      </c>
      <c r="C1383" s="625" t="s">
        <v>2015</v>
      </c>
      <c r="D1383" s="626" t="s">
        <v>4160</v>
      </c>
      <c r="E1383" s="643"/>
      <c r="F1383" s="662">
        <v>75336742</v>
      </c>
      <c r="G1383" s="652" t="s">
        <v>4113</v>
      </c>
      <c r="H1383" s="638" t="s">
        <v>4114</v>
      </c>
      <c r="I1383" s="626" t="s">
        <v>3877</v>
      </c>
      <c r="J1383" s="638" t="s">
        <v>3878</v>
      </c>
      <c r="K1383" s="626">
        <v>291</v>
      </c>
      <c r="L1383" s="626">
        <v>1</v>
      </c>
      <c r="M1383" s="666">
        <v>700</v>
      </c>
      <c r="N1383" s="654"/>
      <c r="O1383" s="668"/>
      <c r="P1383" s="669"/>
    </row>
    <row r="1384" spans="1:16" s="619" customFormat="1" ht="48" x14ac:dyDescent="0.2">
      <c r="A1384" s="626" t="s">
        <v>3765</v>
      </c>
      <c r="B1384" s="626" t="s">
        <v>3828</v>
      </c>
      <c r="C1384" s="625" t="s">
        <v>2015</v>
      </c>
      <c r="D1384" s="626" t="s">
        <v>4144</v>
      </c>
      <c r="E1384" s="643"/>
      <c r="F1384" s="662">
        <v>73438469</v>
      </c>
      <c r="G1384" s="652" t="s">
        <v>4161</v>
      </c>
      <c r="H1384" s="638" t="s">
        <v>3982</v>
      </c>
      <c r="I1384" s="626" t="s">
        <v>3877</v>
      </c>
      <c r="J1384" s="638" t="s">
        <v>3878</v>
      </c>
      <c r="K1384" s="626" t="s">
        <v>4162</v>
      </c>
      <c r="L1384" s="626">
        <v>2</v>
      </c>
      <c r="M1384" s="666">
        <f>840+1200</f>
        <v>2040</v>
      </c>
      <c r="N1384" s="654"/>
      <c r="O1384" s="668"/>
      <c r="P1384" s="669"/>
    </row>
    <row r="1385" spans="1:16" s="619" customFormat="1" ht="48" x14ac:dyDescent="0.2">
      <c r="A1385" s="626" t="s">
        <v>3765</v>
      </c>
      <c r="B1385" s="626" t="s">
        <v>3828</v>
      </c>
      <c r="C1385" s="625" t="s">
        <v>2015</v>
      </c>
      <c r="D1385" s="626" t="s">
        <v>4110</v>
      </c>
      <c r="E1385" s="643"/>
      <c r="F1385" s="662">
        <v>77345618</v>
      </c>
      <c r="G1385" s="652" t="s">
        <v>4163</v>
      </c>
      <c r="H1385" s="638" t="s">
        <v>3778</v>
      </c>
      <c r="I1385" s="626" t="s">
        <v>1919</v>
      </c>
      <c r="J1385" s="638" t="s">
        <v>3778</v>
      </c>
      <c r="K1385" s="626" t="s">
        <v>4164</v>
      </c>
      <c r="L1385" s="626">
        <v>2</v>
      </c>
      <c r="M1385" s="666">
        <f>800+1200</f>
        <v>2000</v>
      </c>
      <c r="N1385" s="654"/>
      <c r="O1385" s="668"/>
      <c r="P1385" s="669"/>
    </row>
    <row r="1386" spans="1:16" s="619" customFormat="1" ht="48" x14ac:dyDescent="0.2">
      <c r="A1386" s="626" t="s">
        <v>3765</v>
      </c>
      <c r="B1386" s="626" t="s">
        <v>3828</v>
      </c>
      <c r="C1386" s="625" t="s">
        <v>2015</v>
      </c>
      <c r="D1386" s="626" t="s">
        <v>4165</v>
      </c>
      <c r="E1386" s="643"/>
      <c r="F1386" s="662">
        <v>76694719</v>
      </c>
      <c r="G1386" s="652" t="s">
        <v>4166</v>
      </c>
      <c r="H1386" s="638" t="s">
        <v>4167</v>
      </c>
      <c r="I1386" s="626" t="s">
        <v>3587</v>
      </c>
      <c r="J1386" s="638" t="s">
        <v>3587</v>
      </c>
      <c r="K1386" s="626" t="s">
        <v>4168</v>
      </c>
      <c r="L1386" s="626">
        <v>2</v>
      </c>
      <c r="M1386" s="666">
        <f>840+1200</f>
        <v>2040</v>
      </c>
      <c r="N1386" s="654"/>
      <c r="O1386" s="668"/>
      <c r="P1386" s="669"/>
    </row>
    <row r="1387" spans="1:16" s="619" customFormat="1" ht="48" x14ac:dyDescent="0.2">
      <c r="A1387" s="626" t="s">
        <v>3765</v>
      </c>
      <c r="B1387" s="626" t="s">
        <v>3828</v>
      </c>
      <c r="C1387" s="625" t="s">
        <v>2015</v>
      </c>
      <c r="D1387" s="626" t="s">
        <v>4169</v>
      </c>
      <c r="E1387" s="643"/>
      <c r="F1387" s="662">
        <v>74556318</v>
      </c>
      <c r="G1387" s="652" t="s">
        <v>4170</v>
      </c>
      <c r="H1387" s="638" t="s">
        <v>3778</v>
      </c>
      <c r="I1387" s="626" t="s">
        <v>1919</v>
      </c>
      <c r="J1387" s="638" t="s">
        <v>3778</v>
      </c>
      <c r="K1387" s="626" t="s">
        <v>4171</v>
      </c>
      <c r="L1387" s="626">
        <v>2</v>
      </c>
      <c r="M1387" s="666">
        <f>840+1200</f>
        <v>2040</v>
      </c>
      <c r="N1387" s="654"/>
      <c r="O1387" s="668"/>
      <c r="P1387" s="669"/>
    </row>
    <row r="1388" spans="1:16" s="619" customFormat="1" ht="48" x14ac:dyDescent="0.2">
      <c r="A1388" s="626" t="s">
        <v>3765</v>
      </c>
      <c r="B1388" s="626" t="s">
        <v>3828</v>
      </c>
      <c r="C1388" s="625" t="s">
        <v>2015</v>
      </c>
      <c r="D1388" s="626" t="s">
        <v>4051</v>
      </c>
      <c r="E1388" s="643"/>
      <c r="F1388" s="662">
        <v>74567174</v>
      </c>
      <c r="G1388" s="652" t="s">
        <v>4172</v>
      </c>
      <c r="H1388" s="638" t="s">
        <v>4053</v>
      </c>
      <c r="I1388" s="626" t="s">
        <v>3674</v>
      </c>
      <c r="J1388" s="638" t="s">
        <v>3674</v>
      </c>
      <c r="K1388" s="626" t="s">
        <v>4173</v>
      </c>
      <c r="L1388" s="626">
        <v>2</v>
      </c>
      <c r="M1388" s="666">
        <f>1500+4000</f>
        <v>5500</v>
      </c>
      <c r="N1388" s="654"/>
      <c r="O1388" s="668"/>
      <c r="P1388" s="669"/>
    </row>
    <row r="1389" spans="1:16" s="619" customFormat="1" ht="48" x14ac:dyDescent="0.2">
      <c r="A1389" s="626" t="s">
        <v>3765</v>
      </c>
      <c r="B1389" s="626" t="s">
        <v>3828</v>
      </c>
      <c r="C1389" s="625" t="s">
        <v>2015</v>
      </c>
      <c r="D1389" s="626" t="s">
        <v>4007</v>
      </c>
      <c r="E1389" s="643"/>
      <c r="F1389" s="662">
        <v>43322543</v>
      </c>
      <c r="G1389" s="652" t="s">
        <v>4174</v>
      </c>
      <c r="H1389" s="638" t="s">
        <v>3778</v>
      </c>
      <c r="I1389" s="626" t="s">
        <v>1919</v>
      </c>
      <c r="J1389" s="638" t="s">
        <v>3778</v>
      </c>
      <c r="K1389" s="626">
        <v>326</v>
      </c>
      <c r="L1389" s="626">
        <v>1</v>
      </c>
      <c r="M1389" s="666">
        <v>1026</v>
      </c>
      <c r="N1389" s="654"/>
      <c r="O1389" s="668"/>
      <c r="P1389" s="669"/>
    </row>
    <row r="1390" spans="1:16" s="619" customFormat="1" ht="48" x14ac:dyDescent="0.2">
      <c r="A1390" s="626" t="s">
        <v>3765</v>
      </c>
      <c r="B1390" s="626" t="s">
        <v>3828</v>
      </c>
      <c r="C1390" s="625" t="s">
        <v>2015</v>
      </c>
      <c r="D1390" s="626" t="s">
        <v>4175</v>
      </c>
      <c r="E1390" s="643"/>
      <c r="F1390" s="662">
        <v>46888735</v>
      </c>
      <c r="G1390" s="652" t="s">
        <v>4176</v>
      </c>
      <c r="H1390" s="638" t="s">
        <v>4177</v>
      </c>
      <c r="I1390" s="626" t="s">
        <v>3674</v>
      </c>
      <c r="J1390" s="638" t="s">
        <v>3674</v>
      </c>
      <c r="K1390" s="626">
        <v>327</v>
      </c>
      <c r="L1390" s="626">
        <v>1</v>
      </c>
      <c r="M1390" s="666">
        <v>1350</v>
      </c>
      <c r="N1390" s="654"/>
      <c r="O1390" s="668"/>
      <c r="P1390" s="669"/>
    </row>
    <row r="1391" spans="1:16" s="619" customFormat="1" ht="48" x14ac:dyDescent="0.2">
      <c r="A1391" s="626" t="s">
        <v>3765</v>
      </c>
      <c r="B1391" s="626" t="s">
        <v>3828</v>
      </c>
      <c r="C1391" s="625" t="s">
        <v>2015</v>
      </c>
      <c r="D1391" s="626" t="s">
        <v>3984</v>
      </c>
      <c r="E1391" s="643"/>
      <c r="F1391" s="662">
        <v>60157426</v>
      </c>
      <c r="G1391" s="652" t="s">
        <v>3985</v>
      </c>
      <c r="H1391" s="638" t="s">
        <v>3852</v>
      </c>
      <c r="I1391" s="626" t="s">
        <v>3674</v>
      </c>
      <c r="J1391" s="638" t="s">
        <v>3674</v>
      </c>
      <c r="K1391" s="626"/>
      <c r="L1391" s="626"/>
      <c r="M1391" s="666"/>
      <c r="N1391" s="626" t="s">
        <v>4178</v>
      </c>
      <c r="O1391" s="626">
        <v>4</v>
      </c>
      <c r="P1391" s="669">
        <f>4800</f>
        <v>4800</v>
      </c>
    </row>
    <row r="1392" spans="1:16" s="619" customFormat="1" ht="48" x14ac:dyDescent="0.2">
      <c r="A1392" s="626" t="s">
        <v>3765</v>
      </c>
      <c r="B1392" s="626" t="s">
        <v>3828</v>
      </c>
      <c r="C1392" s="625" t="s">
        <v>2015</v>
      </c>
      <c r="D1392" s="626" t="s">
        <v>4098</v>
      </c>
      <c r="E1392" s="643"/>
      <c r="F1392" s="662">
        <v>27684476</v>
      </c>
      <c r="G1392" s="652" t="s">
        <v>4099</v>
      </c>
      <c r="H1392" s="638" t="s">
        <v>3778</v>
      </c>
      <c r="I1392" s="626" t="s">
        <v>1919</v>
      </c>
      <c r="J1392" s="638" t="s">
        <v>3778</v>
      </c>
      <c r="K1392" s="626"/>
      <c r="L1392" s="626"/>
      <c r="M1392" s="666"/>
      <c r="N1392" s="626" t="s">
        <v>4179</v>
      </c>
      <c r="O1392" s="626">
        <v>8</v>
      </c>
      <c r="P1392" s="669">
        <f>4000+4000+2000</f>
        <v>10000</v>
      </c>
    </row>
    <row r="1393" spans="1:16" s="619" customFormat="1" ht="48" x14ac:dyDescent="0.2">
      <c r="A1393" s="626" t="s">
        <v>3765</v>
      </c>
      <c r="B1393" s="626" t="s">
        <v>4180</v>
      </c>
      <c r="C1393" s="625" t="s">
        <v>2015</v>
      </c>
      <c r="D1393" s="626" t="s">
        <v>4148</v>
      </c>
      <c r="E1393" s="643"/>
      <c r="F1393" s="662">
        <v>72424699</v>
      </c>
      <c r="G1393" s="652" t="s">
        <v>3905</v>
      </c>
      <c r="H1393" s="638" t="s">
        <v>3778</v>
      </c>
      <c r="I1393" s="626" t="s">
        <v>1919</v>
      </c>
      <c r="J1393" s="638" t="s">
        <v>3778</v>
      </c>
      <c r="K1393" s="626"/>
      <c r="L1393" s="626"/>
      <c r="M1393" s="666"/>
      <c r="N1393" s="626" t="s">
        <v>4181</v>
      </c>
      <c r="O1393" s="626">
        <v>3</v>
      </c>
      <c r="P1393" s="669">
        <f>990+1100+550</f>
        <v>2640</v>
      </c>
    </row>
    <row r="1394" spans="1:16" s="619" customFormat="1" ht="48" x14ac:dyDescent="0.2">
      <c r="A1394" s="626" t="s">
        <v>3765</v>
      </c>
      <c r="B1394" s="626" t="s">
        <v>4180</v>
      </c>
      <c r="C1394" s="625" t="s">
        <v>2015</v>
      </c>
      <c r="D1394" s="626" t="s">
        <v>4079</v>
      </c>
      <c r="E1394" s="643"/>
      <c r="F1394" s="662">
        <v>48655348</v>
      </c>
      <c r="G1394" s="652" t="s">
        <v>4122</v>
      </c>
      <c r="H1394" s="638" t="s">
        <v>3778</v>
      </c>
      <c r="I1394" s="626" t="s">
        <v>1919</v>
      </c>
      <c r="J1394" s="638" t="s">
        <v>3778</v>
      </c>
      <c r="K1394" s="626"/>
      <c r="L1394" s="626"/>
      <c r="M1394" s="666"/>
      <c r="N1394" s="626" t="s">
        <v>4182</v>
      </c>
      <c r="O1394" s="626">
        <v>2</v>
      </c>
      <c r="P1394" s="669">
        <f>990+1100</f>
        <v>2090</v>
      </c>
    </row>
    <row r="1395" spans="1:16" s="619" customFormat="1" ht="48" x14ac:dyDescent="0.2">
      <c r="A1395" s="626" t="s">
        <v>3765</v>
      </c>
      <c r="B1395" s="626" t="s">
        <v>4180</v>
      </c>
      <c r="C1395" s="625" t="s">
        <v>2015</v>
      </c>
      <c r="D1395" s="626" t="s">
        <v>4065</v>
      </c>
      <c r="E1395" s="643"/>
      <c r="F1395" s="662">
        <v>46887724</v>
      </c>
      <c r="G1395" s="652" t="s">
        <v>4066</v>
      </c>
      <c r="H1395" s="638" t="s">
        <v>3074</v>
      </c>
      <c r="I1395" s="626" t="s">
        <v>3769</v>
      </c>
      <c r="J1395" s="638" t="s">
        <v>3769</v>
      </c>
      <c r="K1395" s="626"/>
      <c r="L1395" s="626"/>
      <c r="M1395" s="666"/>
      <c r="N1395" s="645" t="s">
        <v>4183</v>
      </c>
      <c r="O1395" s="626">
        <v>5</v>
      </c>
      <c r="P1395" s="669">
        <f>1800+2000+1750+2500+2500</f>
        <v>10550</v>
      </c>
    </row>
    <row r="1396" spans="1:16" s="619" customFormat="1" ht="48" x14ac:dyDescent="0.2">
      <c r="A1396" s="626" t="s">
        <v>3765</v>
      </c>
      <c r="B1396" s="626" t="s">
        <v>4180</v>
      </c>
      <c r="C1396" s="625" t="s">
        <v>2015</v>
      </c>
      <c r="D1396" s="626" t="s">
        <v>3862</v>
      </c>
      <c r="E1396" s="643"/>
      <c r="F1396" s="662">
        <v>33599133</v>
      </c>
      <c r="G1396" s="652" t="s">
        <v>4184</v>
      </c>
      <c r="H1396" s="638" t="s">
        <v>3864</v>
      </c>
      <c r="I1396" s="626" t="s">
        <v>1931</v>
      </c>
      <c r="J1396" s="638" t="s">
        <v>1931</v>
      </c>
      <c r="K1396" s="626"/>
      <c r="L1396" s="626"/>
      <c r="M1396" s="666"/>
      <c r="N1396" s="626" t="s">
        <v>4185</v>
      </c>
      <c r="O1396" s="626">
        <v>7</v>
      </c>
      <c r="P1396" s="669">
        <f>2000+2000+2000+2000+2000+2000+2000</f>
        <v>14000</v>
      </c>
    </row>
    <row r="1397" spans="1:16" s="619" customFormat="1" ht="48" x14ac:dyDescent="0.2">
      <c r="A1397" s="626" t="s">
        <v>3765</v>
      </c>
      <c r="B1397" s="626" t="s">
        <v>3828</v>
      </c>
      <c r="C1397" s="625" t="s">
        <v>2015</v>
      </c>
      <c r="D1397" s="626" t="s">
        <v>4104</v>
      </c>
      <c r="E1397" s="643"/>
      <c r="F1397" s="662">
        <v>76558885</v>
      </c>
      <c r="G1397" s="652" t="s">
        <v>4105</v>
      </c>
      <c r="H1397" s="638" t="s">
        <v>4106</v>
      </c>
      <c r="I1397" s="626" t="s">
        <v>1931</v>
      </c>
      <c r="J1397" s="638" t="s">
        <v>1931</v>
      </c>
      <c r="K1397" s="626"/>
      <c r="L1397" s="626"/>
      <c r="M1397" s="666"/>
      <c r="N1397" s="626" t="s">
        <v>4186</v>
      </c>
      <c r="O1397" s="626">
        <v>2</v>
      </c>
      <c r="P1397" s="669">
        <f>990+1100</f>
        <v>2090</v>
      </c>
    </row>
    <row r="1398" spans="1:16" s="619" customFormat="1" ht="48" x14ac:dyDescent="0.2">
      <c r="A1398" s="626" t="s">
        <v>3765</v>
      </c>
      <c r="B1398" s="626" t="s">
        <v>3828</v>
      </c>
      <c r="C1398" s="625" t="s">
        <v>2015</v>
      </c>
      <c r="D1398" s="626" t="s">
        <v>3846</v>
      </c>
      <c r="E1398" s="643"/>
      <c r="F1398" s="662">
        <v>45627913</v>
      </c>
      <c r="G1398" s="652" t="s">
        <v>3847</v>
      </c>
      <c r="H1398" s="638" t="s">
        <v>3848</v>
      </c>
      <c r="I1398" s="626" t="s">
        <v>3587</v>
      </c>
      <c r="J1398" s="638" t="s">
        <v>3587</v>
      </c>
      <c r="K1398" s="626"/>
      <c r="L1398" s="626"/>
      <c r="M1398" s="666"/>
      <c r="N1398" s="626" t="s">
        <v>4187</v>
      </c>
      <c r="O1398" s="626">
        <v>7</v>
      </c>
      <c r="P1398" s="669">
        <f>1800+2000+2000+2000+2000+2000+2000</f>
        <v>13800</v>
      </c>
    </row>
    <row r="1399" spans="1:16" s="619" customFormat="1" ht="48" x14ac:dyDescent="0.2">
      <c r="A1399" s="626" t="s">
        <v>3765</v>
      </c>
      <c r="B1399" s="626" t="s">
        <v>4180</v>
      </c>
      <c r="C1399" s="625" t="s">
        <v>2015</v>
      </c>
      <c r="D1399" s="626" t="s">
        <v>4085</v>
      </c>
      <c r="E1399" s="643"/>
      <c r="F1399" s="662">
        <v>43181873</v>
      </c>
      <c r="G1399" s="652" t="s">
        <v>4086</v>
      </c>
      <c r="H1399" s="638" t="s">
        <v>4087</v>
      </c>
      <c r="I1399" s="626" t="s">
        <v>3587</v>
      </c>
      <c r="J1399" s="638" t="s">
        <v>3587</v>
      </c>
      <c r="K1399" s="626"/>
      <c r="L1399" s="626"/>
      <c r="M1399" s="666"/>
      <c r="N1399" s="626" t="s">
        <v>4188</v>
      </c>
      <c r="O1399" s="626">
        <v>7</v>
      </c>
      <c r="P1399" s="669">
        <f>2520+2800+2800+2800+2800+2800+2800</f>
        <v>19320</v>
      </c>
    </row>
    <row r="1400" spans="1:16" s="619" customFormat="1" ht="48" x14ac:dyDescent="0.2">
      <c r="A1400" s="626" t="s">
        <v>3765</v>
      </c>
      <c r="B1400" s="626" t="s">
        <v>4180</v>
      </c>
      <c r="C1400" s="625" t="s">
        <v>2015</v>
      </c>
      <c r="D1400" s="626" t="s">
        <v>4169</v>
      </c>
      <c r="E1400" s="643"/>
      <c r="F1400" s="662">
        <v>74556318</v>
      </c>
      <c r="G1400" s="652" t="s">
        <v>4170</v>
      </c>
      <c r="H1400" s="638" t="s">
        <v>3778</v>
      </c>
      <c r="I1400" s="626" t="s">
        <v>1919</v>
      </c>
      <c r="J1400" s="638" t="s">
        <v>3778</v>
      </c>
      <c r="K1400" s="626"/>
      <c r="L1400" s="626"/>
      <c r="M1400" s="666"/>
      <c r="N1400" s="626" t="s">
        <v>4189</v>
      </c>
      <c r="O1400" s="626">
        <v>2</v>
      </c>
      <c r="P1400" s="669">
        <f>900+1000</f>
        <v>1900</v>
      </c>
    </row>
    <row r="1401" spans="1:16" s="619" customFormat="1" ht="48" x14ac:dyDescent="0.2">
      <c r="A1401" s="626" t="s">
        <v>3765</v>
      </c>
      <c r="B1401" s="626" t="s">
        <v>4190</v>
      </c>
      <c r="C1401" s="625" t="s">
        <v>2015</v>
      </c>
      <c r="D1401" s="626" t="s">
        <v>4141</v>
      </c>
      <c r="E1401" s="643"/>
      <c r="F1401" s="662">
        <v>73809794</v>
      </c>
      <c r="G1401" s="652" t="s">
        <v>4142</v>
      </c>
      <c r="H1401" s="638" t="s">
        <v>3778</v>
      </c>
      <c r="I1401" s="626" t="s">
        <v>1919</v>
      </c>
      <c r="J1401" s="638" t="s">
        <v>3778</v>
      </c>
      <c r="K1401" s="626"/>
      <c r="L1401" s="626"/>
      <c r="M1401" s="666"/>
      <c r="N1401" s="626" t="s">
        <v>4191</v>
      </c>
      <c r="O1401" s="626">
        <v>6</v>
      </c>
      <c r="P1401" s="669">
        <f>990+1700+1500+1500+1500+1500</f>
        <v>8690</v>
      </c>
    </row>
    <row r="1402" spans="1:16" s="619" customFormat="1" ht="48" x14ac:dyDescent="0.2">
      <c r="A1402" s="626" t="s">
        <v>3765</v>
      </c>
      <c r="B1402" s="626" t="s">
        <v>4180</v>
      </c>
      <c r="C1402" s="625" t="s">
        <v>2015</v>
      </c>
      <c r="D1402" s="626" t="s">
        <v>4091</v>
      </c>
      <c r="E1402" s="643"/>
      <c r="F1402" s="662">
        <v>73971556</v>
      </c>
      <c r="G1402" s="652" t="s">
        <v>3981</v>
      </c>
      <c r="H1402" s="638" t="s">
        <v>3982</v>
      </c>
      <c r="I1402" s="626" t="s">
        <v>3877</v>
      </c>
      <c r="J1402" s="638" t="s">
        <v>3878</v>
      </c>
      <c r="K1402" s="626"/>
      <c r="L1402" s="626"/>
      <c r="M1402" s="666"/>
      <c r="N1402" s="626" t="s">
        <v>738</v>
      </c>
      <c r="O1402" s="626">
        <v>1</v>
      </c>
      <c r="P1402" s="669">
        <v>1170</v>
      </c>
    </row>
    <row r="1403" spans="1:16" s="619" customFormat="1" ht="48" x14ac:dyDescent="0.2">
      <c r="A1403" s="626" t="s">
        <v>3765</v>
      </c>
      <c r="B1403" s="626" t="s">
        <v>4190</v>
      </c>
      <c r="C1403" s="625" t="s">
        <v>2015</v>
      </c>
      <c r="D1403" s="626" t="s">
        <v>3829</v>
      </c>
      <c r="E1403" s="643"/>
      <c r="F1403" s="662">
        <v>42683091</v>
      </c>
      <c r="G1403" s="652" t="s">
        <v>3830</v>
      </c>
      <c r="H1403" s="638" t="s">
        <v>3831</v>
      </c>
      <c r="I1403" s="626" t="s">
        <v>3674</v>
      </c>
      <c r="J1403" s="638" t="s">
        <v>1931</v>
      </c>
      <c r="K1403" s="626"/>
      <c r="L1403" s="626"/>
      <c r="M1403" s="666"/>
      <c r="N1403" s="626" t="s">
        <v>4192</v>
      </c>
      <c r="O1403" s="626">
        <v>7</v>
      </c>
      <c r="P1403" s="669">
        <f>1800+2000+2000+2000+2000+2000+2000</f>
        <v>13800</v>
      </c>
    </row>
    <row r="1404" spans="1:16" s="619" customFormat="1" ht="48" x14ac:dyDescent="0.2">
      <c r="A1404" s="626" t="s">
        <v>3765</v>
      </c>
      <c r="B1404" s="626" t="s">
        <v>4180</v>
      </c>
      <c r="C1404" s="625" t="s">
        <v>2015</v>
      </c>
      <c r="D1404" s="626" t="s">
        <v>3850</v>
      </c>
      <c r="E1404" s="643"/>
      <c r="F1404" s="662">
        <v>42745142</v>
      </c>
      <c r="G1404" s="652" t="s">
        <v>4124</v>
      </c>
      <c r="H1404" s="638" t="s">
        <v>4106</v>
      </c>
      <c r="I1404" s="626" t="s">
        <v>3674</v>
      </c>
      <c r="J1404" s="638" t="s">
        <v>1931</v>
      </c>
      <c r="K1404" s="626"/>
      <c r="L1404" s="626"/>
      <c r="M1404" s="666"/>
      <c r="N1404" s="626" t="s">
        <v>4193</v>
      </c>
      <c r="O1404" s="626">
        <v>8</v>
      </c>
      <c r="P1404" s="669">
        <f>2250+2500+5000+5000+5000</f>
        <v>19750</v>
      </c>
    </row>
    <row r="1405" spans="1:16" s="619" customFormat="1" ht="48" x14ac:dyDescent="0.2">
      <c r="A1405" s="626" t="s">
        <v>3765</v>
      </c>
      <c r="B1405" s="626" t="s">
        <v>4194</v>
      </c>
      <c r="C1405" s="625" t="s">
        <v>2015</v>
      </c>
      <c r="D1405" s="626" t="s">
        <v>3883</v>
      </c>
      <c r="E1405" s="643"/>
      <c r="F1405" s="662">
        <v>45416693</v>
      </c>
      <c r="G1405" s="652" t="s">
        <v>4049</v>
      </c>
      <c r="H1405" s="638" t="s">
        <v>3938</v>
      </c>
      <c r="I1405" s="626" t="s">
        <v>3769</v>
      </c>
      <c r="J1405" s="638" t="s">
        <v>3769</v>
      </c>
      <c r="K1405" s="626"/>
      <c r="L1405" s="626"/>
      <c r="M1405" s="666"/>
      <c r="N1405" s="626" t="s">
        <v>4195</v>
      </c>
      <c r="O1405" s="626">
        <v>2</v>
      </c>
      <c r="P1405" s="669">
        <f>990+1100</f>
        <v>2090</v>
      </c>
    </row>
    <row r="1406" spans="1:16" s="619" customFormat="1" ht="48" x14ac:dyDescent="0.2">
      <c r="A1406" s="626" t="s">
        <v>3765</v>
      </c>
      <c r="B1406" s="626" t="s">
        <v>3828</v>
      </c>
      <c r="C1406" s="625" t="s">
        <v>2015</v>
      </c>
      <c r="D1406" s="626" t="s">
        <v>3894</v>
      </c>
      <c r="E1406" s="643"/>
      <c r="F1406" s="662">
        <v>43990450</v>
      </c>
      <c r="G1406" s="652" t="s">
        <v>3895</v>
      </c>
      <c r="H1406" s="638" t="s">
        <v>3896</v>
      </c>
      <c r="I1406" s="626" t="s">
        <v>3769</v>
      </c>
      <c r="J1406" s="638" t="s">
        <v>3769</v>
      </c>
      <c r="K1406" s="626"/>
      <c r="L1406" s="626"/>
      <c r="M1406" s="666"/>
      <c r="N1406" s="670" t="s">
        <v>4196</v>
      </c>
      <c r="O1406" s="626">
        <v>4</v>
      </c>
      <c r="P1406" s="669">
        <f>2700+3000+3000+3000</f>
        <v>11700</v>
      </c>
    </row>
    <row r="1407" spans="1:16" s="619" customFormat="1" ht="48" x14ac:dyDescent="0.2">
      <c r="A1407" s="626" t="s">
        <v>3765</v>
      </c>
      <c r="B1407" s="626" t="s">
        <v>3828</v>
      </c>
      <c r="C1407" s="625" t="s">
        <v>2015</v>
      </c>
      <c r="D1407" s="626" t="s">
        <v>4108</v>
      </c>
      <c r="E1407" s="643"/>
      <c r="F1407" s="662">
        <v>74550439</v>
      </c>
      <c r="G1407" s="652" t="s">
        <v>3926</v>
      </c>
      <c r="H1407" s="638" t="s">
        <v>3773</v>
      </c>
      <c r="I1407" s="626" t="s">
        <v>3674</v>
      </c>
      <c r="J1407" s="638" t="s">
        <v>1931</v>
      </c>
      <c r="K1407" s="626"/>
      <c r="L1407" s="626"/>
      <c r="M1407" s="666"/>
      <c r="N1407" s="626" t="s">
        <v>4197</v>
      </c>
      <c r="O1407" s="626">
        <v>3</v>
      </c>
      <c r="P1407" s="669">
        <f>1170+1300+1500</f>
        <v>3970</v>
      </c>
    </row>
    <row r="1408" spans="1:16" s="619" customFormat="1" ht="48" x14ac:dyDescent="0.2">
      <c r="A1408" s="626" t="s">
        <v>3765</v>
      </c>
      <c r="B1408" s="626" t="s">
        <v>4180</v>
      </c>
      <c r="C1408" s="625" t="s">
        <v>2015</v>
      </c>
      <c r="D1408" s="626" t="s">
        <v>3833</v>
      </c>
      <c r="E1408" s="643"/>
      <c r="F1408" s="662">
        <v>46579993</v>
      </c>
      <c r="G1408" s="652" t="s">
        <v>3834</v>
      </c>
      <c r="H1408" s="638" t="s">
        <v>3835</v>
      </c>
      <c r="I1408" s="626" t="s">
        <v>3836</v>
      </c>
      <c r="J1408" s="638" t="s">
        <v>3836</v>
      </c>
      <c r="K1408" s="626"/>
      <c r="L1408" s="626"/>
      <c r="M1408" s="666"/>
      <c r="N1408" s="626" t="s">
        <v>4198</v>
      </c>
      <c r="O1408" s="626">
        <v>7</v>
      </c>
      <c r="P1408" s="669">
        <f>1800+2000+2000+2000+2000+2000+2000</f>
        <v>13800</v>
      </c>
    </row>
    <row r="1409" spans="1:16" s="619" customFormat="1" ht="48" x14ac:dyDescent="0.2">
      <c r="A1409" s="626" t="s">
        <v>3765</v>
      </c>
      <c r="B1409" s="626" t="s">
        <v>4180</v>
      </c>
      <c r="C1409" s="625" t="s">
        <v>2015</v>
      </c>
      <c r="D1409" s="626" t="s">
        <v>3944</v>
      </c>
      <c r="E1409" s="643"/>
      <c r="F1409" s="662">
        <v>47988382</v>
      </c>
      <c r="G1409" s="652" t="s">
        <v>4126</v>
      </c>
      <c r="H1409" s="638" t="s">
        <v>4127</v>
      </c>
      <c r="I1409" s="626" t="s">
        <v>3674</v>
      </c>
      <c r="J1409" s="638" t="s">
        <v>3125</v>
      </c>
      <c r="K1409" s="626"/>
      <c r="L1409" s="626"/>
      <c r="M1409" s="666"/>
      <c r="N1409" s="626" t="s">
        <v>4199</v>
      </c>
      <c r="O1409" s="626">
        <v>6</v>
      </c>
      <c r="P1409" s="669">
        <f>990+1100+1100+3000</f>
        <v>6190</v>
      </c>
    </row>
    <row r="1410" spans="1:16" s="619" customFormat="1" ht="48" x14ac:dyDescent="0.2">
      <c r="A1410" s="626" t="s">
        <v>3765</v>
      </c>
      <c r="B1410" s="626" t="s">
        <v>4180</v>
      </c>
      <c r="C1410" s="625" t="s">
        <v>2015</v>
      </c>
      <c r="D1410" s="626" t="s">
        <v>4036</v>
      </c>
      <c r="E1410" s="643"/>
      <c r="F1410" s="662">
        <v>33770151</v>
      </c>
      <c r="G1410" s="652" t="s">
        <v>4037</v>
      </c>
      <c r="H1410" s="638" t="s">
        <v>4038</v>
      </c>
      <c r="I1410" s="626" t="s">
        <v>3674</v>
      </c>
      <c r="J1410" s="638" t="s">
        <v>3674</v>
      </c>
      <c r="K1410" s="626"/>
      <c r="L1410" s="626"/>
      <c r="M1410" s="666"/>
      <c r="N1410" s="645" t="s">
        <v>4200</v>
      </c>
      <c r="O1410" s="626">
        <v>7</v>
      </c>
      <c r="P1410" s="669">
        <f>1620+1800+1800+5400+3600</f>
        <v>14220</v>
      </c>
    </row>
    <row r="1411" spans="1:16" s="619" customFormat="1" ht="48" x14ac:dyDescent="0.2">
      <c r="A1411" s="626" t="s">
        <v>3765</v>
      </c>
      <c r="B1411" s="626" t="s">
        <v>4180</v>
      </c>
      <c r="C1411" s="625" t="s">
        <v>2015</v>
      </c>
      <c r="D1411" s="626" t="s">
        <v>4201</v>
      </c>
      <c r="E1411" s="643"/>
      <c r="F1411" s="662">
        <v>72489174</v>
      </c>
      <c r="G1411" s="652" t="s">
        <v>3941</v>
      </c>
      <c r="H1411" s="638" t="s">
        <v>3942</v>
      </c>
      <c r="I1411" s="626" t="s">
        <v>3877</v>
      </c>
      <c r="J1411" s="638" t="s">
        <v>3878</v>
      </c>
      <c r="K1411" s="626"/>
      <c r="L1411" s="626"/>
      <c r="M1411" s="666"/>
      <c r="N1411" s="626" t="s">
        <v>4202</v>
      </c>
      <c r="O1411" s="626">
        <v>3</v>
      </c>
      <c r="P1411" s="669">
        <f>990+1100+1100</f>
        <v>3190</v>
      </c>
    </row>
    <row r="1412" spans="1:16" s="619" customFormat="1" ht="48" x14ac:dyDescent="0.2">
      <c r="A1412" s="626" t="s">
        <v>3765</v>
      </c>
      <c r="B1412" s="626" t="s">
        <v>4190</v>
      </c>
      <c r="C1412" s="625" t="s">
        <v>2015</v>
      </c>
      <c r="D1412" s="626" t="s">
        <v>4203</v>
      </c>
      <c r="E1412" s="643"/>
      <c r="F1412" s="662">
        <v>46423568</v>
      </c>
      <c r="G1412" s="652" t="s">
        <v>4005</v>
      </c>
      <c r="H1412" s="638" t="s">
        <v>1951</v>
      </c>
      <c r="I1412" s="626" t="s">
        <v>3674</v>
      </c>
      <c r="J1412" s="638" t="s">
        <v>3674</v>
      </c>
      <c r="K1412" s="626"/>
      <c r="L1412" s="626"/>
      <c r="M1412" s="666"/>
      <c r="N1412" s="626" t="s">
        <v>4204</v>
      </c>
      <c r="O1412" s="626">
        <v>7</v>
      </c>
      <c r="P1412" s="669">
        <f>1260+1400+1400+1400+1400+1400+1400</f>
        <v>9660</v>
      </c>
    </row>
    <row r="1413" spans="1:16" s="619" customFormat="1" ht="48" x14ac:dyDescent="0.2">
      <c r="A1413" s="626" t="s">
        <v>3765</v>
      </c>
      <c r="B1413" s="626" t="s">
        <v>4180</v>
      </c>
      <c r="C1413" s="625" t="s">
        <v>2015</v>
      </c>
      <c r="D1413" s="626" t="s">
        <v>3890</v>
      </c>
      <c r="E1413" s="643"/>
      <c r="F1413" s="662">
        <v>45812580</v>
      </c>
      <c r="G1413" s="652" t="s">
        <v>4158</v>
      </c>
      <c r="H1413" s="638" t="s">
        <v>3892</v>
      </c>
      <c r="I1413" s="626" t="s">
        <v>3674</v>
      </c>
      <c r="J1413" s="638" t="s">
        <v>3674</v>
      </c>
      <c r="K1413" s="626"/>
      <c r="L1413" s="626"/>
      <c r="M1413" s="666"/>
      <c r="N1413" s="626" t="s">
        <v>4205</v>
      </c>
      <c r="O1413" s="626">
        <v>3</v>
      </c>
      <c r="P1413" s="669">
        <f>1800+2000+2000</f>
        <v>5800</v>
      </c>
    </row>
    <row r="1414" spans="1:16" s="619" customFormat="1" ht="48" x14ac:dyDescent="0.2">
      <c r="A1414" s="626" t="s">
        <v>3765</v>
      </c>
      <c r="B1414" s="626" t="s">
        <v>4180</v>
      </c>
      <c r="C1414" s="625" t="s">
        <v>2015</v>
      </c>
      <c r="D1414" s="626" t="s">
        <v>4110</v>
      </c>
      <c r="E1414" s="643"/>
      <c r="F1414" s="662">
        <v>77345618</v>
      </c>
      <c r="G1414" s="652" t="s">
        <v>4163</v>
      </c>
      <c r="H1414" s="638" t="s">
        <v>3778</v>
      </c>
      <c r="I1414" s="626" t="s">
        <v>1919</v>
      </c>
      <c r="J1414" s="638" t="s">
        <v>3778</v>
      </c>
      <c r="K1414" s="626"/>
      <c r="L1414" s="626"/>
      <c r="M1414" s="666"/>
      <c r="N1414" s="626" t="s">
        <v>4206</v>
      </c>
      <c r="O1414" s="626">
        <v>2</v>
      </c>
      <c r="P1414" s="669">
        <f>990+1100</f>
        <v>2090</v>
      </c>
    </row>
    <row r="1415" spans="1:16" s="619" customFormat="1" ht="48" x14ac:dyDescent="0.2">
      <c r="A1415" s="626" t="s">
        <v>3765</v>
      </c>
      <c r="B1415" s="626" t="s">
        <v>4180</v>
      </c>
      <c r="C1415" s="625" t="s">
        <v>2015</v>
      </c>
      <c r="D1415" s="626" t="s">
        <v>4089</v>
      </c>
      <c r="E1415" s="643"/>
      <c r="F1415" s="662">
        <v>73953479</v>
      </c>
      <c r="G1415" s="652" t="s">
        <v>3875</v>
      </c>
      <c r="H1415" s="638" t="s">
        <v>3876</v>
      </c>
      <c r="I1415" s="626" t="s">
        <v>3877</v>
      </c>
      <c r="J1415" s="638" t="s">
        <v>3878</v>
      </c>
      <c r="K1415" s="626"/>
      <c r="L1415" s="626"/>
      <c r="M1415" s="666"/>
      <c r="N1415" s="626" t="s">
        <v>4207</v>
      </c>
      <c r="O1415" s="626">
        <v>4</v>
      </c>
      <c r="P1415" s="669">
        <f>1170+1300+2600</f>
        <v>5070</v>
      </c>
    </row>
    <row r="1416" spans="1:16" s="619" customFormat="1" ht="48" x14ac:dyDescent="0.2">
      <c r="A1416" s="626" t="s">
        <v>3765</v>
      </c>
      <c r="B1416" s="626" t="s">
        <v>4180</v>
      </c>
      <c r="C1416" s="625" t="s">
        <v>2015</v>
      </c>
      <c r="D1416" s="626" t="s">
        <v>4208</v>
      </c>
      <c r="E1416" s="643"/>
      <c r="F1416" s="662">
        <v>73338432</v>
      </c>
      <c r="G1416" s="652" t="s">
        <v>4209</v>
      </c>
      <c r="H1416" s="638" t="s">
        <v>4210</v>
      </c>
      <c r="I1416" s="626" t="s">
        <v>3877</v>
      </c>
      <c r="J1416" s="638" t="s">
        <v>3878</v>
      </c>
      <c r="K1416" s="626"/>
      <c r="L1416" s="626"/>
      <c r="M1416" s="666"/>
      <c r="N1416" s="626" t="s">
        <v>4211</v>
      </c>
      <c r="O1416" s="626">
        <v>3</v>
      </c>
      <c r="P1416" s="669">
        <f>900+1000+ 567</f>
        <v>2467</v>
      </c>
    </row>
    <row r="1417" spans="1:16" s="619" customFormat="1" ht="48" x14ac:dyDescent="0.2">
      <c r="A1417" s="626" t="s">
        <v>3765</v>
      </c>
      <c r="B1417" s="626" t="s">
        <v>4180</v>
      </c>
      <c r="C1417" s="625" t="s">
        <v>2015</v>
      </c>
      <c r="D1417" s="626" t="s">
        <v>4115</v>
      </c>
      <c r="E1417" s="643"/>
      <c r="F1417" s="662">
        <v>73488783</v>
      </c>
      <c r="G1417" s="652" t="s">
        <v>4116</v>
      </c>
      <c r="H1417" s="638" t="s">
        <v>4117</v>
      </c>
      <c r="I1417" s="626" t="s">
        <v>3587</v>
      </c>
      <c r="J1417" s="638" t="s">
        <v>3587</v>
      </c>
      <c r="K1417" s="626"/>
      <c r="L1417" s="626"/>
      <c r="M1417" s="666"/>
      <c r="N1417" s="626" t="s">
        <v>4212</v>
      </c>
      <c r="O1417" s="626">
        <v>3</v>
      </c>
      <c r="P1417" s="669">
        <f>2250+2000+2000</f>
        <v>6250</v>
      </c>
    </row>
    <row r="1418" spans="1:16" s="619" customFormat="1" ht="48" x14ac:dyDescent="0.2">
      <c r="A1418" s="626" t="s">
        <v>3765</v>
      </c>
      <c r="B1418" s="626" t="s">
        <v>4180</v>
      </c>
      <c r="C1418" s="625" t="s">
        <v>2015</v>
      </c>
      <c r="D1418" s="626" t="s">
        <v>4175</v>
      </c>
      <c r="E1418" s="643"/>
      <c r="F1418" s="662">
        <v>46888735</v>
      </c>
      <c r="G1418" s="652" t="s">
        <v>4176</v>
      </c>
      <c r="H1418" s="638" t="s">
        <v>4177</v>
      </c>
      <c r="I1418" s="626" t="s">
        <v>3674</v>
      </c>
      <c r="J1418" s="638" t="s">
        <v>3674</v>
      </c>
      <c r="K1418" s="626"/>
      <c r="L1418" s="626"/>
      <c r="M1418" s="666"/>
      <c r="N1418" s="626" t="s">
        <v>4213</v>
      </c>
      <c r="O1418" s="626">
        <v>6</v>
      </c>
      <c r="P1418" s="669">
        <f>1800+2000+6000+2000</f>
        <v>11800</v>
      </c>
    </row>
    <row r="1419" spans="1:16" s="619" customFormat="1" ht="48" x14ac:dyDescent="0.2">
      <c r="A1419" s="626" t="s">
        <v>3765</v>
      </c>
      <c r="B1419" s="626" t="s">
        <v>4190</v>
      </c>
      <c r="C1419" s="625" t="s">
        <v>2015</v>
      </c>
      <c r="D1419" s="626" t="s">
        <v>3854</v>
      </c>
      <c r="E1419" s="643"/>
      <c r="F1419" s="662">
        <v>47175467</v>
      </c>
      <c r="G1419" s="652" t="s">
        <v>3855</v>
      </c>
      <c r="H1419" s="638" t="s">
        <v>3856</v>
      </c>
      <c r="I1419" s="626" t="s">
        <v>3674</v>
      </c>
      <c r="J1419" s="638" t="s">
        <v>3674</v>
      </c>
      <c r="K1419" s="626"/>
      <c r="L1419" s="626"/>
      <c r="M1419" s="666"/>
      <c r="N1419" s="626" t="s">
        <v>4214</v>
      </c>
      <c r="O1419" s="626">
        <v>7</v>
      </c>
      <c r="P1419" s="669">
        <f>1350+1500+1500+1500+1500+1500+1500</f>
        <v>10350</v>
      </c>
    </row>
    <row r="1420" spans="1:16" s="619" customFormat="1" ht="48" x14ac:dyDescent="0.2">
      <c r="A1420" s="626" t="s">
        <v>3765</v>
      </c>
      <c r="B1420" s="626" t="s">
        <v>4180</v>
      </c>
      <c r="C1420" s="625" t="s">
        <v>2015</v>
      </c>
      <c r="D1420" s="626" t="s">
        <v>3898</v>
      </c>
      <c r="E1420" s="643"/>
      <c r="F1420" s="662">
        <v>44680546</v>
      </c>
      <c r="G1420" s="652" t="s">
        <v>3914</v>
      </c>
      <c r="H1420" s="638" t="s">
        <v>3778</v>
      </c>
      <c r="I1420" s="626" t="s">
        <v>1919</v>
      </c>
      <c r="J1420" s="638" t="s">
        <v>3778</v>
      </c>
      <c r="K1420" s="626"/>
      <c r="L1420" s="626"/>
      <c r="M1420" s="666"/>
      <c r="N1420" s="626" t="s">
        <v>4215</v>
      </c>
      <c r="O1420" s="626">
        <v>2</v>
      </c>
      <c r="P1420" s="669">
        <f>966.67+1100</f>
        <v>2066.67</v>
      </c>
    </row>
    <row r="1421" spans="1:16" s="619" customFormat="1" ht="48" x14ac:dyDescent="0.2">
      <c r="A1421" s="626" t="s">
        <v>3765</v>
      </c>
      <c r="B1421" s="626" t="s">
        <v>4180</v>
      </c>
      <c r="C1421" s="625" t="s">
        <v>2015</v>
      </c>
      <c r="D1421" s="626" t="s">
        <v>4144</v>
      </c>
      <c r="E1421" s="643"/>
      <c r="F1421" s="662">
        <v>73853284</v>
      </c>
      <c r="G1421" s="652" t="s">
        <v>4216</v>
      </c>
      <c r="H1421" s="638" t="s">
        <v>3831</v>
      </c>
      <c r="I1421" s="626" t="s">
        <v>3674</v>
      </c>
      <c r="J1421" s="638" t="s">
        <v>3674</v>
      </c>
      <c r="K1421" s="626"/>
      <c r="L1421" s="626"/>
      <c r="M1421" s="666"/>
      <c r="N1421" s="626" t="s">
        <v>4217</v>
      </c>
      <c r="O1421" s="626">
        <v>1</v>
      </c>
      <c r="P1421" s="669">
        <v>866.67</v>
      </c>
    </row>
    <row r="1422" spans="1:16" s="619" customFormat="1" ht="48" x14ac:dyDescent="0.2">
      <c r="A1422" s="626" t="s">
        <v>3765</v>
      </c>
      <c r="B1422" s="626" t="s">
        <v>4180</v>
      </c>
      <c r="C1422" s="625" t="s">
        <v>2015</v>
      </c>
      <c r="D1422" s="626" t="s">
        <v>4115</v>
      </c>
      <c r="E1422" s="643"/>
      <c r="F1422" s="662">
        <v>72811493</v>
      </c>
      <c r="G1422" s="652" t="s">
        <v>4218</v>
      </c>
      <c r="H1422" s="638" t="s">
        <v>4167</v>
      </c>
      <c r="I1422" s="626" t="s">
        <v>3587</v>
      </c>
      <c r="J1422" s="638" t="s">
        <v>3587</v>
      </c>
      <c r="K1422" s="626"/>
      <c r="L1422" s="626"/>
      <c r="M1422" s="666"/>
      <c r="N1422" s="626" t="s">
        <v>4219</v>
      </c>
      <c r="O1422" s="626">
        <v>6</v>
      </c>
      <c r="P1422" s="669">
        <f>1733.33+2000+5466.67+2000</f>
        <v>11200</v>
      </c>
    </row>
    <row r="1423" spans="1:16" s="619" customFormat="1" ht="48" x14ac:dyDescent="0.2">
      <c r="A1423" s="626" t="s">
        <v>3765</v>
      </c>
      <c r="B1423" s="626" t="s">
        <v>4180</v>
      </c>
      <c r="C1423" s="625" t="s">
        <v>2015</v>
      </c>
      <c r="D1423" s="626" t="s">
        <v>4220</v>
      </c>
      <c r="E1423" s="643"/>
      <c r="F1423" s="662">
        <v>44936205</v>
      </c>
      <c r="G1423" s="652" t="s">
        <v>4221</v>
      </c>
      <c r="H1423" s="638" t="s">
        <v>3778</v>
      </c>
      <c r="I1423" s="626" t="s">
        <v>1919</v>
      </c>
      <c r="J1423" s="638" t="s">
        <v>3778</v>
      </c>
      <c r="K1423" s="626"/>
      <c r="L1423" s="626"/>
      <c r="M1423" s="666"/>
      <c r="N1423" s="626" t="s">
        <v>4222</v>
      </c>
      <c r="O1423" s="626">
        <v>2</v>
      </c>
      <c r="P1423" s="669">
        <f>953.33+1000</f>
        <v>1953.33</v>
      </c>
    </row>
    <row r="1424" spans="1:16" s="619" customFormat="1" ht="48" x14ac:dyDescent="0.2">
      <c r="A1424" s="626" t="s">
        <v>3765</v>
      </c>
      <c r="B1424" s="626" t="s">
        <v>4180</v>
      </c>
      <c r="C1424" s="625" t="s">
        <v>2015</v>
      </c>
      <c r="D1424" s="626" t="s">
        <v>4041</v>
      </c>
      <c r="E1424" s="643"/>
      <c r="F1424" s="662">
        <v>43234266</v>
      </c>
      <c r="G1424" s="652" t="s">
        <v>3844</v>
      </c>
      <c r="H1424" s="638" t="s">
        <v>1982</v>
      </c>
      <c r="I1424" s="626" t="s">
        <v>3587</v>
      </c>
      <c r="J1424" s="638" t="s">
        <v>3587</v>
      </c>
      <c r="K1424" s="626"/>
      <c r="L1424" s="626"/>
      <c r="M1424" s="666"/>
      <c r="N1424" s="626" t="s">
        <v>4223</v>
      </c>
      <c r="O1424" s="626">
        <v>5</v>
      </c>
      <c r="P1424" s="669">
        <f>1666.67+2000+2000+6000</f>
        <v>11666.67</v>
      </c>
    </row>
    <row r="1425" spans="1:16" s="619" customFormat="1" ht="48" x14ac:dyDescent="0.2">
      <c r="A1425" s="626" t="s">
        <v>3765</v>
      </c>
      <c r="B1425" s="626" t="s">
        <v>4180</v>
      </c>
      <c r="C1425" s="625" t="s">
        <v>2015</v>
      </c>
      <c r="D1425" s="626" t="s">
        <v>4001</v>
      </c>
      <c r="E1425" s="643"/>
      <c r="F1425" s="662">
        <v>43209476</v>
      </c>
      <c r="G1425" s="652" t="s">
        <v>4224</v>
      </c>
      <c r="H1425" s="638" t="s">
        <v>3938</v>
      </c>
      <c r="I1425" s="626" t="s">
        <v>3769</v>
      </c>
      <c r="J1425" s="638" t="s">
        <v>3769</v>
      </c>
      <c r="K1425" s="626"/>
      <c r="L1425" s="626"/>
      <c r="M1425" s="666"/>
      <c r="N1425" s="626" t="s">
        <v>4225</v>
      </c>
      <c r="O1425" s="626">
        <v>2</v>
      </c>
      <c r="P1425" s="669">
        <f>916.67+1100</f>
        <v>2016.67</v>
      </c>
    </row>
    <row r="1426" spans="1:16" s="619" customFormat="1" ht="48" x14ac:dyDescent="0.2">
      <c r="A1426" s="626" t="s">
        <v>3765</v>
      </c>
      <c r="B1426" s="626" t="s">
        <v>4180</v>
      </c>
      <c r="C1426" s="625" t="s">
        <v>2015</v>
      </c>
      <c r="D1426" s="626" t="s">
        <v>4071</v>
      </c>
      <c r="E1426" s="643"/>
      <c r="F1426" s="662">
        <v>73825500</v>
      </c>
      <c r="G1426" s="652" t="s">
        <v>3998</v>
      </c>
      <c r="H1426" s="638" t="s">
        <v>3999</v>
      </c>
      <c r="I1426" s="626" t="s">
        <v>3587</v>
      </c>
      <c r="J1426" s="638" t="s">
        <v>3587</v>
      </c>
      <c r="K1426" s="626"/>
      <c r="L1426" s="626"/>
      <c r="M1426" s="666"/>
      <c r="N1426" s="626" t="s">
        <v>4226</v>
      </c>
      <c r="O1426" s="626">
        <v>4</v>
      </c>
      <c r="P1426" s="669">
        <f>1666.67+933+1800+1800</f>
        <v>6199.67</v>
      </c>
    </row>
    <row r="1427" spans="1:16" s="619" customFormat="1" ht="48" x14ac:dyDescent="0.2">
      <c r="A1427" s="626" t="s">
        <v>3765</v>
      </c>
      <c r="B1427" s="626" t="s">
        <v>4180</v>
      </c>
      <c r="C1427" s="625" t="s">
        <v>2015</v>
      </c>
      <c r="D1427" s="626" t="s">
        <v>4068</v>
      </c>
      <c r="E1427" s="643"/>
      <c r="F1427" s="662">
        <v>43145184</v>
      </c>
      <c r="G1427" s="652" t="s">
        <v>4069</v>
      </c>
      <c r="H1427" s="638" t="s">
        <v>4068</v>
      </c>
      <c r="I1427" s="626" t="s">
        <v>1931</v>
      </c>
      <c r="J1427" s="638" t="s">
        <v>1931</v>
      </c>
      <c r="K1427" s="626"/>
      <c r="L1427" s="626"/>
      <c r="M1427" s="666"/>
      <c r="N1427" s="626" t="s">
        <v>4227</v>
      </c>
      <c r="O1427" s="626">
        <v>7</v>
      </c>
      <c r="P1427" s="669">
        <f>1666.67+2000+2000+2000+2000+2000+2000</f>
        <v>13666.67</v>
      </c>
    </row>
    <row r="1428" spans="1:16" s="619" customFormat="1" ht="48" x14ac:dyDescent="0.2">
      <c r="A1428" s="626" t="s">
        <v>3765</v>
      </c>
      <c r="B1428" s="626" t="s">
        <v>4180</v>
      </c>
      <c r="C1428" s="625" t="s">
        <v>2015</v>
      </c>
      <c r="D1428" s="626" t="s">
        <v>4228</v>
      </c>
      <c r="E1428" s="643"/>
      <c r="F1428" s="662">
        <v>47872855</v>
      </c>
      <c r="G1428" s="652" t="s">
        <v>4229</v>
      </c>
      <c r="H1428" s="638" t="s">
        <v>4230</v>
      </c>
      <c r="I1428" s="626" t="s">
        <v>1931</v>
      </c>
      <c r="J1428" s="638" t="s">
        <v>1931</v>
      </c>
      <c r="K1428" s="626"/>
      <c r="L1428" s="626"/>
      <c r="M1428" s="666"/>
      <c r="N1428" s="626" t="s">
        <v>4231</v>
      </c>
      <c r="O1428" s="626">
        <v>3</v>
      </c>
      <c r="P1428" s="669">
        <f>697+1100+843.33</f>
        <v>2640.33</v>
      </c>
    </row>
    <row r="1429" spans="1:16" s="619" customFormat="1" ht="48" x14ac:dyDescent="0.2">
      <c r="A1429" s="626" t="s">
        <v>3765</v>
      </c>
      <c r="B1429" s="626" t="s">
        <v>4180</v>
      </c>
      <c r="C1429" s="625" t="s">
        <v>2015</v>
      </c>
      <c r="D1429" s="626" t="s">
        <v>4144</v>
      </c>
      <c r="E1429" s="643"/>
      <c r="F1429" s="662">
        <v>46570184</v>
      </c>
      <c r="G1429" s="652" t="s">
        <v>4145</v>
      </c>
      <c r="H1429" s="638" t="s">
        <v>3778</v>
      </c>
      <c r="I1429" s="626" t="s">
        <v>1919</v>
      </c>
      <c r="J1429" s="638" t="s">
        <v>3778</v>
      </c>
      <c r="K1429" s="626"/>
      <c r="L1429" s="626"/>
      <c r="M1429" s="666"/>
      <c r="N1429" s="626" t="s">
        <v>4232</v>
      </c>
      <c r="O1429" s="626">
        <v>4</v>
      </c>
      <c r="P1429" s="669">
        <f>633.33+1000+440+1000</f>
        <v>3073.33</v>
      </c>
    </row>
    <row r="1430" spans="1:16" s="619" customFormat="1" ht="48" x14ac:dyDescent="0.2">
      <c r="A1430" s="626" t="s">
        <v>3765</v>
      </c>
      <c r="B1430" s="626" t="s">
        <v>4180</v>
      </c>
      <c r="C1430" s="625" t="s">
        <v>2015</v>
      </c>
      <c r="D1430" s="626" t="s">
        <v>4233</v>
      </c>
      <c r="E1430" s="643"/>
      <c r="F1430" s="662">
        <v>76134651</v>
      </c>
      <c r="G1430" s="652" t="s">
        <v>4234</v>
      </c>
      <c r="H1430" s="638" t="s">
        <v>4235</v>
      </c>
      <c r="I1430" s="626" t="s">
        <v>3587</v>
      </c>
      <c r="J1430" s="638" t="s">
        <v>3594</v>
      </c>
      <c r="K1430" s="626"/>
      <c r="L1430" s="626"/>
      <c r="M1430" s="666"/>
      <c r="N1430" s="626" t="s">
        <v>4236</v>
      </c>
      <c r="O1430" s="626">
        <v>2</v>
      </c>
      <c r="P1430" s="669">
        <f>823.33+1300</f>
        <v>2123.33</v>
      </c>
    </row>
    <row r="1431" spans="1:16" s="619" customFormat="1" ht="48" x14ac:dyDescent="0.2">
      <c r="A1431" s="626" t="s">
        <v>3765</v>
      </c>
      <c r="B1431" s="626" t="s">
        <v>4180</v>
      </c>
      <c r="C1431" s="625" t="s">
        <v>2015</v>
      </c>
      <c r="D1431" s="626" t="s">
        <v>3509</v>
      </c>
      <c r="E1431" s="643"/>
      <c r="F1431" s="662">
        <v>48394134</v>
      </c>
      <c r="G1431" s="652" t="s">
        <v>4237</v>
      </c>
      <c r="H1431" s="638" t="s">
        <v>4053</v>
      </c>
      <c r="I1431" s="626" t="s">
        <v>1931</v>
      </c>
      <c r="J1431" s="638" t="s">
        <v>3674</v>
      </c>
      <c r="K1431" s="626"/>
      <c r="L1431" s="626"/>
      <c r="M1431" s="666"/>
      <c r="N1431" s="626" t="s">
        <v>4238</v>
      </c>
      <c r="O1431" s="626">
        <v>1</v>
      </c>
      <c r="P1431" s="669">
        <v>866.67</v>
      </c>
    </row>
    <row r="1432" spans="1:16" s="619" customFormat="1" ht="48" x14ac:dyDescent="0.2">
      <c r="A1432" s="626" t="s">
        <v>3765</v>
      </c>
      <c r="B1432" s="626" t="s">
        <v>4190</v>
      </c>
      <c r="C1432" s="625" t="s">
        <v>2015</v>
      </c>
      <c r="D1432" s="626" t="s">
        <v>4239</v>
      </c>
      <c r="E1432" s="643"/>
      <c r="F1432" s="662">
        <v>73971556</v>
      </c>
      <c r="G1432" s="652" t="s">
        <v>3981</v>
      </c>
      <c r="H1432" s="638" t="s">
        <v>3982</v>
      </c>
      <c r="I1432" s="626" t="s">
        <v>3877</v>
      </c>
      <c r="J1432" s="638" t="s">
        <v>3878</v>
      </c>
      <c r="K1432" s="626"/>
      <c r="L1432" s="626"/>
      <c r="M1432" s="666"/>
      <c r="N1432" s="626" t="s">
        <v>4240</v>
      </c>
      <c r="O1432" s="626">
        <v>6</v>
      </c>
      <c r="P1432" s="669">
        <f>1300+1300+1300+1300+1300+1300</f>
        <v>7800</v>
      </c>
    </row>
    <row r="1433" spans="1:16" s="619" customFormat="1" ht="48" x14ac:dyDescent="0.2">
      <c r="A1433" s="626" t="s">
        <v>3765</v>
      </c>
      <c r="B1433" s="626" t="s">
        <v>4180</v>
      </c>
      <c r="C1433" s="625" t="s">
        <v>2015</v>
      </c>
      <c r="D1433" s="626" t="s">
        <v>3970</v>
      </c>
      <c r="E1433" s="643"/>
      <c r="F1433" s="662">
        <v>73853284</v>
      </c>
      <c r="G1433" s="652" t="s">
        <v>4241</v>
      </c>
      <c r="H1433" s="638" t="s">
        <v>3831</v>
      </c>
      <c r="I1433" s="626" t="s">
        <v>3674</v>
      </c>
      <c r="J1433" s="638" t="s">
        <v>4242</v>
      </c>
      <c r="K1433" s="626"/>
      <c r="L1433" s="626"/>
      <c r="M1433" s="666"/>
      <c r="N1433" s="626" t="s">
        <v>4243</v>
      </c>
      <c r="O1433" s="626">
        <v>6</v>
      </c>
      <c r="P1433" s="669">
        <f>1000+1000+2766.67+1000</f>
        <v>5766.67</v>
      </c>
    </row>
    <row r="1434" spans="1:16" s="619" customFormat="1" ht="48" x14ac:dyDescent="0.2">
      <c r="A1434" s="626" t="s">
        <v>3765</v>
      </c>
      <c r="B1434" s="626" t="s">
        <v>4244</v>
      </c>
      <c r="C1434" s="625" t="s">
        <v>2015</v>
      </c>
      <c r="D1434" s="626" t="s">
        <v>3894</v>
      </c>
      <c r="E1434" s="643"/>
      <c r="F1434" s="662">
        <v>43990450</v>
      </c>
      <c r="G1434" s="652" t="s">
        <v>3895</v>
      </c>
      <c r="H1434" s="638" t="s">
        <v>3896</v>
      </c>
      <c r="I1434" s="626" t="s">
        <v>3769</v>
      </c>
      <c r="J1434" s="638" t="s">
        <v>3769</v>
      </c>
      <c r="K1434" s="626"/>
      <c r="L1434" s="626"/>
      <c r="M1434" s="666"/>
      <c r="N1434" s="626" t="s">
        <v>4245</v>
      </c>
      <c r="O1434" s="626">
        <v>4</v>
      </c>
      <c r="P1434" s="669">
        <f>2000+3000+3000+3000</f>
        <v>11000</v>
      </c>
    </row>
    <row r="1435" spans="1:16" s="619" customFormat="1" ht="48" x14ac:dyDescent="0.2">
      <c r="A1435" s="626" t="s">
        <v>3765</v>
      </c>
      <c r="B1435" s="626" t="s">
        <v>3828</v>
      </c>
      <c r="C1435" s="625" t="s">
        <v>2015</v>
      </c>
      <c r="D1435" s="626" t="s">
        <v>4246</v>
      </c>
      <c r="E1435" s="643"/>
      <c r="F1435" s="662">
        <v>44095590</v>
      </c>
      <c r="G1435" s="652" t="s">
        <v>4045</v>
      </c>
      <c r="H1435" s="638" t="s">
        <v>4046</v>
      </c>
      <c r="I1435" s="626" t="s">
        <v>3587</v>
      </c>
      <c r="J1435" s="638" t="s">
        <v>3587</v>
      </c>
      <c r="K1435" s="626"/>
      <c r="L1435" s="626"/>
      <c r="M1435" s="666"/>
      <c r="N1435" s="626" t="s">
        <v>4247</v>
      </c>
      <c r="O1435" s="626">
        <v>5</v>
      </c>
      <c r="P1435" s="669">
        <f>2000+2000+4000+2000</f>
        <v>10000</v>
      </c>
    </row>
    <row r="1436" spans="1:16" s="619" customFormat="1" ht="48" x14ac:dyDescent="0.2">
      <c r="A1436" s="626" t="s">
        <v>3765</v>
      </c>
      <c r="B1436" s="626" t="s">
        <v>4180</v>
      </c>
      <c r="C1436" s="625" t="s">
        <v>2015</v>
      </c>
      <c r="D1436" s="626" t="s">
        <v>4248</v>
      </c>
      <c r="E1436" s="643"/>
      <c r="F1436" s="662">
        <v>72224666</v>
      </c>
      <c r="G1436" s="652" t="s">
        <v>4249</v>
      </c>
      <c r="H1436" s="638" t="s">
        <v>1925</v>
      </c>
      <c r="I1436" s="626" t="s">
        <v>3769</v>
      </c>
      <c r="J1436" s="638" t="s">
        <v>3769</v>
      </c>
      <c r="K1436" s="626"/>
      <c r="L1436" s="626"/>
      <c r="M1436" s="666"/>
      <c r="N1436" s="626" t="s">
        <v>4250</v>
      </c>
      <c r="O1436" s="626">
        <v>2</v>
      </c>
      <c r="P1436" s="669">
        <f>1866+2000</f>
        <v>3866</v>
      </c>
    </row>
    <row r="1437" spans="1:16" s="619" customFormat="1" ht="48" x14ac:dyDescent="0.2">
      <c r="A1437" s="626" t="s">
        <v>3765</v>
      </c>
      <c r="B1437" s="626" t="s">
        <v>4180</v>
      </c>
      <c r="C1437" s="625" t="s">
        <v>2015</v>
      </c>
      <c r="D1437" s="626" t="s">
        <v>4251</v>
      </c>
      <c r="E1437" s="643"/>
      <c r="F1437" s="662">
        <v>48037618</v>
      </c>
      <c r="G1437" s="652" t="s">
        <v>4252</v>
      </c>
      <c r="H1437" s="638" t="s">
        <v>4253</v>
      </c>
      <c r="I1437" s="626" t="s">
        <v>3587</v>
      </c>
      <c r="J1437" s="638" t="s">
        <v>3587</v>
      </c>
      <c r="K1437" s="626"/>
      <c r="L1437" s="626"/>
      <c r="M1437" s="666"/>
      <c r="N1437" s="626" t="s">
        <v>4254</v>
      </c>
      <c r="O1437" s="626">
        <v>2</v>
      </c>
      <c r="P1437" s="669">
        <f>750+1300</f>
        <v>2050</v>
      </c>
    </row>
    <row r="1438" spans="1:16" s="619" customFormat="1" ht="48" x14ac:dyDescent="0.2">
      <c r="A1438" s="626" t="s">
        <v>3765</v>
      </c>
      <c r="B1438" s="626" t="s">
        <v>4180</v>
      </c>
      <c r="C1438" s="625" t="s">
        <v>2015</v>
      </c>
      <c r="D1438" s="626" t="s">
        <v>4255</v>
      </c>
      <c r="E1438" s="643"/>
      <c r="F1438" s="662">
        <v>76057146</v>
      </c>
      <c r="G1438" s="652" t="s">
        <v>4256</v>
      </c>
      <c r="H1438" s="638" t="s">
        <v>4257</v>
      </c>
      <c r="I1438" s="626" t="s">
        <v>3587</v>
      </c>
      <c r="J1438" s="638" t="s">
        <v>3594</v>
      </c>
      <c r="K1438" s="626"/>
      <c r="L1438" s="626"/>
      <c r="M1438" s="666"/>
      <c r="N1438" s="626" t="s">
        <v>4258</v>
      </c>
      <c r="O1438" s="626">
        <v>7</v>
      </c>
      <c r="P1438" s="669">
        <f>933.33+2800+8400+5600</f>
        <v>17733.330000000002</v>
      </c>
    </row>
    <row r="1439" spans="1:16" s="619" customFormat="1" ht="48" x14ac:dyDescent="0.2">
      <c r="A1439" s="626" t="s">
        <v>3765</v>
      </c>
      <c r="B1439" s="626" t="s">
        <v>4180</v>
      </c>
      <c r="C1439" s="625" t="s">
        <v>2015</v>
      </c>
      <c r="D1439" s="626" t="s">
        <v>4094</v>
      </c>
      <c r="E1439" s="643"/>
      <c r="F1439" s="662">
        <v>72489174</v>
      </c>
      <c r="G1439" s="652" t="s">
        <v>3941</v>
      </c>
      <c r="H1439" s="638" t="s">
        <v>3942</v>
      </c>
      <c r="I1439" s="626" t="s">
        <v>3877</v>
      </c>
      <c r="J1439" s="638" t="s">
        <v>3878</v>
      </c>
      <c r="K1439" s="626"/>
      <c r="L1439" s="626"/>
      <c r="M1439" s="666"/>
      <c r="N1439" s="626">
        <v>94</v>
      </c>
      <c r="O1439" s="626">
        <v>1</v>
      </c>
      <c r="P1439" s="669">
        <v>1100</v>
      </c>
    </row>
    <row r="1440" spans="1:16" s="619" customFormat="1" ht="48" x14ac:dyDescent="0.2">
      <c r="A1440" s="626" t="s">
        <v>3765</v>
      </c>
      <c r="B1440" s="626" t="s">
        <v>4180</v>
      </c>
      <c r="C1440" s="625" t="s">
        <v>2015</v>
      </c>
      <c r="D1440" s="626" t="s">
        <v>4058</v>
      </c>
      <c r="E1440" s="643"/>
      <c r="F1440" s="662">
        <v>44395510</v>
      </c>
      <c r="G1440" s="652" t="s">
        <v>4059</v>
      </c>
      <c r="H1440" s="638" t="s">
        <v>4060</v>
      </c>
      <c r="I1440" s="626" t="s">
        <v>3587</v>
      </c>
      <c r="J1440" s="638" t="s">
        <v>3587</v>
      </c>
      <c r="K1440" s="626"/>
      <c r="L1440" s="626"/>
      <c r="M1440" s="666"/>
      <c r="N1440" s="645" t="s">
        <v>4259</v>
      </c>
      <c r="O1440" s="626">
        <v>6</v>
      </c>
      <c r="P1440" s="669">
        <f>2800+8400+5600</f>
        <v>16800</v>
      </c>
    </row>
    <row r="1441" spans="1:16" s="619" customFormat="1" ht="48" x14ac:dyDescent="0.2">
      <c r="A1441" s="626" t="s">
        <v>3765</v>
      </c>
      <c r="B1441" s="626" t="s">
        <v>3828</v>
      </c>
      <c r="C1441" s="625" t="s">
        <v>2015</v>
      </c>
      <c r="D1441" s="626" t="s">
        <v>4051</v>
      </c>
      <c r="E1441" s="643"/>
      <c r="F1441" s="662">
        <v>74567174</v>
      </c>
      <c r="G1441" s="652" t="s">
        <v>4172</v>
      </c>
      <c r="H1441" s="638" t="s">
        <v>4053</v>
      </c>
      <c r="I1441" s="626" t="s">
        <v>3674</v>
      </c>
      <c r="J1441" s="638" t="s">
        <v>3674</v>
      </c>
      <c r="K1441" s="626"/>
      <c r="L1441" s="626"/>
      <c r="M1441" s="666"/>
      <c r="N1441" s="626" t="s">
        <v>4260</v>
      </c>
      <c r="O1441" s="626">
        <v>6</v>
      </c>
      <c r="P1441" s="669">
        <f>2000+6000+4000</f>
        <v>12000</v>
      </c>
    </row>
    <row r="1442" spans="1:16" s="619" customFormat="1" ht="48" x14ac:dyDescent="0.2">
      <c r="A1442" s="626" t="s">
        <v>3765</v>
      </c>
      <c r="B1442" s="626" t="s">
        <v>4180</v>
      </c>
      <c r="C1442" s="625" t="s">
        <v>2015</v>
      </c>
      <c r="D1442" s="626" t="s">
        <v>4079</v>
      </c>
      <c r="E1442" s="643"/>
      <c r="F1442" s="662">
        <v>76020516</v>
      </c>
      <c r="G1442" s="652" t="s">
        <v>4261</v>
      </c>
      <c r="H1442" s="638" t="s">
        <v>3778</v>
      </c>
      <c r="I1442" s="626" t="s">
        <v>1919</v>
      </c>
      <c r="J1442" s="638" t="s">
        <v>3778</v>
      </c>
      <c r="K1442" s="626"/>
      <c r="L1442" s="626"/>
      <c r="M1442" s="666"/>
      <c r="N1442" s="626">
        <v>116</v>
      </c>
      <c r="O1442" s="626">
        <v>1</v>
      </c>
      <c r="P1442" s="669">
        <v>1063.33</v>
      </c>
    </row>
    <row r="1443" spans="1:16" s="619" customFormat="1" ht="48" x14ac:dyDescent="0.2">
      <c r="A1443" s="626" t="s">
        <v>3765</v>
      </c>
      <c r="B1443" s="626" t="s">
        <v>4262</v>
      </c>
      <c r="C1443" s="625" t="s">
        <v>2015</v>
      </c>
      <c r="D1443" s="626" t="s">
        <v>4263</v>
      </c>
      <c r="E1443" s="643"/>
      <c r="F1443" s="662">
        <v>76811196</v>
      </c>
      <c r="G1443" s="652" t="s">
        <v>4264</v>
      </c>
      <c r="H1443" s="638" t="s">
        <v>4265</v>
      </c>
      <c r="I1443" s="626">
        <v>3</v>
      </c>
      <c r="J1443" s="638" t="s">
        <v>3125</v>
      </c>
      <c r="K1443" s="626"/>
      <c r="L1443" s="626"/>
      <c r="M1443" s="666"/>
      <c r="N1443" s="626" t="s">
        <v>4266</v>
      </c>
      <c r="O1443" s="626">
        <v>5</v>
      </c>
      <c r="P1443" s="669">
        <f>1000+2400+2400</f>
        <v>5800</v>
      </c>
    </row>
    <row r="1444" spans="1:16" s="619" customFormat="1" ht="48" x14ac:dyDescent="0.2">
      <c r="A1444" s="626" t="s">
        <v>3765</v>
      </c>
      <c r="B1444" s="626" t="s">
        <v>4190</v>
      </c>
      <c r="C1444" s="625" t="s">
        <v>2015</v>
      </c>
      <c r="D1444" s="626" t="s">
        <v>4267</v>
      </c>
      <c r="E1444" s="643"/>
      <c r="F1444" s="662">
        <v>33768818</v>
      </c>
      <c r="G1444" s="652" t="s">
        <v>4268</v>
      </c>
      <c r="H1444" s="638" t="s">
        <v>3938</v>
      </c>
      <c r="I1444" s="626" t="s">
        <v>3769</v>
      </c>
      <c r="J1444" s="638" t="s">
        <v>3769</v>
      </c>
      <c r="K1444" s="626"/>
      <c r="L1444" s="626"/>
      <c r="M1444" s="666"/>
      <c r="N1444" s="626" t="s">
        <v>4269</v>
      </c>
      <c r="O1444" s="626">
        <v>5</v>
      </c>
      <c r="P1444" s="669">
        <f>1400+1500+1500+1500+1500</f>
        <v>7400</v>
      </c>
    </row>
    <row r="1445" spans="1:16" s="619" customFormat="1" ht="48" x14ac:dyDescent="0.2">
      <c r="A1445" s="626" t="s">
        <v>3765</v>
      </c>
      <c r="B1445" s="626" t="s">
        <v>4180</v>
      </c>
      <c r="C1445" s="625" t="s">
        <v>2015</v>
      </c>
      <c r="D1445" s="626" t="s">
        <v>3898</v>
      </c>
      <c r="E1445" s="643"/>
      <c r="F1445" s="662">
        <v>45937031</v>
      </c>
      <c r="G1445" s="652" t="s">
        <v>4270</v>
      </c>
      <c r="H1445" s="638" t="s">
        <v>3778</v>
      </c>
      <c r="I1445" s="626" t="s">
        <v>1919</v>
      </c>
      <c r="J1445" s="638" t="s">
        <v>3778</v>
      </c>
      <c r="K1445" s="626"/>
      <c r="L1445" s="626"/>
      <c r="M1445" s="666"/>
      <c r="N1445" s="626" t="s">
        <v>4271</v>
      </c>
      <c r="O1445" s="626">
        <v>3</v>
      </c>
      <c r="P1445" s="669">
        <f>933.33+1000+1000</f>
        <v>2933.33</v>
      </c>
    </row>
    <row r="1446" spans="1:16" s="619" customFormat="1" ht="48" x14ac:dyDescent="0.2">
      <c r="A1446" s="626" t="s">
        <v>3765</v>
      </c>
      <c r="B1446" s="626" t="s">
        <v>4190</v>
      </c>
      <c r="C1446" s="625" t="s">
        <v>2015</v>
      </c>
      <c r="D1446" s="626" t="s">
        <v>4110</v>
      </c>
      <c r="E1446" s="643"/>
      <c r="F1446" s="662">
        <v>44188944</v>
      </c>
      <c r="G1446" s="652" t="s">
        <v>4272</v>
      </c>
      <c r="H1446" s="638" t="s">
        <v>3892</v>
      </c>
      <c r="I1446" s="626" t="s">
        <v>1931</v>
      </c>
      <c r="J1446" s="638" t="s">
        <v>1931</v>
      </c>
      <c r="K1446" s="626"/>
      <c r="L1446" s="626"/>
      <c r="M1446" s="666"/>
      <c r="N1446" s="645" t="s">
        <v>4273</v>
      </c>
      <c r="O1446" s="626">
        <v>5</v>
      </c>
      <c r="P1446" s="669">
        <f>1120+1200+1200+1200+1200</f>
        <v>5920</v>
      </c>
    </row>
    <row r="1447" spans="1:16" s="619" customFormat="1" ht="48" x14ac:dyDescent="0.2">
      <c r="A1447" s="626" t="s">
        <v>3765</v>
      </c>
      <c r="B1447" s="626" t="s">
        <v>2050</v>
      </c>
      <c r="C1447" s="625" t="s">
        <v>2015</v>
      </c>
      <c r="D1447" s="626" t="s">
        <v>4233</v>
      </c>
      <c r="E1447" s="643"/>
      <c r="F1447" s="662">
        <v>74753147</v>
      </c>
      <c r="G1447" s="652" t="s">
        <v>4274</v>
      </c>
      <c r="H1447" s="638" t="s">
        <v>1943</v>
      </c>
      <c r="I1447" s="626" t="s">
        <v>3674</v>
      </c>
      <c r="J1447" s="638" t="s">
        <v>3674</v>
      </c>
      <c r="K1447" s="626"/>
      <c r="L1447" s="626"/>
      <c r="M1447" s="666"/>
      <c r="N1447" s="626">
        <v>123</v>
      </c>
      <c r="O1447" s="626">
        <v>1</v>
      </c>
      <c r="P1447" s="669">
        <v>1200</v>
      </c>
    </row>
    <row r="1448" spans="1:16" s="619" customFormat="1" ht="48" x14ac:dyDescent="0.2">
      <c r="A1448" s="626" t="s">
        <v>3765</v>
      </c>
      <c r="B1448" s="626" t="s">
        <v>4180</v>
      </c>
      <c r="C1448" s="625" t="s">
        <v>2015</v>
      </c>
      <c r="D1448" s="626" t="s">
        <v>4275</v>
      </c>
      <c r="E1448" s="643"/>
      <c r="F1448" s="662">
        <v>73227008</v>
      </c>
      <c r="G1448" s="652" t="s">
        <v>4276</v>
      </c>
      <c r="H1448" s="638" t="s">
        <v>3778</v>
      </c>
      <c r="I1448" s="626" t="s">
        <v>1919</v>
      </c>
      <c r="J1448" s="638" t="s">
        <v>3778</v>
      </c>
      <c r="K1448" s="626"/>
      <c r="L1448" s="626"/>
      <c r="M1448" s="666"/>
      <c r="N1448" s="626">
        <v>124</v>
      </c>
      <c r="O1448" s="626">
        <v>1</v>
      </c>
      <c r="P1448" s="669">
        <v>623.33000000000004</v>
      </c>
    </row>
    <row r="1449" spans="1:16" s="619" customFormat="1" ht="48" x14ac:dyDescent="0.2">
      <c r="A1449" s="626" t="s">
        <v>3765</v>
      </c>
      <c r="B1449" s="626" t="s">
        <v>4180</v>
      </c>
      <c r="C1449" s="625" t="s">
        <v>2015</v>
      </c>
      <c r="D1449" s="626" t="s">
        <v>3883</v>
      </c>
      <c r="E1449" s="643"/>
      <c r="F1449" s="662">
        <v>70932688</v>
      </c>
      <c r="G1449" s="652" t="s">
        <v>4277</v>
      </c>
      <c r="H1449" s="638" t="s">
        <v>1943</v>
      </c>
      <c r="I1449" s="626" t="s">
        <v>3674</v>
      </c>
      <c r="J1449" s="638" t="s">
        <v>3674</v>
      </c>
      <c r="K1449" s="626"/>
      <c r="L1449" s="626"/>
      <c r="M1449" s="666"/>
      <c r="N1449" s="626" t="s">
        <v>4278</v>
      </c>
      <c r="O1449" s="626">
        <v>3</v>
      </c>
      <c r="P1449" s="669">
        <f>586.66+1100+1100</f>
        <v>2786.66</v>
      </c>
    </row>
    <row r="1450" spans="1:16" s="619" customFormat="1" ht="48" x14ac:dyDescent="0.2">
      <c r="A1450" s="626" t="s">
        <v>3765</v>
      </c>
      <c r="B1450" s="626" t="s">
        <v>4262</v>
      </c>
      <c r="C1450" s="625" t="s">
        <v>2015</v>
      </c>
      <c r="D1450" s="626" t="s">
        <v>4279</v>
      </c>
      <c r="E1450" s="643"/>
      <c r="F1450" s="662">
        <v>48586863</v>
      </c>
      <c r="G1450" s="652" t="s">
        <v>4280</v>
      </c>
      <c r="H1450" s="638" t="s">
        <v>3778</v>
      </c>
      <c r="I1450" s="626" t="s">
        <v>1919</v>
      </c>
      <c r="J1450" s="638" t="s">
        <v>3778</v>
      </c>
      <c r="K1450" s="626"/>
      <c r="L1450" s="626"/>
      <c r="M1450" s="666"/>
      <c r="N1450" s="626" t="s">
        <v>4281</v>
      </c>
      <c r="O1450" s="626">
        <v>4</v>
      </c>
      <c r="P1450" s="669">
        <f>766.67+1000+1000+1000</f>
        <v>3766.67</v>
      </c>
    </row>
    <row r="1451" spans="1:16" s="619" customFormat="1" ht="48" x14ac:dyDescent="0.2">
      <c r="A1451" s="626" t="s">
        <v>3765</v>
      </c>
      <c r="B1451" s="626" t="s">
        <v>3828</v>
      </c>
      <c r="C1451" s="625" t="s">
        <v>2015</v>
      </c>
      <c r="D1451" s="626" t="s">
        <v>3901</v>
      </c>
      <c r="E1451" s="643"/>
      <c r="F1451" s="662">
        <v>73201197</v>
      </c>
      <c r="G1451" s="652" t="s">
        <v>3902</v>
      </c>
      <c r="H1451" s="638" t="s">
        <v>3852</v>
      </c>
      <c r="I1451" s="626" t="s">
        <v>1931</v>
      </c>
      <c r="J1451" s="638" t="s">
        <v>1931</v>
      </c>
      <c r="K1451" s="626"/>
      <c r="L1451" s="626"/>
      <c r="M1451" s="666"/>
      <c r="N1451" s="626" t="s">
        <v>4282</v>
      </c>
      <c r="O1451" s="626">
        <v>4</v>
      </c>
      <c r="P1451" s="669">
        <f>3800+3800</f>
        <v>7600</v>
      </c>
    </row>
    <row r="1452" spans="1:16" s="619" customFormat="1" ht="48" x14ac:dyDescent="0.2">
      <c r="A1452" s="626" t="s">
        <v>3765</v>
      </c>
      <c r="B1452" s="626" t="s">
        <v>3828</v>
      </c>
      <c r="C1452" s="625" t="s">
        <v>2015</v>
      </c>
      <c r="D1452" s="626" t="s">
        <v>4148</v>
      </c>
      <c r="E1452" s="643"/>
      <c r="F1452" s="662">
        <v>47781338</v>
      </c>
      <c r="G1452" s="652" t="s">
        <v>3908</v>
      </c>
      <c r="H1452" s="638" t="s">
        <v>3852</v>
      </c>
      <c r="I1452" s="626" t="s">
        <v>3346</v>
      </c>
      <c r="J1452" s="638" t="s">
        <v>3125</v>
      </c>
      <c r="K1452" s="626"/>
      <c r="L1452" s="626"/>
      <c r="M1452" s="666"/>
      <c r="N1452" s="626" t="s">
        <v>4283</v>
      </c>
      <c r="O1452" s="626">
        <v>3</v>
      </c>
      <c r="P1452" s="669">
        <f>2127+1100</f>
        <v>3227</v>
      </c>
    </row>
    <row r="1453" spans="1:16" s="619" customFormat="1" ht="48" x14ac:dyDescent="0.2">
      <c r="A1453" s="626" t="s">
        <v>3765</v>
      </c>
      <c r="B1453" s="626" t="s">
        <v>3828</v>
      </c>
      <c r="C1453" s="625" t="s">
        <v>2015</v>
      </c>
      <c r="D1453" s="626" t="s">
        <v>3944</v>
      </c>
      <c r="E1453" s="643"/>
      <c r="F1453" s="662">
        <v>47988382</v>
      </c>
      <c r="G1453" s="652" t="s">
        <v>4126</v>
      </c>
      <c r="H1453" s="638" t="s">
        <v>4127</v>
      </c>
      <c r="I1453" s="626" t="s">
        <v>3674</v>
      </c>
      <c r="J1453" s="638" t="s">
        <v>3125</v>
      </c>
      <c r="K1453" s="626"/>
      <c r="L1453" s="626"/>
      <c r="M1453" s="666"/>
      <c r="N1453" s="626" t="s">
        <v>4284</v>
      </c>
      <c r="O1453" s="626">
        <v>1</v>
      </c>
      <c r="P1453" s="669">
        <v>2000</v>
      </c>
    </row>
    <row r="1454" spans="1:16" s="619" customFormat="1" ht="48" x14ac:dyDescent="0.2">
      <c r="A1454" s="626" t="s">
        <v>3765</v>
      </c>
      <c r="B1454" s="626" t="s">
        <v>3828</v>
      </c>
      <c r="C1454" s="625" t="s">
        <v>2015</v>
      </c>
      <c r="D1454" s="626" t="s">
        <v>3883</v>
      </c>
      <c r="E1454" s="643"/>
      <c r="F1454" s="662">
        <v>46889411</v>
      </c>
      <c r="G1454" s="652" t="s">
        <v>4285</v>
      </c>
      <c r="H1454" s="638" t="s">
        <v>3778</v>
      </c>
      <c r="I1454" s="626" t="s">
        <v>1919</v>
      </c>
      <c r="J1454" s="638" t="s">
        <v>3778</v>
      </c>
      <c r="K1454" s="626"/>
      <c r="L1454" s="626"/>
      <c r="M1454" s="666"/>
      <c r="N1454" s="626" t="s">
        <v>4286</v>
      </c>
      <c r="O1454" s="626">
        <v>1</v>
      </c>
      <c r="P1454" s="669">
        <v>990</v>
      </c>
    </row>
    <row r="1455" spans="1:16" s="619" customFormat="1" ht="48" x14ac:dyDescent="0.2">
      <c r="A1455" s="626" t="s">
        <v>3765</v>
      </c>
      <c r="B1455" s="626" t="s">
        <v>3828</v>
      </c>
      <c r="C1455" s="625" t="s">
        <v>2015</v>
      </c>
      <c r="D1455" s="626" t="s">
        <v>3898</v>
      </c>
      <c r="E1455" s="643"/>
      <c r="F1455" s="662">
        <v>61242425</v>
      </c>
      <c r="G1455" s="652" t="s">
        <v>4287</v>
      </c>
      <c r="H1455" s="638" t="s">
        <v>3778</v>
      </c>
      <c r="I1455" s="626" t="s">
        <v>1919</v>
      </c>
      <c r="J1455" s="638" t="s">
        <v>3778</v>
      </c>
      <c r="K1455" s="626"/>
      <c r="L1455" s="626"/>
      <c r="M1455" s="666"/>
      <c r="N1455" s="626" t="s">
        <v>4288</v>
      </c>
      <c r="O1455" s="626">
        <v>1</v>
      </c>
      <c r="P1455" s="669">
        <v>900</v>
      </c>
    </row>
    <row r="1456" spans="1:16" s="619" customFormat="1" ht="48" x14ac:dyDescent="0.2">
      <c r="A1456" s="626" t="s">
        <v>3765</v>
      </c>
      <c r="B1456" s="626" t="s">
        <v>3828</v>
      </c>
      <c r="C1456" s="625" t="s">
        <v>2015</v>
      </c>
      <c r="D1456" s="626" t="s">
        <v>4289</v>
      </c>
      <c r="E1456" s="643"/>
      <c r="F1456" s="662">
        <v>73743626</v>
      </c>
      <c r="G1456" s="652" t="s">
        <v>4290</v>
      </c>
      <c r="H1456" s="638" t="s">
        <v>3778</v>
      </c>
      <c r="I1456" s="626" t="s">
        <v>1919</v>
      </c>
      <c r="J1456" s="638" t="s">
        <v>3778</v>
      </c>
      <c r="K1456" s="626"/>
      <c r="L1456" s="626"/>
      <c r="M1456" s="666"/>
      <c r="N1456" s="626" t="s">
        <v>4291</v>
      </c>
      <c r="O1456" s="626">
        <v>3</v>
      </c>
      <c r="P1456" s="669">
        <f>550+2200</f>
        <v>2750</v>
      </c>
    </row>
    <row r="1457" spans="1:16" s="619" customFormat="1" ht="48" x14ac:dyDescent="0.2">
      <c r="A1457" s="626" t="s">
        <v>3765</v>
      </c>
      <c r="B1457" s="626" t="s">
        <v>3828</v>
      </c>
      <c r="C1457" s="625" t="s">
        <v>2015</v>
      </c>
      <c r="D1457" s="626" t="s">
        <v>4108</v>
      </c>
      <c r="E1457" s="643"/>
      <c r="F1457" s="662">
        <v>75725322</v>
      </c>
      <c r="G1457" s="652" t="s">
        <v>4292</v>
      </c>
      <c r="H1457" s="638" t="s">
        <v>4293</v>
      </c>
      <c r="I1457" s="626" t="s">
        <v>3877</v>
      </c>
      <c r="J1457" s="638" t="s">
        <v>3878</v>
      </c>
      <c r="K1457" s="626"/>
      <c r="L1457" s="626"/>
      <c r="M1457" s="666"/>
      <c r="N1457" s="626">
        <v>220</v>
      </c>
      <c r="O1457" s="626">
        <v>1</v>
      </c>
      <c r="P1457" s="669">
        <v>1000</v>
      </c>
    </row>
    <row r="1458" spans="1:16" s="619" customFormat="1" ht="37.5" customHeight="1" thickBot="1" x14ac:dyDescent="0.25">
      <c r="A1458" s="626" t="s">
        <v>3765</v>
      </c>
      <c r="B1458" s="626" t="s">
        <v>4180</v>
      </c>
      <c r="C1458" s="625" t="s">
        <v>2015</v>
      </c>
      <c r="D1458" s="626" t="s">
        <v>4108</v>
      </c>
      <c r="E1458" s="643"/>
      <c r="F1458" s="662">
        <v>43234266</v>
      </c>
      <c r="G1458" s="652" t="s">
        <v>3844</v>
      </c>
      <c r="H1458" s="638" t="s">
        <v>1982</v>
      </c>
      <c r="I1458" s="626" t="s">
        <v>3587</v>
      </c>
      <c r="J1458" s="638" t="s">
        <v>3587</v>
      </c>
      <c r="K1458" s="626"/>
      <c r="L1458" s="626"/>
      <c r="M1458" s="666"/>
      <c r="N1458" s="626">
        <v>221</v>
      </c>
      <c r="O1458" s="626">
        <v>1</v>
      </c>
      <c r="P1458" s="669">
        <v>2000</v>
      </c>
    </row>
    <row r="1459" spans="1:16" s="619" customFormat="1" ht="13.5" customHeight="1" thickBot="1" x14ac:dyDescent="0.25">
      <c r="A1459" s="1149" t="s">
        <v>4294</v>
      </c>
      <c r="B1459" s="1150"/>
      <c r="C1459" s="1150"/>
      <c r="D1459" s="1151"/>
      <c r="E1459" s="610">
        <f>SUM(E1232:E1458)</f>
        <v>55841</v>
      </c>
      <c r="F1459" s="623"/>
      <c r="G1459" s="109"/>
      <c r="H1459" s="109"/>
      <c r="I1459" s="109"/>
      <c r="J1459" s="109"/>
      <c r="K1459" s="623"/>
      <c r="L1459" s="109"/>
      <c r="M1459" s="610">
        <f>SUM(M1232:M1458)</f>
        <v>883871.95000000007</v>
      </c>
      <c r="N1459" s="623"/>
      <c r="O1459" s="623"/>
      <c r="P1459" s="610">
        <f>SUM(P1232:P1458)</f>
        <v>653663.32999999984</v>
      </c>
    </row>
    <row r="1460" spans="1:16" s="619" customFormat="1" ht="132" x14ac:dyDescent="0.2">
      <c r="A1460" s="630" t="s">
        <v>4295</v>
      </c>
      <c r="B1460" s="638" t="s">
        <v>1908</v>
      </c>
      <c r="C1460" s="630" t="s">
        <v>104</v>
      </c>
      <c r="D1460" s="630" t="s">
        <v>4296</v>
      </c>
      <c r="E1460" s="667">
        <v>2100</v>
      </c>
      <c r="F1460" s="662">
        <v>46777794</v>
      </c>
      <c r="G1460" s="630" t="s">
        <v>4297</v>
      </c>
      <c r="H1460" s="638" t="s">
        <v>4298</v>
      </c>
      <c r="I1460" s="630" t="s">
        <v>3768</v>
      </c>
      <c r="J1460" s="638" t="s">
        <v>4299</v>
      </c>
      <c r="K1460" s="626" t="s">
        <v>4300</v>
      </c>
      <c r="L1460" s="671">
        <v>12</v>
      </c>
      <c r="M1460" s="635">
        <f>+E1460*L1460</f>
        <v>25200</v>
      </c>
      <c r="N1460" s="626" t="s">
        <v>4301</v>
      </c>
      <c r="O1460" s="671">
        <v>6</v>
      </c>
      <c r="P1460" s="635">
        <f>+E1460*O1460</f>
        <v>12600</v>
      </c>
    </row>
    <row r="1461" spans="1:16" s="619" customFormat="1" ht="60" x14ac:dyDescent="0.2">
      <c r="A1461" s="626" t="s">
        <v>4295</v>
      </c>
      <c r="B1461" s="638" t="s">
        <v>1908</v>
      </c>
      <c r="C1461" s="626" t="s">
        <v>104</v>
      </c>
      <c r="D1461" s="626" t="s">
        <v>3604</v>
      </c>
      <c r="E1461" s="667">
        <v>2100</v>
      </c>
      <c r="F1461" s="662">
        <v>70085634</v>
      </c>
      <c r="G1461" s="626" t="s">
        <v>4302</v>
      </c>
      <c r="H1461" s="638" t="s">
        <v>4303</v>
      </c>
      <c r="I1461" s="626" t="s">
        <v>3768</v>
      </c>
      <c r="J1461" s="638" t="s">
        <v>4299</v>
      </c>
      <c r="K1461" s="626" t="s">
        <v>4304</v>
      </c>
      <c r="L1461" s="671">
        <v>12</v>
      </c>
      <c r="M1461" s="643">
        <f>+E1461*L1461</f>
        <v>25200</v>
      </c>
      <c r="N1461" s="626" t="s">
        <v>4305</v>
      </c>
      <c r="O1461" s="671">
        <v>1</v>
      </c>
      <c r="P1461" s="643">
        <f>+E1461*O1461</f>
        <v>2100</v>
      </c>
    </row>
    <row r="1462" spans="1:16" s="619" customFormat="1" ht="48" x14ac:dyDescent="0.2">
      <c r="A1462" s="626" t="s">
        <v>4295</v>
      </c>
      <c r="B1462" s="638" t="s">
        <v>1908</v>
      </c>
      <c r="C1462" s="626" t="s">
        <v>104</v>
      </c>
      <c r="D1462" s="626" t="s">
        <v>4306</v>
      </c>
      <c r="E1462" s="667">
        <v>2100</v>
      </c>
      <c r="F1462" s="662">
        <v>43239948</v>
      </c>
      <c r="G1462" s="626" t="s">
        <v>4307</v>
      </c>
      <c r="H1462" s="638" t="s">
        <v>4298</v>
      </c>
      <c r="I1462" s="626" t="s">
        <v>3768</v>
      </c>
      <c r="J1462" s="638" t="s">
        <v>4299</v>
      </c>
      <c r="K1462" s="626" t="s">
        <v>4308</v>
      </c>
      <c r="L1462" s="671">
        <v>12</v>
      </c>
      <c r="M1462" s="643">
        <f t="shared" ref="M1462:M1476" si="1">+E1462*L1462</f>
        <v>25200</v>
      </c>
      <c r="N1462" s="626" t="s">
        <v>4309</v>
      </c>
      <c r="O1462" s="671">
        <v>1</v>
      </c>
      <c r="P1462" s="643">
        <f t="shared" ref="P1462:P1476" si="2">+E1462*O1462</f>
        <v>2100</v>
      </c>
    </row>
    <row r="1463" spans="1:16" s="619" customFormat="1" ht="48" x14ac:dyDescent="0.2">
      <c r="A1463" s="626" t="s">
        <v>4295</v>
      </c>
      <c r="B1463" s="638" t="s">
        <v>1908</v>
      </c>
      <c r="C1463" s="626" t="s">
        <v>104</v>
      </c>
      <c r="D1463" s="626" t="s">
        <v>4306</v>
      </c>
      <c r="E1463" s="667">
        <v>2200</v>
      </c>
      <c r="F1463" s="662">
        <v>43732831</v>
      </c>
      <c r="G1463" s="626" t="s">
        <v>4310</v>
      </c>
      <c r="H1463" s="638" t="s">
        <v>4298</v>
      </c>
      <c r="I1463" s="626" t="s">
        <v>3768</v>
      </c>
      <c r="J1463" s="638" t="s">
        <v>4299</v>
      </c>
      <c r="K1463" s="626" t="s">
        <v>4311</v>
      </c>
      <c r="L1463" s="672">
        <v>0</v>
      </c>
      <c r="M1463" s="643">
        <f t="shared" si="1"/>
        <v>0</v>
      </c>
      <c r="N1463" s="626" t="s">
        <v>4309</v>
      </c>
      <c r="O1463" s="671">
        <v>5</v>
      </c>
      <c r="P1463" s="643">
        <f t="shared" si="2"/>
        <v>11000</v>
      </c>
    </row>
    <row r="1464" spans="1:16" s="619" customFormat="1" ht="48" x14ac:dyDescent="0.2">
      <c r="A1464" s="626" t="s">
        <v>4295</v>
      </c>
      <c r="B1464" s="638" t="s">
        <v>1908</v>
      </c>
      <c r="C1464" s="626" t="s">
        <v>104</v>
      </c>
      <c r="D1464" s="626" t="s">
        <v>3604</v>
      </c>
      <c r="E1464" s="667">
        <v>2100</v>
      </c>
      <c r="F1464" s="662">
        <v>43684747</v>
      </c>
      <c r="G1464" s="626" t="s">
        <v>3544</v>
      </c>
      <c r="H1464" s="638" t="s">
        <v>4298</v>
      </c>
      <c r="I1464" s="626" t="s">
        <v>3768</v>
      </c>
      <c r="J1464" s="638" t="s">
        <v>4299</v>
      </c>
      <c r="K1464" s="626" t="s">
        <v>4312</v>
      </c>
      <c r="L1464" s="672">
        <v>0</v>
      </c>
      <c r="M1464" s="643">
        <f t="shared" si="1"/>
        <v>0</v>
      </c>
      <c r="N1464" s="626" t="s">
        <v>4313</v>
      </c>
      <c r="O1464" s="671">
        <v>5</v>
      </c>
      <c r="P1464" s="643">
        <f t="shared" si="2"/>
        <v>10500</v>
      </c>
    </row>
    <row r="1465" spans="1:16" s="619" customFormat="1" ht="48" x14ac:dyDescent="0.2">
      <c r="A1465" s="626" t="s">
        <v>4295</v>
      </c>
      <c r="B1465" s="638" t="s">
        <v>1908</v>
      </c>
      <c r="C1465" s="626" t="s">
        <v>104</v>
      </c>
      <c r="D1465" s="626" t="s">
        <v>4314</v>
      </c>
      <c r="E1465" s="667">
        <v>1800</v>
      </c>
      <c r="F1465" s="662">
        <v>16540108</v>
      </c>
      <c r="G1465" s="626" t="s">
        <v>4315</v>
      </c>
      <c r="H1465" s="638" t="s">
        <v>2158</v>
      </c>
      <c r="I1465" s="626" t="s">
        <v>3768</v>
      </c>
      <c r="J1465" s="638" t="s">
        <v>4299</v>
      </c>
      <c r="K1465" s="626" t="s">
        <v>4316</v>
      </c>
      <c r="L1465" s="671">
        <v>12</v>
      </c>
      <c r="M1465" s="643">
        <f t="shared" si="1"/>
        <v>21600</v>
      </c>
      <c r="N1465" s="626" t="s">
        <v>4317</v>
      </c>
      <c r="O1465" s="671">
        <v>6</v>
      </c>
      <c r="P1465" s="643">
        <f t="shared" si="2"/>
        <v>10800</v>
      </c>
    </row>
    <row r="1466" spans="1:16" s="619" customFormat="1" ht="72" x14ac:dyDescent="0.2">
      <c r="A1466" s="626" t="s">
        <v>4295</v>
      </c>
      <c r="B1466" s="638" t="s">
        <v>1908</v>
      </c>
      <c r="C1466" s="626" t="s">
        <v>104</v>
      </c>
      <c r="D1466" s="626" t="s">
        <v>4318</v>
      </c>
      <c r="E1466" s="667">
        <v>1000</v>
      </c>
      <c r="F1466" s="662">
        <v>74577990</v>
      </c>
      <c r="G1466" s="626" t="s">
        <v>4319</v>
      </c>
      <c r="H1466" s="638" t="s">
        <v>1931</v>
      </c>
      <c r="I1466" s="626" t="s">
        <v>1931</v>
      </c>
      <c r="J1466" s="638" t="s">
        <v>4320</v>
      </c>
      <c r="K1466" s="626" t="s">
        <v>4321</v>
      </c>
      <c r="L1466" s="671">
        <v>12</v>
      </c>
      <c r="M1466" s="643">
        <f t="shared" si="1"/>
        <v>12000</v>
      </c>
      <c r="N1466" s="626" t="s">
        <v>4322</v>
      </c>
      <c r="O1466" s="671">
        <v>2</v>
      </c>
      <c r="P1466" s="643">
        <f t="shared" si="2"/>
        <v>2000</v>
      </c>
    </row>
    <row r="1467" spans="1:16" s="619" customFormat="1" ht="48" x14ac:dyDescent="0.2">
      <c r="A1467" s="626" t="s">
        <v>4295</v>
      </c>
      <c r="B1467" s="638" t="s">
        <v>1908</v>
      </c>
      <c r="C1467" s="626" t="s">
        <v>104</v>
      </c>
      <c r="D1467" s="626" t="s">
        <v>4323</v>
      </c>
      <c r="E1467" s="667">
        <v>1800</v>
      </c>
      <c r="F1467" s="662">
        <v>43444750</v>
      </c>
      <c r="G1467" s="626" t="s">
        <v>4324</v>
      </c>
      <c r="H1467" s="638" t="s">
        <v>4298</v>
      </c>
      <c r="I1467" s="626" t="s">
        <v>3768</v>
      </c>
      <c r="J1467" s="638" t="s">
        <v>4299</v>
      </c>
      <c r="K1467" s="626" t="s">
        <v>4325</v>
      </c>
      <c r="L1467" s="671">
        <v>4</v>
      </c>
      <c r="M1467" s="643">
        <f>+E1467*L1467</f>
        <v>7200</v>
      </c>
      <c r="N1467" s="626" t="s">
        <v>4326</v>
      </c>
      <c r="O1467" s="671">
        <v>0</v>
      </c>
      <c r="P1467" s="643">
        <f t="shared" si="2"/>
        <v>0</v>
      </c>
    </row>
    <row r="1468" spans="1:16" s="619" customFormat="1" ht="48" x14ac:dyDescent="0.2">
      <c r="A1468" s="626" t="s">
        <v>4295</v>
      </c>
      <c r="B1468" s="638" t="s">
        <v>1908</v>
      </c>
      <c r="C1468" s="626" t="s">
        <v>104</v>
      </c>
      <c r="D1468" s="626" t="s">
        <v>4327</v>
      </c>
      <c r="E1468" s="667">
        <v>1000</v>
      </c>
      <c r="F1468" s="662">
        <v>47960546</v>
      </c>
      <c r="G1468" s="626" t="s">
        <v>4328</v>
      </c>
      <c r="H1468" s="638" t="s">
        <v>1931</v>
      </c>
      <c r="I1468" s="626" t="s">
        <v>1931</v>
      </c>
      <c r="J1468" s="638" t="s">
        <v>1931</v>
      </c>
      <c r="K1468" s="626" t="s">
        <v>4329</v>
      </c>
      <c r="L1468" s="671">
        <v>4</v>
      </c>
      <c r="M1468" s="643">
        <f t="shared" si="1"/>
        <v>4000</v>
      </c>
      <c r="N1468" s="626" t="s">
        <v>4326</v>
      </c>
      <c r="O1468" s="671">
        <v>0</v>
      </c>
      <c r="P1468" s="643">
        <f t="shared" si="2"/>
        <v>0</v>
      </c>
    </row>
    <row r="1469" spans="1:16" s="619" customFormat="1" ht="48" x14ac:dyDescent="0.2">
      <c r="A1469" s="626" t="s">
        <v>4295</v>
      </c>
      <c r="B1469" s="638" t="s">
        <v>1908</v>
      </c>
      <c r="C1469" s="626" t="s">
        <v>104</v>
      </c>
      <c r="D1469" s="626" t="s">
        <v>1911</v>
      </c>
      <c r="E1469" s="667">
        <v>2000</v>
      </c>
      <c r="F1469" s="662">
        <v>47568909</v>
      </c>
      <c r="G1469" s="626" t="s">
        <v>4330</v>
      </c>
      <c r="H1469" s="638" t="s">
        <v>1416</v>
      </c>
      <c r="I1469" s="626" t="s">
        <v>3768</v>
      </c>
      <c r="J1469" s="638" t="s">
        <v>4299</v>
      </c>
      <c r="K1469" s="626" t="s">
        <v>4331</v>
      </c>
      <c r="L1469" s="671">
        <v>9</v>
      </c>
      <c r="M1469" s="643">
        <f t="shared" si="1"/>
        <v>18000</v>
      </c>
      <c r="N1469" s="626" t="s">
        <v>4326</v>
      </c>
      <c r="O1469" s="671">
        <v>0</v>
      </c>
      <c r="P1469" s="643">
        <f t="shared" si="2"/>
        <v>0</v>
      </c>
    </row>
    <row r="1470" spans="1:16" s="619" customFormat="1" ht="72" x14ac:dyDescent="0.2">
      <c r="A1470" s="626" t="s">
        <v>4295</v>
      </c>
      <c r="B1470" s="638" t="s">
        <v>1908</v>
      </c>
      <c r="C1470" s="626" t="s">
        <v>104</v>
      </c>
      <c r="D1470" s="626" t="s">
        <v>4323</v>
      </c>
      <c r="E1470" s="667">
        <v>1800</v>
      </c>
      <c r="F1470" s="662">
        <v>33668978</v>
      </c>
      <c r="G1470" s="626" t="s">
        <v>4332</v>
      </c>
      <c r="H1470" s="638" t="s">
        <v>4298</v>
      </c>
      <c r="I1470" s="626" t="s">
        <v>3768</v>
      </c>
      <c r="J1470" s="638" t="s">
        <v>4299</v>
      </c>
      <c r="K1470" s="626" t="s">
        <v>4333</v>
      </c>
      <c r="L1470" s="671">
        <v>12</v>
      </c>
      <c r="M1470" s="643">
        <f t="shared" si="1"/>
        <v>21600</v>
      </c>
      <c r="N1470" s="626" t="s">
        <v>4334</v>
      </c>
      <c r="O1470" s="671">
        <v>2</v>
      </c>
      <c r="P1470" s="643">
        <f t="shared" si="2"/>
        <v>3600</v>
      </c>
    </row>
    <row r="1471" spans="1:16" s="619" customFormat="1" ht="48" x14ac:dyDescent="0.2">
      <c r="A1471" s="626" t="s">
        <v>4295</v>
      </c>
      <c r="B1471" s="638" t="s">
        <v>1908</v>
      </c>
      <c r="C1471" s="626" t="s">
        <v>104</v>
      </c>
      <c r="D1471" s="626" t="s">
        <v>4335</v>
      </c>
      <c r="E1471" s="667">
        <v>1500</v>
      </c>
      <c r="F1471" s="662">
        <v>46942270</v>
      </c>
      <c r="G1471" s="626" t="s">
        <v>4336</v>
      </c>
      <c r="H1471" s="638" t="s">
        <v>4337</v>
      </c>
      <c r="I1471" s="626" t="s">
        <v>3768</v>
      </c>
      <c r="J1471" s="638" t="s">
        <v>4299</v>
      </c>
      <c r="K1471" s="626" t="s">
        <v>4338</v>
      </c>
      <c r="L1471" s="671">
        <v>9</v>
      </c>
      <c r="M1471" s="643">
        <f t="shared" si="1"/>
        <v>13500</v>
      </c>
      <c r="N1471" s="626" t="s">
        <v>4326</v>
      </c>
      <c r="O1471" s="671">
        <v>0</v>
      </c>
      <c r="P1471" s="643">
        <f t="shared" si="2"/>
        <v>0</v>
      </c>
    </row>
    <row r="1472" spans="1:16" s="619" customFormat="1" ht="48" x14ac:dyDescent="0.2">
      <c r="A1472" s="626" t="s">
        <v>4295</v>
      </c>
      <c r="B1472" s="638" t="s">
        <v>1908</v>
      </c>
      <c r="C1472" s="626" t="s">
        <v>104</v>
      </c>
      <c r="D1472" s="626" t="s">
        <v>3677</v>
      </c>
      <c r="E1472" s="667">
        <v>1000</v>
      </c>
      <c r="F1472" s="662">
        <v>33674836</v>
      </c>
      <c r="G1472" s="626" t="s">
        <v>4339</v>
      </c>
      <c r="H1472" s="638" t="s">
        <v>3551</v>
      </c>
      <c r="I1472" s="626" t="s">
        <v>3551</v>
      </c>
      <c r="J1472" s="638" t="s">
        <v>4340</v>
      </c>
      <c r="K1472" s="626" t="s">
        <v>4341</v>
      </c>
      <c r="L1472" s="671">
        <v>0</v>
      </c>
      <c r="M1472" s="643">
        <f t="shared" si="1"/>
        <v>0</v>
      </c>
      <c r="N1472" s="626" t="s">
        <v>4342</v>
      </c>
      <c r="O1472" s="671">
        <v>2</v>
      </c>
      <c r="P1472" s="643">
        <f t="shared" si="2"/>
        <v>2000</v>
      </c>
    </row>
    <row r="1473" spans="1:16" s="619" customFormat="1" ht="48" x14ac:dyDescent="0.2">
      <c r="A1473" s="626" t="s">
        <v>4295</v>
      </c>
      <c r="B1473" s="638" t="s">
        <v>1908</v>
      </c>
      <c r="C1473" s="626" t="s">
        <v>104</v>
      </c>
      <c r="D1473" s="626" t="s">
        <v>4343</v>
      </c>
      <c r="E1473" s="667">
        <v>1800</v>
      </c>
      <c r="F1473" s="662">
        <v>44652677</v>
      </c>
      <c r="G1473" s="626" t="s">
        <v>4344</v>
      </c>
      <c r="H1473" s="638" t="s">
        <v>4337</v>
      </c>
      <c r="I1473" s="626" t="s">
        <v>3768</v>
      </c>
      <c r="J1473" s="638" t="s">
        <v>4299</v>
      </c>
      <c r="K1473" s="626" t="s">
        <v>4345</v>
      </c>
      <c r="L1473" s="671">
        <v>2</v>
      </c>
      <c r="M1473" s="643">
        <f t="shared" si="1"/>
        <v>3600</v>
      </c>
      <c r="N1473" s="626" t="s">
        <v>4346</v>
      </c>
      <c r="O1473" s="671">
        <v>2</v>
      </c>
      <c r="P1473" s="643">
        <f t="shared" si="2"/>
        <v>3600</v>
      </c>
    </row>
    <row r="1474" spans="1:16" s="619" customFormat="1" ht="48" x14ac:dyDescent="0.2">
      <c r="A1474" s="626" t="s">
        <v>4295</v>
      </c>
      <c r="B1474" s="638" t="s">
        <v>1908</v>
      </c>
      <c r="C1474" s="626" t="s">
        <v>104</v>
      </c>
      <c r="D1474" s="626" t="s">
        <v>4347</v>
      </c>
      <c r="E1474" s="667">
        <v>1600</v>
      </c>
      <c r="F1474" s="662">
        <v>73317128</v>
      </c>
      <c r="G1474" s="626" t="s">
        <v>4348</v>
      </c>
      <c r="H1474" s="638" t="s">
        <v>2038</v>
      </c>
      <c r="I1474" s="626" t="s">
        <v>3768</v>
      </c>
      <c r="J1474" s="638" t="s">
        <v>4299</v>
      </c>
      <c r="K1474" s="626" t="s">
        <v>4349</v>
      </c>
      <c r="L1474" s="671">
        <v>2</v>
      </c>
      <c r="M1474" s="643">
        <f t="shared" si="1"/>
        <v>3200</v>
      </c>
      <c r="N1474" s="626" t="s">
        <v>4350</v>
      </c>
      <c r="O1474" s="671">
        <v>2</v>
      </c>
      <c r="P1474" s="643">
        <f t="shared" si="2"/>
        <v>3200</v>
      </c>
    </row>
    <row r="1475" spans="1:16" s="619" customFormat="1" ht="48" x14ac:dyDescent="0.2">
      <c r="A1475" s="626" t="s">
        <v>4295</v>
      </c>
      <c r="B1475" s="638" t="s">
        <v>1908</v>
      </c>
      <c r="C1475" s="626" t="s">
        <v>104</v>
      </c>
      <c r="D1475" s="626" t="s">
        <v>4351</v>
      </c>
      <c r="E1475" s="667">
        <v>1200</v>
      </c>
      <c r="F1475" s="662">
        <v>74027925</v>
      </c>
      <c r="G1475" s="626" t="s">
        <v>4352</v>
      </c>
      <c r="H1475" s="638" t="s">
        <v>4353</v>
      </c>
      <c r="I1475" s="626" t="s">
        <v>4353</v>
      </c>
      <c r="J1475" s="638" t="s">
        <v>4354</v>
      </c>
      <c r="K1475" s="626" t="s">
        <v>4355</v>
      </c>
      <c r="L1475" s="671">
        <v>2</v>
      </c>
      <c r="M1475" s="643">
        <f t="shared" si="1"/>
        <v>2400</v>
      </c>
      <c r="N1475" s="626" t="s">
        <v>4356</v>
      </c>
      <c r="O1475" s="671">
        <v>2</v>
      </c>
      <c r="P1475" s="643">
        <f t="shared" si="2"/>
        <v>2400</v>
      </c>
    </row>
    <row r="1476" spans="1:16" s="619" customFormat="1" ht="48" x14ac:dyDescent="0.2">
      <c r="A1476" s="626" t="s">
        <v>4295</v>
      </c>
      <c r="B1476" s="638" t="s">
        <v>1908</v>
      </c>
      <c r="C1476" s="626" t="s">
        <v>104</v>
      </c>
      <c r="D1476" s="626" t="s">
        <v>3545</v>
      </c>
      <c r="E1476" s="667">
        <v>1400</v>
      </c>
      <c r="F1476" s="662">
        <v>70805964</v>
      </c>
      <c r="G1476" s="626" t="s">
        <v>4357</v>
      </c>
      <c r="H1476" s="638" t="s">
        <v>4298</v>
      </c>
      <c r="I1476" s="626" t="s">
        <v>3768</v>
      </c>
      <c r="J1476" s="638" t="s">
        <v>4299</v>
      </c>
      <c r="K1476" s="626" t="s">
        <v>4341</v>
      </c>
      <c r="L1476" s="671">
        <v>0</v>
      </c>
      <c r="M1476" s="643">
        <f t="shared" si="1"/>
        <v>0</v>
      </c>
      <c r="N1476" s="626" t="s">
        <v>4358</v>
      </c>
      <c r="O1476" s="671">
        <v>2</v>
      </c>
      <c r="P1476" s="643">
        <f t="shared" si="2"/>
        <v>2800</v>
      </c>
    </row>
    <row r="1477" spans="1:16" s="619" customFormat="1" ht="48" x14ac:dyDescent="0.2">
      <c r="A1477" s="626" t="s">
        <v>4295</v>
      </c>
      <c r="B1477" s="638" t="s">
        <v>1908</v>
      </c>
      <c r="C1477" s="626" t="s">
        <v>2015</v>
      </c>
      <c r="D1477" s="626" t="s">
        <v>4359</v>
      </c>
      <c r="E1477" s="667">
        <v>1200</v>
      </c>
      <c r="F1477" s="662">
        <v>41916491</v>
      </c>
      <c r="G1477" s="626" t="s">
        <v>4360</v>
      </c>
      <c r="H1477" s="638" t="s">
        <v>4361</v>
      </c>
      <c r="I1477" s="626" t="s">
        <v>4361</v>
      </c>
      <c r="J1477" s="638" t="s">
        <v>4362</v>
      </c>
      <c r="K1477" s="626" t="s">
        <v>4363</v>
      </c>
      <c r="L1477" s="671">
        <v>12</v>
      </c>
      <c r="M1477" s="643">
        <f>+E1477*L1477</f>
        <v>14400</v>
      </c>
      <c r="N1477" s="626" t="s">
        <v>4363</v>
      </c>
      <c r="O1477" s="671">
        <v>6</v>
      </c>
      <c r="P1477" s="643">
        <f>+E1477*O1477</f>
        <v>7200</v>
      </c>
    </row>
    <row r="1478" spans="1:16" s="619" customFormat="1" ht="48" x14ac:dyDescent="0.2">
      <c r="A1478" s="626" t="s">
        <v>4295</v>
      </c>
      <c r="B1478" s="638" t="s">
        <v>1908</v>
      </c>
      <c r="C1478" s="626" t="s">
        <v>2015</v>
      </c>
      <c r="D1478" s="626" t="s">
        <v>4364</v>
      </c>
      <c r="E1478" s="667">
        <v>1600</v>
      </c>
      <c r="F1478" s="662">
        <v>44133214</v>
      </c>
      <c r="G1478" s="626" t="s">
        <v>4365</v>
      </c>
      <c r="H1478" s="638" t="s">
        <v>4366</v>
      </c>
      <c r="I1478" s="626" t="s">
        <v>1931</v>
      </c>
      <c r="J1478" s="638" t="s">
        <v>1931</v>
      </c>
      <c r="K1478" s="626" t="s">
        <v>4363</v>
      </c>
      <c r="L1478" s="671">
        <v>12</v>
      </c>
      <c r="M1478" s="643">
        <f>+E1478*L1478</f>
        <v>19200</v>
      </c>
      <c r="N1478" s="626" t="s">
        <v>4363</v>
      </c>
      <c r="O1478" s="671">
        <v>6</v>
      </c>
      <c r="P1478" s="643">
        <f>+E1478*O1478</f>
        <v>9600</v>
      </c>
    </row>
    <row r="1479" spans="1:16" s="619" customFormat="1" ht="48" x14ac:dyDescent="0.2">
      <c r="A1479" s="626" t="s">
        <v>4295</v>
      </c>
      <c r="B1479" s="638" t="s">
        <v>1908</v>
      </c>
      <c r="C1479" s="626" t="s">
        <v>2015</v>
      </c>
      <c r="D1479" s="626" t="s">
        <v>4367</v>
      </c>
      <c r="E1479" s="667">
        <v>1200</v>
      </c>
      <c r="F1479" s="662">
        <v>45459073</v>
      </c>
      <c r="G1479" s="626" t="s">
        <v>4368</v>
      </c>
      <c r="H1479" s="638" t="s">
        <v>4369</v>
      </c>
      <c r="I1479" s="626" t="s">
        <v>1931</v>
      </c>
      <c r="J1479" s="638" t="s">
        <v>1931</v>
      </c>
      <c r="K1479" s="626" t="s">
        <v>4363</v>
      </c>
      <c r="L1479" s="671">
        <v>12</v>
      </c>
      <c r="M1479" s="643">
        <f t="shared" ref="M1479:M1538" si="3">+E1479*L1479</f>
        <v>14400</v>
      </c>
      <c r="N1479" s="626" t="s">
        <v>4363</v>
      </c>
      <c r="O1479" s="671">
        <v>6</v>
      </c>
      <c r="P1479" s="643">
        <f t="shared" ref="P1479:P1538" si="4">+E1479*O1479</f>
        <v>7200</v>
      </c>
    </row>
    <row r="1480" spans="1:16" s="619" customFormat="1" ht="48" x14ac:dyDescent="0.2">
      <c r="A1480" s="626" t="s">
        <v>4295</v>
      </c>
      <c r="B1480" s="638" t="s">
        <v>1908</v>
      </c>
      <c r="C1480" s="626" t="s">
        <v>2015</v>
      </c>
      <c r="D1480" s="626" t="s">
        <v>4370</v>
      </c>
      <c r="E1480" s="667">
        <v>1000</v>
      </c>
      <c r="F1480" s="662">
        <v>33665512</v>
      </c>
      <c r="G1480" s="626" t="s">
        <v>4371</v>
      </c>
      <c r="H1480" s="638" t="s">
        <v>1919</v>
      </c>
      <c r="I1480" s="626" t="s">
        <v>1919</v>
      </c>
      <c r="J1480" s="638" t="s">
        <v>4372</v>
      </c>
      <c r="K1480" s="626" t="s">
        <v>4363</v>
      </c>
      <c r="L1480" s="671">
        <v>12</v>
      </c>
      <c r="M1480" s="643">
        <f t="shared" si="3"/>
        <v>12000</v>
      </c>
      <c r="N1480" s="626" t="s">
        <v>4363</v>
      </c>
      <c r="O1480" s="671">
        <v>6</v>
      </c>
      <c r="P1480" s="643">
        <f t="shared" si="4"/>
        <v>6000</v>
      </c>
    </row>
    <row r="1481" spans="1:16" s="619" customFormat="1" ht="48" x14ac:dyDescent="0.2">
      <c r="A1481" s="626" t="s">
        <v>4295</v>
      </c>
      <c r="B1481" s="638" t="s">
        <v>1908</v>
      </c>
      <c r="C1481" s="626" t="s">
        <v>2015</v>
      </c>
      <c r="D1481" s="626" t="s">
        <v>4370</v>
      </c>
      <c r="E1481" s="667">
        <v>1000</v>
      </c>
      <c r="F1481" s="662">
        <v>40572550</v>
      </c>
      <c r="G1481" s="626" t="s">
        <v>4373</v>
      </c>
      <c r="H1481" s="638" t="s">
        <v>1919</v>
      </c>
      <c r="I1481" s="626" t="s">
        <v>1919</v>
      </c>
      <c r="J1481" s="638" t="s">
        <v>4372</v>
      </c>
      <c r="K1481" s="626" t="s">
        <v>4363</v>
      </c>
      <c r="L1481" s="671">
        <v>12</v>
      </c>
      <c r="M1481" s="643">
        <f t="shared" si="3"/>
        <v>12000</v>
      </c>
      <c r="N1481" s="626" t="s">
        <v>4363</v>
      </c>
      <c r="O1481" s="671">
        <v>6</v>
      </c>
      <c r="P1481" s="643">
        <f t="shared" si="4"/>
        <v>6000</v>
      </c>
    </row>
    <row r="1482" spans="1:16" s="619" customFormat="1" ht="48" x14ac:dyDescent="0.2">
      <c r="A1482" s="626" t="s">
        <v>4295</v>
      </c>
      <c r="B1482" s="638" t="s">
        <v>1908</v>
      </c>
      <c r="C1482" s="626" t="s">
        <v>2015</v>
      </c>
      <c r="D1482" s="626" t="s">
        <v>4374</v>
      </c>
      <c r="E1482" s="667">
        <v>1200</v>
      </c>
      <c r="F1482" s="662">
        <v>45281622</v>
      </c>
      <c r="G1482" s="626" t="s">
        <v>4375</v>
      </c>
      <c r="H1482" s="638" t="s">
        <v>4376</v>
      </c>
      <c r="I1482" s="626" t="s">
        <v>1931</v>
      </c>
      <c r="J1482" s="638" t="s">
        <v>1931</v>
      </c>
      <c r="K1482" s="626" t="s">
        <v>4363</v>
      </c>
      <c r="L1482" s="671">
        <v>12</v>
      </c>
      <c r="M1482" s="643">
        <f t="shared" si="3"/>
        <v>14400</v>
      </c>
      <c r="N1482" s="626" t="s">
        <v>4363</v>
      </c>
      <c r="O1482" s="671">
        <v>6</v>
      </c>
      <c r="P1482" s="643">
        <f t="shared" si="4"/>
        <v>7200</v>
      </c>
    </row>
    <row r="1483" spans="1:16" s="619" customFormat="1" ht="48" x14ac:dyDescent="0.2">
      <c r="A1483" s="626" t="s">
        <v>4295</v>
      </c>
      <c r="B1483" s="638" t="s">
        <v>1908</v>
      </c>
      <c r="C1483" s="626" t="s">
        <v>2015</v>
      </c>
      <c r="D1483" s="626" t="s">
        <v>4377</v>
      </c>
      <c r="E1483" s="667">
        <v>1200</v>
      </c>
      <c r="F1483" s="662">
        <v>48186760</v>
      </c>
      <c r="G1483" s="626" t="s">
        <v>4378</v>
      </c>
      <c r="H1483" s="638" t="s">
        <v>4379</v>
      </c>
      <c r="I1483" s="626" t="s">
        <v>1931</v>
      </c>
      <c r="J1483" s="638" t="s">
        <v>1931</v>
      </c>
      <c r="K1483" s="626" t="s">
        <v>4363</v>
      </c>
      <c r="L1483" s="671">
        <v>12</v>
      </c>
      <c r="M1483" s="643">
        <f t="shared" si="3"/>
        <v>14400</v>
      </c>
      <c r="N1483" s="626" t="s">
        <v>4363</v>
      </c>
      <c r="O1483" s="671">
        <v>6</v>
      </c>
      <c r="P1483" s="643">
        <f t="shared" si="4"/>
        <v>7200</v>
      </c>
    </row>
    <row r="1484" spans="1:16" s="619" customFormat="1" ht="48" x14ac:dyDescent="0.2">
      <c r="A1484" s="626" t="s">
        <v>4295</v>
      </c>
      <c r="B1484" s="638" t="s">
        <v>1908</v>
      </c>
      <c r="C1484" s="626" t="s">
        <v>2015</v>
      </c>
      <c r="D1484" s="626" t="s">
        <v>4380</v>
      </c>
      <c r="E1484" s="667">
        <v>1400</v>
      </c>
      <c r="F1484" s="662">
        <v>43748007</v>
      </c>
      <c r="G1484" s="626" t="s">
        <v>4381</v>
      </c>
      <c r="H1484" s="638" t="s">
        <v>1919</v>
      </c>
      <c r="I1484" s="626" t="s">
        <v>1919</v>
      </c>
      <c r="J1484" s="638" t="s">
        <v>4372</v>
      </c>
      <c r="K1484" s="626" t="s">
        <v>4363</v>
      </c>
      <c r="L1484" s="671">
        <v>12</v>
      </c>
      <c r="M1484" s="643">
        <f t="shared" si="3"/>
        <v>16800</v>
      </c>
      <c r="N1484" s="626" t="s">
        <v>4363</v>
      </c>
      <c r="O1484" s="671">
        <v>6</v>
      </c>
      <c r="P1484" s="643">
        <f t="shared" si="4"/>
        <v>8400</v>
      </c>
    </row>
    <row r="1485" spans="1:16" s="619" customFormat="1" ht="48" x14ac:dyDescent="0.2">
      <c r="A1485" s="626" t="s">
        <v>4295</v>
      </c>
      <c r="B1485" s="638" t="s">
        <v>1908</v>
      </c>
      <c r="C1485" s="626" t="s">
        <v>2015</v>
      </c>
      <c r="D1485" s="626" t="s">
        <v>4382</v>
      </c>
      <c r="E1485" s="667">
        <v>1000</v>
      </c>
      <c r="F1485" s="662">
        <v>47517403</v>
      </c>
      <c r="G1485" s="626" t="s">
        <v>4383</v>
      </c>
      <c r="H1485" s="638" t="s">
        <v>4384</v>
      </c>
      <c r="I1485" s="626" t="s">
        <v>1931</v>
      </c>
      <c r="J1485" s="638" t="s">
        <v>1931</v>
      </c>
      <c r="K1485" s="626" t="s">
        <v>4363</v>
      </c>
      <c r="L1485" s="671">
        <v>12</v>
      </c>
      <c r="M1485" s="643">
        <f t="shared" si="3"/>
        <v>12000</v>
      </c>
      <c r="N1485" s="626" t="s">
        <v>4363</v>
      </c>
      <c r="O1485" s="671">
        <v>6</v>
      </c>
      <c r="P1485" s="643">
        <f t="shared" si="4"/>
        <v>6000</v>
      </c>
    </row>
    <row r="1486" spans="1:16" s="619" customFormat="1" ht="48" x14ac:dyDescent="0.2">
      <c r="A1486" s="626" t="s">
        <v>4295</v>
      </c>
      <c r="B1486" s="638" t="s">
        <v>1908</v>
      </c>
      <c r="C1486" s="626" t="s">
        <v>2015</v>
      </c>
      <c r="D1486" s="626" t="s">
        <v>4385</v>
      </c>
      <c r="E1486" s="667">
        <v>1300</v>
      </c>
      <c r="F1486" s="662">
        <v>43800865</v>
      </c>
      <c r="G1486" s="626" t="s">
        <v>4386</v>
      </c>
      <c r="H1486" s="638" t="s">
        <v>3280</v>
      </c>
      <c r="I1486" s="626" t="s">
        <v>3768</v>
      </c>
      <c r="J1486" s="638" t="s">
        <v>3523</v>
      </c>
      <c r="K1486" s="626" t="s">
        <v>4363</v>
      </c>
      <c r="L1486" s="673">
        <v>12</v>
      </c>
      <c r="M1486" s="643">
        <f t="shared" si="3"/>
        <v>15600</v>
      </c>
      <c r="N1486" s="626" t="s">
        <v>4363</v>
      </c>
      <c r="O1486" s="671">
        <v>6</v>
      </c>
      <c r="P1486" s="643">
        <f t="shared" si="4"/>
        <v>7800</v>
      </c>
    </row>
    <row r="1487" spans="1:16" s="619" customFormat="1" ht="48" x14ac:dyDescent="0.2">
      <c r="A1487" s="626" t="s">
        <v>4295</v>
      </c>
      <c r="B1487" s="638" t="s">
        <v>1908</v>
      </c>
      <c r="C1487" s="626" t="s">
        <v>2015</v>
      </c>
      <c r="D1487" s="626" t="s">
        <v>4387</v>
      </c>
      <c r="E1487" s="667">
        <v>1500</v>
      </c>
      <c r="F1487" s="662">
        <v>43688488</v>
      </c>
      <c r="G1487" s="626" t="s">
        <v>4388</v>
      </c>
      <c r="H1487" s="638" t="s">
        <v>4379</v>
      </c>
      <c r="I1487" s="626" t="s">
        <v>1931</v>
      </c>
      <c r="J1487" s="638" t="s">
        <v>1931</v>
      </c>
      <c r="K1487" s="626" t="s">
        <v>4363</v>
      </c>
      <c r="L1487" s="671">
        <v>12</v>
      </c>
      <c r="M1487" s="643">
        <f t="shared" si="3"/>
        <v>18000</v>
      </c>
      <c r="N1487" s="626" t="s">
        <v>4363</v>
      </c>
      <c r="O1487" s="671">
        <v>6</v>
      </c>
      <c r="P1487" s="643">
        <f t="shared" si="4"/>
        <v>9000</v>
      </c>
    </row>
    <row r="1488" spans="1:16" s="619" customFormat="1" ht="48" x14ac:dyDescent="0.2">
      <c r="A1488" s="626" t="s">
        <v>4295</v>
      </c>
      <c r="B1488" s="638" t="s">
        <v>1908</v>
      </c>
      <c r="C1488" s="626" t="s">
        <v>2015</v>
      </c>
      <c r="D1488" s="626" t="s">
        <v>4389</v>
      </c>
      <c r="E1488" s="667">
        <v>3500</v>
      </c>
      <c r="F1488" s="662">
        <v>40619376</v>
      </c>
      <c r="G1488" s="626" t="s">
        <v>4390</v>
      </c>
      <c r="H1488" s="638" t="s">
        <v>4391</v>
      </c>
      <c r="I1488" s="626" t="s">
        <v>3768</v>
      </c>
      <c r="J1488" s="638" t="s">
        <v>3523</v>
      </c>
      <c r="K1488" s="626" t="s">
        <v>4363</v>
      </c>
      <c r="L1488" s="671">
        <v>4</v>
      </c>
      <c r="M1488" s="643">
        <f t="shared" si="3"/>
        <v>14000</v>
      </c>
      <c r="N1488" s="626" t="s">
        <v>4363</v>
      </c>
      <c r="O1488" s="671">
        <v>6</v>
      </c>
      <c r="P1488" s="643">
        <f t="shared" si="4"/>
        <v>21000</v>
      </c>
    </row>
    <row r="1489" spans="1:16" s="619" customFormat="1" ht="48" x14ac:dyDescent="0.2">
      <c r="A1489" s="626" t="s">
        <v>4295</v>
      </c>
      <c r="B1489" s="638" t="s">
        <v>1908</v>
      </c>
      <c r="C1489" s="626" t="s">
        <v>2015</v>
      </c>
      <c r="D1489" s="626" t="s">
        <v>3669</v>
      </c>
      <c r="E1489" s="667">
        <v>1900</v>
      </c>
      <c r="F1489" s="662">
        <v>46826584</v>
      </c>
      <c r="G1489" s="626" t="s">
        <v>4392</v>
      </c>
      <c r="H1489" s="638" t="s">
        <v>3079</v>
      </c>
      <c r="I1489" s="626" t="s">
        <v>3768</v>
      </c>
      <c r="J1489" s="638" t="s">
        <v>3523</v>
      </c>
      <c r="K1489" s="626" t="s">
        <v>4363</v>
      </c>
      <c r="L1489" s="671">
        <v>12</v>
      </c>
      <c r="M1489" s="643">
        <f t="shared" si="3"/>
        <v>22800</v>
      </c>
      <c r="N1489" s="626" t="s">
        <v>4363</v>
      </c>
      <c r="O1489" s="671">
        <v>6</v>
      </c>
      <c r="P1489" s="643">
        <f t="shared" si="4"/>
        <v>11400</v>
      </c>
    </row>
    <row r="1490" spans="1:16" s="619" customFormat="1" ht="48" x14ac:dyDescent="0.2">
      <c r="A1490" s="626" t="s">
        <v>4295</v>
      </c>
      <c r="B1490" s="638" t="s">
        <v>1908</v>
      </c>
      <c r="C1490" s="626" t="s">
        <v>2015</v>
      </c>
      <c r="D1490" s="626" t="s">
        <v>4393</v>
      </c>
      <c r="E1490" s="667">
        <v>1300</v>
      </c>
      <c r="F1490" s="662">
        <v>71347869</v>
      </c>
      <c r="G1490" s="626" t="s">
        <v>4394</v>
      </c>
      <c r="H1490" s="638" t="s">
        <v>4395</v>
      </c>
      <c r="I1490" s="626" t="s">
        <v>1931</v>
      </c>
      <c r="J1490" s="638" t="s">
        <v>1931</v>
      </c>
      <c r="K1490" s="626" t="s">
        <v>4363</v>
      </c>
      <c r="L1490" s="671">
        <v>12</v>
      </c>
      <c r="M1490" s="643">
        <f t="shared" si="3"/>
        <v>15600</v>
      </c>
      <c r="N1490" s="626" t="s">
        <v>4363</v>
      </c>
      <c r="O1490" s="671">
        <v>6</v>
      </c>
      <c r="P1490" s="643">
        <f t="shared" si="4"/>
        <v>7800</v>
      </c>
    </row>
    <row r="1491" spans="1:16" s="619" customFormat="1" ht="48" x14ac:dyDescent="0.2">
      <c r="A1491" s="626" t="s">
        <v>4295</v>
      </c>
      <c r="B1491" s="638" t="s">
        <v>1908</v>
      </c>
      <c r="C1491" s="626" t="s">
        <v>2015</v>
      </c>
      <c r="D1491" s="626" t="s">
        <v>4396</v>
      </c>
      <c r="E1491" s="667">
        <v>1500</v>
      </c>
      <c r="F1491" s="662">
        <v>44512325</v>
      </c>
      <c r="G1491" s="626" t="s">
        <v>4397</v>
      </c>
      <c r="H1491" s="638" t="s">
        <v>4395</v>
      </c>
      <c r="I1491" s="626" t="s">
        <v>1931</v>
      </c>
      <c r="J1491" s="638" t="s">
        <v>1931</v>
      </c>
      <c r="K1491" s="626" t="s">
        <v>4363</v>
      </c>
      <c r="L1491" s="671">
        <v>12</v>
      </c>
      <c r="M1491" s="643">
        <f t="shared" si="3"/>
        <v>18000</v>
      </c>
      <c r="N1491" s="626" t="s">
        <v>4363</v>
      </c>
      <c r="O1491" s="671">
        <v>6</v>
      </c>
      <c r="P1491" s="643">
        <f t="shared" si="4"/>
        <v>9000</v>
      </c>
    </row>
    <row r="1492" spans="1:16" s="619" customFormat="1" ht="48" x14ac:dyDescent="0.2">
      <c r="A1492" s="626" t="s">
        <v>4295</v>
      </c>
      <c r="B1492" s="638" t="s">
        <v>1908</v>
      </c>
      <c r="C1492" s="626" t="s">
        <v>2015</v>
      </c>
      <c r="D1492" s="626" t="s">
        <v>4398</v>
      </c>
      <c r="E1492" s="667">
        <v>2200</v>
      </c>
      <c r="F1492" s="662">
        <v>33640227</v>
      </c>
      <c r="G1492" s="626" t="s">
        <v>4399</v>
      </c>
      <c r="H1492" s="638" t="s">
        <v>1919</v>
      </c>
      <c r="I1492" s="626" t="s">
        <v>1919</v>
      </c>
      <c r="J1492" s="638" t="s">
        <v>4372</v>
      </c>
      <c r="K1492" s="626" t="s">
        <v>4363</v>
      </c>
      <c r="L1492" s="671">
        <v>8</v>
      </c>
      <c r="M1492" s="643">
        <f t="shared" si="3"/>
        <v>17600</v>
      </c>
      <c r="N1492" s="626" t="s">
        <v>4363</v>
      </c>
      <c r="O1492" s="671">
        <v>0</v>
      </c>
      <c r="P1492" s="643">
        <f t="shared" si="4"/>
        <v>0</v>
      </c>
    </row>
    <row r="1493" spans="1:16" s="619" customFormat="1" ht="48" x14ac:dyDescent="0.2">
      <c r="A1493" s="626" t="s">
        <v>4295</v>
      </c>
      <c r="B1493" s="638" t="s">
        <v>1908</v>
      </c>
      <c r="C1493" s="626" t="s">
        <v>2015</v>
      </c>
      <c r="D1493" s="626" t="s">
        <v>4396</v>
      </c>
      <c r="E1493" s="667">
        <v>1700</v>
      </c>
      <c r="F1493" s="662">
        <v>10123310</v>
      </c>
      <c r="G1493" s="626" t="s">
        <v>4400</v>
      </c>
      <c r="H1493" s="638" t="s">
        <v>1919</v>
      </c>
      <c r="I1493" s="626" t="s">
        <v>1919</v>
      </c>
      <c r="J1493" s="638" t="s">
        <v>4372</v>
      </c>
      <c r="K1493" s="626" t="s">
        <v>4363</v>
      </c>
      <c r="L1493" s="671">
        <v>8</v>
      </c>
      <c r="M1493" s="643">
        <f t="shared" si="3"/>
        <v>13600</v>
      </c>
      <c r="N1493" s="626" t="s">
        <v>4363</v>
      </c>
      <c r="O1493" s="671">
        <v>6</v>
      </c>
      <c r="P1493" s="643">
        <f t="shared" si="4"/>
        <v>10200</v>
      </c>
    </row>
    <row r="1494" spans="1:16" s="619" customFormat="1" ht="48" x14ac:dyDescent="0.2">
      <c r="A1494" s="626" t="s">
        <v>4295</v>
      </c>
      <c r="B1494" s="638" t="s">
        <v>1908</v>
      </c>
      <c r="C1494" s="626" t="s">
        <v>2015</v>
      </c>
      <c r="D1494" s="626" t="s">
        <v>4401</v>
      </c>
      <c r="E1494" s="667">
        <v>1500</v>
      </c>
      <c r="F1494" s="662">
        <v>71000046</v>
      </c>
      <c r="G1494" s="626" t="s">
        <v>4402</v>
      </c>
      <c r="H1494" s="638" t="s">
        <v>4403</v>
      </c>
      <c r="I1494" s="626" t="s">
        <v>4403</v>
      </c>
      <c r="J1494" s="638" t="s">
        <v>4354</v>
      </c>
      <c r="K1494" s="626" t="s">
        <v>4363</v>
      </c>
      <c r="L1494" s="671">
        <v>5</v>
      </c>
      <c r="M1494" s="643">
        <f t="shared" si="3"/>
        <v>7500</v>
      </c>
      <c r="N1494" s="626" t="s">
        <v>4363</v>
      </c>
      <c r="O1494" s="671">
        <v>6</v>
      </c>
      <c r="P1494" s="643">
        <f t="shared" si="4"/>
        <v>9000</v>
      </c>
    </row>
    <row r="1495" spans="1:16" s="619" customFormat="1" ht="48" x14ac:dyDescent="0.2">
      <c r="A1495" s="626" t="s">
        <v>4295</v>
      </c>
      <c r="B1495" s="638" t="s">
        <v>1908</v>
      </c>
      <c r="C1495" s="626" t="s">
        <v>2015</v>
      </c>
      <c r="D1495" s="626" t="s">
        <v>4404</v>
      </c>
      <c r="E1495" s="667">
        <v>1300</v>
      </c>
      <c r="F1495" s="662">
        <v>42036896</v>
      </c>
      <c r="G1495" s="626" t="s">
        <v>4405</v>
      </c>
      <c r="H1495" s="638" t="s">
        <v>4366</v>
      </c>
      <c r="I1495" s="626" t="s">
        <v>1931</v>
      </c>
      <c r="J1495" s="638" t="s">
        <v>1931</v>
      </c>
      <c r="K1495" s="626" t="s">
        <v>4363</v>
      </c>
      <c r="L1495" s="671">
        <v>0</v>
      </c>
      <c r="M1495" s="643">
        <f t="shared" si="3"/>
        <v>0</v>
      </c>
      <c r="N1495" s="626" t="s">
        <v>4363</v>
      </c>
      <c r="O1495" s="671">
        <v>6</v>
      </c>
      <c r="P1495" s="643">
        <f t="shared" si="4"/>
        <v>7800</v>
      </c>
    </row>
    <row r="1496" spans="1:16" s="619" customFormat="1" ht="48" x14ac:dyDescent="0.2">
      <c r="A1496" s="626" t="s">
        <v>4295</v>
      </c>
      <c r="B1496" s="638" t="s">
        <v>1908</v>
      </c>
      <c r="C1496" s="626" t="s">
        <v>2015</v>
      </c>
      <c r="D1496" s="626" t="s">
        <v>4351</v>
      </c>
      <c r="E1496" s="667">
        <v>1200</v>
      </c>
      <c r="F1496" s="662">
        <v>70070480</v>
      </c>
      <c r="G1496" s="626" t="s">
        <v>4406</v>
      </c>
      <c r="H1496" s="638" t="s">
        <v>4407</v>
      </c>
      <c r="I1496" s="626" t="s">
        <v>3587</v>
      </c>
      <c r="J1496" s="638" t="s">
        <v>3587</v>
      </c>
      <c r="K1496" s="626" t="s">
        <v>4363</v>
      </c>
      <c r="L1496" s="671">
        <v>3</v>
      </c>
      <c r="M1496" s="643">
        <f t="shared" si="3"/>
        <v>3600</v>
      </c>
      <c r="N1496" s="626" t="s">
        <v>4363</v>
      </c>
      <c r="O1496" s="671">
        <v>0</v>
      </c>
      <c r="P1496" s="643">
        <f t="shared" si="4"/>
        <v>0</v>
      </c>
    </row>
    <row r="1497" spans="1:16" s="619" customFormat="1" ht="48" x14ac:dyDescent="0.2">
      <c r="A1497" s="626" t="s">
        <v>4295</v>
      </c>
      <c r="B1497" s="638" t="s">
        <v>1908</v>
      </c>
      <c r="C1497" s="626" t="s">
        <v>2015</v>
      </c>
      <c r="D1497" s="626" t="s">
        <v>4351</v>
      </c>
      <c r="E1497" s="667">
        <v>1200</v>
      </c>
      <c r="F1497" s="662">
        <v>42578479</v>
      </c>
      <c r="G1497" s="626" t="s">
        <v>4408</v>
      </c>
      <c r="H1497" s="638" t="s">
        <v>1919</v>
      </c>
      <c r="I1497" s="626" t="s">
        <v>1919</v>
      </c>
      <c r="J1497" s="638" t="s">
        <v>4372</v>
      </c>
      <c r="K1497" s="626" t="s">
        <v>4363</v>
      </c>
      <c r="L1497" s="671">
        <v>0</v>
      </c>
      <c r="M1497" s="643">
        <f t="shared" si="3"/>
        <v>0</v>
      </c>
      <c r="N1497" s="626" t="s">
        <v>4363</v>
      </c>
      <c r="O1497" s="671">
        <v>5</v>
      </c>
      <c r="P1497" s="643">
        <f t="shared" si="4"/>
        <v>6000</v>
      </c>
    </row>
    <row r="1498" spans="1:16" s="619" customFormat="1" ht="48" x14ac:dyDescent="0.2">
      <c r="A1498" s="626" t="s">
        <v>4295</v>
      </c>
      <c r="B1498" s="638" t="s">
        <v>1908</v>
      </c>
      <c r="C1498" s="626" t="s">
        <v>2015</v>
      </c>
      <c r="D1498" s="626" t="s">
        <v>4409</v>
      </c>
      <c r="E1498" s="667">
        <v>2500</v>
      </c>
      <c r="F1498" s="662">
        <v>43396074</v>
      </c>
      <c r="G1498" s="626" t="s">
        <v>4410</v>
      </c>
      <c r="H1498" s="638" t="s">
        <v>1919</v>
      </c>
      <c r="I1498" s="626" t="s">
        <v>1919</v>
      </c>
      <c r="J1498" s="638" t="s">
        <v>4372</v>
      </c>
      <c r="K1498" s="626" t="s">
        <v>4363</v>
      </c>
      <c r="L1498" s="671">
        <v>12</v>
      </c>
      <c r="M1498" s="643">
        <f t="shared" si="3"/>
        <v>30000</v>
      </c>
      <c r="N1498" s="626" t="s">
        <v>4363</v>
      </c>
      <c r="O1498" s="671">
        <v>6</v>
      </c>
      <c r="P1498" s="643">
        <f t="shared" si="4"/>
        <v>15000</v>
      </c>
    </row>
    <row r="1499" spans="1:16" s="619" customFormat="1" ht="48" x14ac:dyDescent="0.2">
      <c r="A1499" s="626" t="s">
        <v>4295</v>
      </c>
      <c r="B1499" s="638" t="s">
        <v>1908</v>
      </c>
      <c r="C1499" s="626" t="s">
        <v>2015</v>
      </c>
      <c r="D1499" s="626" t="s">
        <v>4411</v>
      </c>
      <c r="E1499" s="667">
        <v>4000</v>
      </c>
      <c r="F1499" s="662">
        <v>43618248</v>
      </c>
      <c r="G1499" s="626" t="s">
        <v>4412</v>
      </c>
      <c r="H1499" s="638" t="s">
        <v>1911</v>
      </c>
      <c r="I1499" s="626" t="s">
        <v>3768</v>
      </c>
      <c r="J1499" s="638" t="s">
        <v>3523</v>
      </c>
      <c r="K1499" s="626" t="s">
        <v>4363</v>
      </c>
      <c r="L1499" s="671">
        <v>9</v>
      </c>
      <c r="M1499" s="643">
        <f t="shared" si="3"/>
        <v>36000</v>
      </c>
      <c r="N1499" s="626" t="s">
        <v>4363</v>
      </c>
      <c r="O1499" s="671">
        <v>6</v>
      </c>
      <c r="P1499" s="643">
        <f t="shared" si="4"/>
        <v>24000</v>
      </c>
    </row>
    <row r="1500" spans="1:16" s="619" customFormat="1" ht="48" x14ac:dyDescent="0.2">
      <c r="A1500" s="626" t="s">
        <v>4295</v>
      </c>
      <c r="B1500" s="638" t="s">
        <v>1908</v>
      </c>
      <c r="C1500" s="626" t="s">
        <v>2015</v>
      </c>
      <c r="D1500" s="626" t="s">
        <v>3626</v>
      </c>
      <c r="E1500" s="667">
        <v>3000</v>
      </c>
      <c r="F1500" s="662">
        <v>41739027</v>
      </c>
      <c r="G1500" s="626" t="s">
        <v>4413</v>
      </c>
      <c r="H1500" s="638" t="s">
        <v>1911</v>
      </c>
      <c r="I1500" s="626" t="s">
        <v>3768</v>
      </c>
      <c r="J1500" s="638" t="s">
        <v>3523</v>
      </c>
      <c r="K1500" s="626" t="s">
        <v>4363</v>
      </c>
      <c r="L1500" s="671">
        <v>0</v>
      </c>
      <c r="M1500" s="643">
        <f t="shared" si="3"/>
        <v>0</v>
      </c>
      <c r="N1500" s="626" t="s">
        <v>4363</v>
      </c>
      <c r="O1500" s="671">
        <v>6</v>
      </c>
      <c r="P1500" s="643">
        <f t="shared" si="4"/>
        <v>18000</v>
      </c>
    </row>
    <row r="1501" spans="1:16" s="619" customFormat="1" ht="48" x14ac:dyDescent="0.2">
      <c r="A1501" s="626" t="s">
        <v>4295</v>
      </c>
      <c r="B1501" s="638" t="s">
        <v>1908</v>
      </c>
      <c r="C1501" s="626" t="s">
        <v>2015</v>
      </c>
      <c r="D1501" s="626" t="s">
        <v>4414</v>
      </c>
      <c r="E1501" s="667">
        <v>1800</v>
      </c>
      <c r="F1501" s="662">
        <v>40406509</v>
      </c>
      <c r="G1501" s="626" t="s">
        <v>4415</v>
      </c>
      <c r="H1501" s="638" t="s">
        <v>1911</v>
      </c>
      <c r="I1501" s="626" t="s">
        <v>3768</v>
      </c>
      <c r="J1501" s="638" t="s">
        <v>3523</v>
      </c>
      <c r="K1501" s="626" t="s">
        <v>4363</v>
      </c>
      <c r="L1501" s="671">
        <v>8</v>
      </c>
      <c r="M1501" s="643">
        <f t="shared" si="3"/>
        <v>14400</v>
      </c>
      <c r="N1501" s="626" t="s">
        <v>4363</v>
      </c>
      <c r="O1501" s="671">
        <v>6</v>
      </c>
      <c r="P1501" s="643">
        <f t="shared" si="4"/>
        <v>10800</v>
      </c>
    </row>
    <row r="1502" spans="1:16" s="619" customFormat="1" ht="48" x14ac:dyDescent="0.2">
      <c r="A1502" s="626" t="s">
        <v>4295</v>
      </c>
      <c r="B1502" s="638" t="s">
        <v>1908</v>
      </c>
      <c r="C1502" s="626" t="s">
        <v>2015</v>
      </c>
      <c r="D1502" s="626" t="s">
        <v>4416</v>
      </c>
      <c r="E1502" s="667">
        <v>1900</v>
      </c>
      <c r="F1502" s="662">
        <v>70808472</v>
      </c>
      <c r="G1502" s="626" t="s">
        <v>4417</v>
      </c>
      <c r="H1502" s="638" t="s">
        <v>4418</v>
      </c>
      <c r="I1502" s="626" t="s">
        <v>3768</v>
      </c>
      <c r="J1502" s="638" t="s">
        <v>3523</v>
      </c>
      <c r="K1502" s="626" t="s">
        <v>4363</v>
      </c>
      <c r="L1502" s="671">
        <v>12</v>
      </c>
      <c r="M1502" s="643">
        <f t="shared" si="3"/>
        <v>22800</v>
      </c>
      <c r="N1502" s="626" t="s">
        <v>4363</v>
      </c>
      <c r="O1502" s="671">
        <v>6</v>
      </c>
      <c r="P1502" s="643">
        <f t="shared" si="4"/>
        <v>11400</v>
      </c>
    </row>
    <row r="1503" spans="1:16" s="619" customFormat="1" ht="48" x14ac:dyDescent="0.2">
      <c r="A1503" s="626" t="s">
        <v>4295</v>
      </c>
      <c r="B1503" s="638" t="s">
        <v>1908</v>
      </c>
      <c r="C1503" s="626" t="s">
        <v>2015</v>
      </c>
      <c r="D1503" s="626" t="s">
        <v>4419</v>
      </c>
      <c r="E1503" s="667">
        <v>1500</v>
      </c>
      <c r="F1503" s="662">
        <v>73578481</v>
      </c>
      <c r="G1503" s="626" t="s">
        <v>4420</v>
      </c>
      <c r="H1503" s="638" t="s">
        <v>1982</v>
      </c>
      <c r="I1503" s="626" t="s">
        <v>3587</v>
      </c>
      <c r="J1503" s="638" t="s">
        <v>3587</v>
      </c>
      <c r="K1503" s="626" t="s">
        <v>4363</v>
      </c>
      <c r="L1503" s="671">
        <v>12</v>
      </c>
      <c r="M1503" s="643">
        <f t="shared" si="3"/>
        <v>18000</v>
      </c>
      <c r="N1503" s="626" t="s">
        <v>4363</v>
      </c>
      <c r="O1503" s="671">
        <v>6</v>
      </c>
      <c r="P1503" s="643">
        <f t="shared" si="4"/>
        <v>9000</v>
      </c>
    </row>
    <row r="1504" spans="1:16" s="619" customFormat="1" ht="48" x14ac:dyDescent="0.2">
      <c r="A1504" s="626" t="s">
        <v>4295</v>
      </c>
      <c r="B1504" s="638" t="s">
        <v>1908</v>
      </c>
      <c r="C1504" s="626" t="s">
        <v>2015</v>
      </c>
      <c r="D1504" s="626" t="s">
        <v>4419</v>
      </c>
      <c r="E1504" s="667">
        <v>1300</v>
      </c>
      <c r="F1504" s="662">
        <v>44765815</v>
      </c>
      <c r="G1504" s="626" t="s">
        <v>4421</v>
      </c>
      <c r="H1504" s="638" t="s">
        <v>4422</v>
      </c>
      <c r="I1504" s="626" t="s">
        <v>1931</v>
      </c>
      <c r="J1504" s="638" t="s">
        <v>1931</v>
      </c>
      <c r="K1504" s="626" t="s">
        <v>4363</v>
      </c>
      <c r="L1504" s="671">
        <v>12</v>
      </c>
      <c r="M1504" s="643">
        <f>+E1504*L1504</f>
        <v>15600</v>
      </c>
      <c r="N1504" s="626" t="s">
        <v>4363</v>
      </c>
      <c r="O1504" s="671">
        <v>6</v>
      </c>
      <c r="P1504" s="643">
        <f t="shared" si="4"/>
        <v>7800</v>
      </c>
    </row>
    <row r="1505" spans="1:16" s="619" customFormat="1" ht="48" x14ac:dyDescent="0.2">
      <c r="A1505" s="626" t="s">
        <v>4295</v>
      </c>
      <c r="B1505" s="638" t="s">
        <v>1908</v>
      </c>
      <c r="C1505" s="626" t="s">
        <v>2015</v>
      </c>
      <c r="D1505" s="626" t="s">
        <v>4423</v>
      </c>
      <c r="E1505" s="667">
        <v>2100</v>
      </c>
      <c r="F1505" s="662">
        <v>70086213</v>
      </c>
      <c r="G1505" s="626" t="s">
        <v>4424</v>
      </c>
      <c r="H1505" s="638" t="s">
        <v>4425</v>
      </c>
      <c r="I1505" s="626" t="s">
        <v>3768</v>
      </c>
      <c r="J1505" s="638" t="s">
        <v>3523</v>
      </c>
      <c r="K1505" s="626" t="s">
        <v>4363</v>
      </c>
      <c r="L1505" s="671">
        <v>12</v>
      </c>
      <c r="M1505" s="643">
        <f t="shared" si="3"/>
        <v>25200</v>
      </c>
      <c r="N1505" s="626" t="s">
        <v>4363</v>
      </c>
      <c r="O1505" s="671">
        <v>6</v>
      </c>
      <c r="P1505" s="643">
        <f t="shared" si="4"/>
        <v>12600</v>
      </c>
    </row>
    <row r="1506" spans="1:16" s="619" customFormat="1" ht="48" x14ac:dyDescent="0.2">
      <c r="A1506" s="626" t="s">
        <v>4295</v>
      </c>
      <c r="B1506" s="638" t="s">
        <v>1908</v>
      </c>
      <c r="C1506" s="626" t="s">
        <v>2015</v>
      </c>
      <c r="D1506" s="626" t="s">
        <v>4426</v>
      </c>
      <c r="E1506" s="667">
        <v>2100</v>
      </c>
      <c r="F1506" s="662">
        <v>42652470</v>
      </c>
      <c r="G1506" s="626" t="s">
        <v>4427</v>
      </c>
      <c r="H1506" s="638" t="s">
        <v>4428</v>
      </c>
      <c r="I1506" s="626" t="s">
        <v>3587</v>
      </c>
      <c r="J1506" s="638" t="s">
        <v>3587</v>
      </c>
      <c r="K1506" s="626" t="s">
        <v>4363</v>
      </c>
      <c r="L1506" s="671">
        <v>12</v>
      </c>
      <c r="M1506" s="643">
        <f t="shared" si="3"/>
        <v>25200</v>
      </c>
      <c r="N1506" s="626" t="s">
        <v>4363</v>
      </c>
      <c r="O1506" s="671">
        <v>6</v>
      </c>
      <c r="P1506" s="643">
        <f t="shared" si="4"/>
        <v>12600</v>
      </c>
    </row>
    <row r="1507" spans="1:16" s="619" customFormat="1" ht="48" x14ac:dyDescent="0.2">
      <c r="A1507" s="626" t="s">
        <v>4295</v>
      </c>
      <c r="B1507" s="638" t="s">
        <v>1908</v>
      </c>
      <c r="C1507" s="626" t="s">
        <v>2015</v>
      </c>
      <c r="D1507" s="626" t="s">
        <v>4429</v>
      </c>
      <c r="E1507" s="667">
        <v>1200</v>
      </c>
      <c r="F1507" s="662">
        <v>71111400</v>
      </c>
      <c r="G1507" s="626" t="s">
        <v>4430</v>
      </c>
      <c r="H1507" s="638" t="s">
        <v>2698</v>
      </c>
      <c r="I1507" s="626" t="s">
        <v>1931</v>
      </c>
      <c r="J1507" s="638" t="s">
        <v>1931</v>
      </c>
      <c r="K1507" s="626" t="s">
        <v>4363</v>
      </c>
      <c r="L1507" s="671">
        <v>8</v>
      </c>
      <c r="M1507" s="643">
        <f t="shared" si="3"/>
        <v>9600</v>
      </c>
      <c r="N1507" s="626" t="s">
        <v>4363</v>
      </c>
      <c r="O1507" s="671">
        <v>6</v>
      </c>
      <c r="P1507" s="643">
        <f t="shared" si="4"/>
        <v>7200</v>
      </c>
    </row>
    <row r="1508" spans="1:16" s="619" customFormat="1" ht="48" x14ac:dyDescent="0.2">
      <c r="A1508" s="626" t="s">
        <v>4295</v>
      </c>
      <c r="B1508" s="638" t="s">
        <v>1908</v>
      </c>
      <c r="C1508" s="626" t="s">
        <v>2015</v>
      </c>
      <c r="D1508" s="626" t="s">
        <v>4431</v>
      </c>
      <c r="E1508" s="667">
        <v>2100</v>
      </c>
      <c r="F1508" s="662">
        <v>17846419</v>
      </c>
      <c r="G1508" s="626" t="s">
        <v>4432</v>
      </c>
      <c r="H1508" s="638" t="s">
        <v>4418</v>
      </c>
      <c r="I1508" s="626" t="s">
        <v>3768</v>
      </c>
      <c r="J1508" s="638" t="s">
        <v>3523</v>
      </c>
      <c r="K1508" s="626" t="s">
        <v>4363</v>
      </c>
      <c r="L1508" s="671">
        <v>12</v>
      </c>
      <c r="M1508" s="643">
        <f t="shared" si="3"/>
        <v>25200</v>
      </c>
      <c r="N1508" s="626" t="s">
        <v>4363</v>
      </c>
      <c r="O1508" s="671">
        <v>6</v>
      </c>
      <c r="P1508" s="643">
        <f t="shared" si="4"/>
        <v>12600</v>
      </c>
    </row>
    <row r="1509" spans="1:16" s="619" customFormat="1" ht="48" x14ac:dyDescent="0.2">
      <c r="A1509" s="626" t="s">
        <v>4295</v>
      </c>
      <c r="B1509" s="638" t="s">
        <v>1908</v>
      </c>
      <c r="C1509" s="626" t="s">
        <v>2015</v>
      </c>
      <c r="D1509" s="626" t="s">
        <v>4433</v>
      </c>
      <c r="E1509" s="667">
        <v>1600</v>
      </c>
      <c r="F1509" s="662">
        <v>47799823</v>
      </c>
      <c r="G1509" s="626" t="s">
        <v>4434</v>
      </c>
      <c r="H1509" s="638" t="s">
        <v>4435</v>
      </c>
      <c r="I1509" s="626" t="s">
        <v>4435</v>
      </c>
      <c r="J1509" s="638" t="s">
        <v>4354</v>
      </c>
      <c r="K1509" s="626" t="s">
        <v>4363</v>
      </c>
      <c r="L1509" s="671">
        <v>12</v>
      </c>
      <c r="M1509" s="643">
        <f t="shared" si="3"/>
        <v>19200</v>
      </c>
      <c r="N1509" s="626" t="s">
        <v>4363</v>
      </c>
      <c r="O1509" s="671">
        <v>6</v>
      </c>
      <c r="P1509" s="643">
        <f t="shared" si="4"/>
        <v>9600</v>
      </c>
    </row>
    <row r="1510" spans="1:16" s="619" customFormat="1" ht="48" x14ac:dyDescent="0.2">
      <c r="A1510" s="626" t="s">
        <v>4295</v>
      </c>
      <c r="B1510" s="638" t="s">
        <v>1908</v>
      </c>
      <c r="C1510" s="626" t="s">
        <v>2015</v>
      </c>
      <c r="D1510" s="626" t="s">
        <v>4436</v>
      </c>
      <c r="E1510" s="667">
        <v>1900</v>
      </c>
      <c r="F1510" s="662">
        <v>33827077</v>
      </c>
      <c r="G1510" s="626" t="s">
        <v>4437</v>
      </c>
      <c r="H1510" s="638" t="s">
        <v>1911</v>
      </c>
      <c r="I1510" s="626" t="s">
        <v>3768</v>
      </c>
      <c r="J1510" s="638" t="s">
        <v>3523</v>
      </c>
      <c r="K1510" s="626" t="s">
        <v>4363</v>
      </c>
      <c r="L1510" s="671">
        <v>12</v>
      </c>
      <c r="M1510" s="643">
        <f t="shared" si="3"/>
        <v>22800</v>
      </c>
      <c r="N1510" s="626" t="s">
        <v>4363</v>
      </c>
      <c r="O1510" s="671">
        <v>6</v>
      </c>
      <c r="P1510" s="643">
        <f t="shared" si="4"/>
        <v>11400</v>
      </c>
    </row>
    <row r="1511" spans="1:16" s="619" customFormat="1" ht="48" x14ac:dyDescent="0.2">
      <c r="A1511" s="626" t="s">
        <v>4295</v>
      </c>
      <c r="B1511" s="638" t="s">
        <v>1908</v>
      </c>
      <c r="C1511" s="626" t="s">
        <v>2015</v>
      </c>
      <c r="D1511" s="626" t="s">
        <v>4438</v>
      </c>
      <c r="E1511" s="667">
        <v>1500</v>
      </c>
      <c r="F1511" s="662">
        <v>70397760</v>
      </c>
      <c r="G1511" s="626" t="s">
        <v>4439</v>
      </c>
      <c r="H1511" s="638" t="s">
        <v>4366</v>
      </c>
      <c r="I1511" s="626" t="s">
        <v>1931</v>
      </c>
      <c r="J1511" s="638" t="s">
        <v>1931</v>
      </c>
      <c r="K1511" s="626" t="s">
        <v>4363</v>
      </c>
      <c r="L1511" s="671">
        <v>12</v>
      </c>
      <c r="M1511" s="643">
        <f t="shared" si="3"/>
        <v>18000</v>
      </c>
      <c r="N1511" s="626" t="s">
        <v>4363</v>
      </c>
      <c r="O1511" s="671">
        <v>6</v>
      </c>
      <c r="P1511" s="643">
        <f t="shared" si="4"/>
        <v>9000</v>
      </c>
    </row>
    <row r="1512" spans="1:16" s="619" customFormat="1" ht="48" x14ac:dyDescent="0.2">
      <c r="A1512" s="626" t="s">
        <v>4295</v>
      </c>
      <c r="B1512" s="638" t="s">
        <v>1908</v>
      </c>
      <c r="C1512" s="626" t="s">
        <v>2015</v>
      </c>
      <c r="D1512" s="626" t="s">
        <v>4440</v>
      </c>
      <c r="E1512" s="667">
        <v>1700</v>
      </c>
      <c r="F1512" s="662">
        <v>40827247</v>
      </c>
      <c r="G1512" s="626" t="s">
        <v>4441</v>
      </c>
      <c r="H1512" s="638" t="s">
        <v>2445</v>
      </c>
      <c r="I1512" s="626" t="s">
        <v>3768</v>
      </c>
      <c r="J1512" s="638" t="s">
        <v>3523</v>
      </c>
      <c r="K1512" s="626" t="s">
        <v>4363</v>
      </c>
      <c r="L1512" s="671">
        <v>12</v>
      </c>
      <c r="M1512" s="643">
        <f t="shared" si="3"/>
        <v>20400</v>
      </c>
      <c r="N1512" s="626" t="s">
        <v>4363</v>
      </c>
      <c r="O1512" s="671">
        <v>6</v>
      </c>
      <c r="P1512" s="643">
        <f t="shared" si="4"/>
        <v>10200</v>
      </c>
    </row>
    <row r="1513" spans="1:16" s="619" customFormat="1" ht="48" x14ac:dyDescent="0.2">
      <c r="A1513" s="626" t="s">
        <v>4295</v>
      </c>
      <c r="B1513" s="638" t="s">
        <v>1908</v>
      </c>
      <c r="C1513" s="626" t="s">
        <v>2015</v>
      </c>
      <c r="D1513" s="626" t="s">
        <v>4442</v>
      </c>
      <c r="E1513" s="667">
        <v>1600</v>
      </c>
      <c r="F1513" s="662">
        <v>41016422</v>
      </c>
      <c r="G1513" s="626" t="s">
        <v>4443</v>
      </c>
      <c r="H1513" s="638" t="s">
        <v>1949</v>
      </c>
      <c r="I1513" s="626" t="s">
        <v>1931</v>
      </c>
      <c r="J1513" s="638" t="s">
        <v>1931</v>
      </c>
      <c r="K1513" s="626" t="s">
        <v>4363</v>
      </c>
      <c r="L1513" s="671">
        <v>12</v>
      </c>
      <c r="M1513" s="643">
        <f t="shared" si="3"/>
        <v>19200</v>
      </c>
      <c r="N1513" s="626" t="s">
        <v>4363</v>
      </c>
      <c r="O1513" s="671">
        <v>6</v>
      </c>
      <c r="P1513" s="643">
        <f t="shared" si="4"/>
        <v>9600</v>
      </c>
    </row>
    <row r="1514" spans="1:16" s="619" customFormat="1" ht="48" x14ac:dyDescent="0.2">
      <c r="A1514" s="626" t="s">
        <v>4295</v>
      </c>
      <c r="B1514" s="638" t="s">
        <v>1908</v>
      </c>
      <c r="C1514" s="626" t="s">
        <v>2015</v>
      </c>
      <c r="D1514" s="626" t="s">
        <v>4444</v>
      </c>
      <c r="E1514" s="667">
        <v>1550</v>
      </c>
      <c r="F1514" s="662">
        <v>74285211</v>
      </c>
      <c r="G1514" s="626" t="s">
        <v>4445</v>
      </c>
      <c r="H1514" s="638" t="s">
        <v>4446</v>
      </c>
      <c r="I1514" s="626" t="s">
        <v>3768</v>
      </c>
      <c r="J1514" s="638" t="s">
        <v>3523</v>
      </c>
      <c r="K1514" s="626" t="s">
        <v>4363</v>
      </c>
      <c r="L1514" s="671">
        <v>12</v>
      </c>
      <c r="M1514" s="643">
        <f t="shared" si="3"/>
        <v>18600</v>
      </c>
      <c r="N1514" s="626" t="s">
        <v>4363</v>
      </c>
      <c r="O1514" s="671">
        <v>6</v>
      </c>
      <c r="P1514" s="643">
        <f t="shared" si="4"/>
        <v>9300</v>
      </c>
    </row>
    <row r="1515" spans="1:16" s="619" customFormat="1" ht="48" x14ac:dyDescent="0.2">
      <c r="A1515" s="626" t="s">
        <v>4295</v>
      </c>
      <c r="B1515" s="638" t="s">
        <v>1908</v>
      </c>
      <c r="C1515" s="626" t="s">
        <v>2015</v>
      </c>
      <c r="D1515" s="626" t="s">
        <v>4447</v>
      </c>
      <c r="E1515" s="667">
        <v>1200</v>
      </c>
      <c r="F1515" s="662">
        <v>70397201</v>
      </c>
      <c r="G1515" s="626" t="s">
        <v>4448</v>
      </c>
      <c r="H1515" s="638" t="s">
        <v>4449</v>
      </c>
      <c r="I1515" s="626" t="s">
        <v>3587</v>
      </c>
      <c r="J1515" s="638" t="s">
        <v>3587</v>
      </c>
      <c r="K1515" s="626" t="s">
        <v>4363</v>
      </c>
      <c r="L1515" s="671">
        <v>12</v>
      </c>
      <c r="M1515" s="643">
        <f t="shared" si="3"/>
        <v>14400</v>
      </c>
      <c r="N1515" s="626" t="s">
        <v>4363</v>
      </c>
      <c r="O1515" s="671">
        <v>6</v>
      </c>
      <c r="P1515" s="643">
        <f t="shared" si="4"/>
        <v>7200</v>
      </c>
    </row>
    <row r="1516" spans="1:16" s="619" customFormat="1" ht="48" x14ac:dyDescent="0.2">
      <c r="A1516" s="626" t="s">
        <v>4295</v>
      </c>
      <c r="B1516" s="638" t="s">
        <v>1908</v>
      </c>
      <c r="C1516" s="626" t="s">
        <v>2015</v>
      </c>
      <c r="D1516" s="626" t="s">
        <v>4450</v>
      </c>
      <c r="E1516" s="667">
        <v>1500</v>
      </c>
      <c r="F1516" s="662">
        <v>73316427</v>
      </c>
      <c r="G1516" s="626" t="s">
        <v>4451</v>
      </c>
      <c r="H1516" s="638" t="s">
        <v>4379</v>
      </c>
      <c r="I1516" s="626" t="s">
        <v>1931</v>
      </c>
      <c r="J1516" s="638" t="s">
        <v>1931</v>
      </c>
      <c r="K1516" s="626" t="s">
        <v>4363</v>
      </c>
      <c r="L1516" s="671">
        <v>12</v>
      </c>
      <c r="M1516" s="643">
        <f t="shared" si="3"/>
        <v>18000</v>
      </c>
      <c r="N1516" s="626" t="s">
        <v>4363</v>
      </c>
      <c r="O1516" s="671">
        <v>6</v>
      </c>
      <c r="P1516" s="643">
        <f t="shared" si="4"/>
        <v>9000</v>
      </c>
    </row>
    <row r="1517" spans="1:16" s="619" customFormat="1" ht="48" x14ac:dyDescent="0.2">
      <c r="A1517" s="626" t="s">
        <v>4295</v>
      </c>
      <c r="B1517" s="638" t="s">
        <v>1908</v>
      </c>
      <c r="C1517" s="626" t="s">
        <v>2015</v>
      </c>
      <c r="D1517" s="626" t="s">
        <v>4370</v>
      </c>
      <c r="E1517" s="667">
        <v>1000</v>
      </c>
      <c r="F1517" s="662">
        <v>43978896</v>
      </c>
      <c r="G1517" s="626" t="s">
        <v>4452</v>
      </c>
      <c r="H1517" s="638" t="s">
        <v>1919</v>
      </c>
      <c r="I1517" s="626" t="s">
        <v>1919</v>
      </c>
      <c r="J1517" s="638" t="s">
        <v>4372</v>
      </c>
      <c r="K1517" s="626" t="s">
        <v>4363</v>
      </c>
      <c r="L1517" s="671">
        <v>12</v>
      </c>
      <c r="M1517" s="643">
        <f t="shared" si="3"/>
        <v>12000</v>
      </c>
      <c r="N1517" s="626" t="s">
        <v>4363</v>
      </c>
      <c r="O1517" s="671">
        <v>6</v>
      </c>
      <c r="P1517" s="643">
        <f t="shared" si="4"/>
        <v>6000</v>
      </c>
    </row>
    <row r="1518" spans="1:16" s="619" customFormat="1" ht="48" x14ac:dyDescent="0.2">
      <c r="A1518" s="626" t="s">
        <v>4295</v>
      </c>
      <c r="B1518" s="638" t="s">
        <v>1908</v>
      </c>
      <c r="C1518" s="626" t="s">
        <v>2015</v>
      </c>
      <c r="D1518" s="626" t="s">
        <v>4370</v>
      </c>
      <c r="E1518" s="667">
        <v>1000</v>
      </c>
      <c r="F1518" s="662">
        <v>33641142</v>
      </c>
      <c r="G1518" s="626" t="s">
        <v>4453</v>
      </c>
      <c r="H1518" s="638" t="s">
        <v>4454</v>
      </c>
      <c r="I1518" s="626" t="s">
        <v>4454</v>
      </c>
      <c r="J1518" s="638" t="s">
        <v>4372</v>
      </c>
      <c r="K1518" s="626" t="s">
        <v>4363</v>
      </c>
      <c r="L1518" s="671">
        <v>12</v>
      </c>
      <c r="M1518" s="643">
        <f t="shared" si="3"/>
        <v>12000</v>
      </c>
      <c r="N1518" s="626" t="s">
        <v>4363</v>
      </c>
      <c r="O1518" s="671">
        <v>6</v>
      </c>
      <c r="P1518" s="643">
        <f t="shared" si="4"/>
        <v>6000</v>
      </c>
    </row>
    <row r="1519" spans="1:16" s="619" customFormat="1" ht="48" x14ac:dyDescent="0.2">
      <c r="A1519" s="626" t="s">
        <v>4295</v>
      </c>
      <c r="B1519" s="638" t="s">
        <v>1908</v>
      </c>
      <c r="C1519" s="626" t="s">
        <v>2015</v>
      </c>
      <c r="D1519" s="626" t="s">
        <v>3677</v>
      </c>
      <c r="E1519" s="667">
        <v>1000</v>
      </c>
      <c r="F1519" s="662">
        <v>33674836</v>
      </c>
      <c r="G1519" s="626" t="s">
        <v>4455</v>
      </c>
      <c r="H1519" s="638" t="s">
        <v>1919</v>
      </c>
      <c r="I1519" s="626" t="s">
        <v>1919</v>
      </c>
      <c r="J1519" s="638" t="s">
        <v>4372</v>
      </c>
      <c r="K1519" s="626" t="s">
        <v>4363</v>
      </c>
      <c r="L1519" s="671">
        <v>12</v>
      </c>
      <c r="M1519" s="643">
        <f t="shared" si="3"/>
        <v>12000</v>
      </c>
      <c r="N1519" s="626" t="s">
        <v>4363</v>
      </c>
      <c r="O1519" s="671">
        <v>6</v>
      </c>
      <c r="P1519" s="643">
        <f t="shared" si="4"/>
        <v>6000</v>
      </c>
    </row>
    <row r="1520" spans="1:16" s="619" customFormat="1" ht="48" x14ac:dyDescent="0.2">
      <c r="A1520" s="626" t="s">
        <v>4295</v>
      </c>
      <c r="B1520" s="638" t="s">
        <v>1908</v>
      </c>
      <c r="C1520" s="626" t="s">
        <v>2015</v>
      </c>
      <c r="D1520" s="626" t="s">
        <v>3677</v>
      </c>
      <c r="E1520" s="667">
        <v>1000</v>
      </c>
      <c r="F1520" s="662">
        <v>48938591</v>
      </c>
      <c r="G1520" s="626" t="s">
        <v>4456</v>
      </c>
      <c r="H1520" s="638" t="s">
        <v>2971</v>
      </c>
      <c r="I1520" s="626" t="s">
        <v>4457</v>
      </c>
      <c r="J1520" s="638" t="s">
        <v>4458</v>
      </c>
      <c r="K1520" s="626" t="s">
        <v>4363</v>
      </c>
      <c r="L1520" s="671">
        <v>6</v>
      </c>
      <c r="M1520" s="643">
        <f t="shared" si="3"/>
        <v>6000</v>
      </c>
      <c r="N1520" s="626" t="s">
        <v>4363</v>
      </c>
      <c r="O1520" s="671">
        <v>6</v>
      </c>
      <c r="P1520" s="643">
        <f t="shared" si="4"/>
        <v>6000</v>
      </c>
    </row>
    <row r="1521" spans="1:16" s="619" customFormat="1" ht="48" x14ac:dyDescent="0.2">
      <c r="A1521" s="626" t="s">
        <v>4295</v>
      </c>
      <c r="B1521" s="638" t="s">
        <v>1908</v>
      </c>
      <c r="C1521" s="626" t="s">
        <v>2015</v>
      </c>
      <c r="D1521" s="626" t="s">
        <v>4459</v>
      </c>
      <c r="E1521" s="667">
        <v>1000</v>
      </c>
      <c r="F1521" s="662">
        <v>33826547</v>
      </c>
      <c r="G1521" s="626" t="s">
        <v>4460</v>
      </c>
      <c r="H1521" s="638" t="s">
        <v>1919</v>
      </c>
      <c r="I1521" s="626" t="s">
        <v>1919</v>
      </c>
      <c r="J1521" s="638" t="s">
        <v>4372</v>
      </c>
      <c r="K1521" s="626" t="s">
        <v>4363</v>
      </c>
      <c r="L1521" s="671">
        <v>12</v>
      </c>
      <c r="M1521" s="643">
        <f t="shared" si="3"/>
        <v>12000</v>
      </c>
      <c r="N1521" s="626" t="s">
        <v>4363</v>
      </c>
      <c r="O1521" s="671">
        <v>6</v>
      </c>
      <c r="P1521" s="643">
        <f t="shared" si="4"/>
        <v>6000</v>
      </c>
    </row>
    <row r="1522" spans="1:16" s="619" customFormat="1" ht="48" x14ac:dyDescent="0.2">
      <c r="A1522" s="626" t="s">
        <v>4295</v>
      </c>
      <c r="B1522" s="638" t="s">
        <v>1908</v>
      </c>
      <c r="C1522" s="626" t="s">
        <v>2015</v>
      </c>
      <c r="D1522" s="626" t="s">
        <v>4461</v>
      </c>
      <c r="E1522" s="667">
        <v>1500</v>
      </c>
      <c r="F1522" s="662">
        <v>70808467</v>
      </c>
      <c r="G1522" s="626" t="s">
        <v>4462</v>
      </c>
      <c r="H1522" s="638" t="s">
        <v>4391</v>
      </c>
      <c r="I1522" s="626" t="s">
        <v>3768</v>
      </c>
      <c r="J1522" s="638" t="s">
        <v>3523</v>
      </c>
      <c r="K1522" s="626" t="s">
        <v>4363</v>
      </c>
      <c r="L1522" s="671">
        <v>10</v>
      </c>
      <c r="M1522" s="643">
        <f t="shared" si="3"/>
        <v>15000</v>
      </c>
      <c r="N1522" s="626" t="s">
        <v>4363</v>
      </c>
      <c r="O1522" s="671">
        <v>6</v>
      </c>
      <c r="P1522" s="643">
        <f t="shared" si="4"/>
        <v>9000</v>
      </c>
    </row>
    <row r="1523" spans="1:16" s="619" customFormat="1" ht="48" x14ac:dyDescent="0.2">
      <c r="A1523" s="626" t="s">
        <v>4295</v>
      </c>
      <c r="B1523" s="638" t="s">
        <v>1908</v>
      </c>
      <c r="C1523" s="626" t="s">
        <v>2015</v>
      </c>
      <c r="D1523" s="626" t="s">
        <v>4463</v>
      </c>
      <c r="E1523" s="667">
        <v>1200</v>
      </c>
      <c r="F1523" s="662">
        <v>70397768</v>
      </c>
      <c r="G1523" s="626" t="s">
        <v>4464</v>
      </c>
      <c r="H1523" s="638" t="s">
        <v>4465</v>
      </c>
      <c r="I1523" s="626" t="s">
        <v>3768</v>
      </c>
      <c r="J1523" s="638" t="s">
        <v>3523</v>
      </c>
      <c r="K1523" s="626" t="s">
        <v>4363</v>
      </c>
      <c r="L1523" s="671">
        <v>10</v>
      </c>
      <c r="M1523" s="643">
        <f t="shared" si="3"/>
        <v>12000</v>
      </c>
      <c r="N1523" s="626" t="s">
        <v>4363</v>
      </c>
      <c r="O1523" s="671">
        <v>6</v>
      </c>
      <c r="P1523" s="643">
        <f t="shared" si="4"/>
        <v>7200</v>
      </c>
    </row>
    <row r="1524" spans="1:16" s="619" customFormat="1" ht="48" x14ac:dyDescent="0.2">
      <c r="A1524" s="626" t="s">
        <v>4295</v>
      </c>
      <c r="B1524" s="638" t="s">
        <v>1908</v>
      </c>
      <c r="C1524" s="626" t="s">
        <v>2015</v>
      </c>
      <c r="D1524" s="626" t="s">
        <v>4466</v>
      </c>
      <c r="E1524" s="667">
        <v>1500</v>
      </c>
      <c r="F1524" s="662">
        <v>33671903</v>
      </c>
      <c r="G1524" s="626" t="s">
        <v>4467</v>
      </c>
      <c r="H1524" s="638" t="s">
        <v>1919</v>
      </c>
      <c r="I1524" s="626" t="s">
        <v>1919</v>
      </c>
      <c r="J1524" s="638" t="s">
        <v>4372</v>
      </c>
      <c r="K1524" s="626" t="s">
        <v>4363</v>
      </c>
      <c r="L1524" s="671">
        <v>3</v>
      </c>
      <c r="M1524" s="643">
        <f t="shared" si="3"/>
        <v>4500</v>
      </c>
      <c r="N1524" s="626" t="s">
        <v>4363</v>
      </c>
      <c r="O1524" s="671">
        <v>6</v>
      </c>
      <c r="P1524" s="643">
        <f t="shared" si="4"/>
        <v>9000</v>
      </c>
    </row>
    <row r="1525" spans="1:16" s="619" customFormat="1" ht="48" x14ac:dyDescent="0.2">
      <c r="A1525" s="626" t="s">
        <v>4295</v>
      </c>
      <c r="B1525" s="638" t="s">
        <v>1908</v>
      </c>
      <c r="C1525" s="626" t="s">
        <v>2015</v>
      </c>
      <c r="D1525" s="626" t="s">
        <v>4468</v>
      </c>
      <c r="E1525" s="667">
        <v>3500</v>
      </c>
      <c r="F1525" s="662">
        <v>42202193</v>
      </c>
      <c r="G1525" s="626" t="s">
        <v>4469</v>
      </c>
      <c r="H1525" s="638" t="s">
        <v>1428</v>
      </c>
      <c r="I1525" s="626" t="s">
        <v>3768</v>
      </c>
      <c r="J1525" s="638" t="s">
        <v>3523</v>
      </c>
      <c r="K1525" s="626" t="s">
        <v>4363</v>
      </c>
      <c r="L1525" s="671">
        <v>12</v>
      </c>
      <c r="M1525" s="643">
        <f t="shared" si="3"/>
        <v>42000</v>
      </c>
      <c r="N1525" s="626" t="s">
        <v>4363</v>
      </c>
      <c r="O1525" s="671">
        <v>6</v>
      </c>
      <c r="P1525" s="643">
        <f t="shared" si="4"/>
        <v>21000</v>
      </c>
    </row>
    <row r="1526" spans="1:16" s="619" customFormat="1" ht="48" x14ac:dyDescent="0.2">
      <c r="A1526" s="626" t="s">
        <v>4295</v>
      </c>
      <c r="B1526" s="638" t="s">
        <v>1908</v>
      </c>
      <c r="C1526" s="626" t="s">
        <v>2015</v>
      </c>
      <c r="D1526" s="626" t="s">
        <v>4470</v>
      </c>
      <c r="E1526" s="667">
        <v>3000</v>
      </c>
      <c r="F1526" s="662">
        <v>47118465</v>
      </c>
      <c r="G1526" s="626" t="s">
        <v>4471</v>
      </c>
      <c r="H1526" s="638" t="s">
        <v>4472</v>
      </c>
      <c r="I1526" s="626" t="s">
        <v>3768</v>
      </c>
      <c r="J1526" s="638" t="s">
        <v>3523</v>
      </c>
      <c r="K1526" s="626" t="s">
        <v>4363</v>
      </c>
      <c r="L1526" s="671">
        <v>12</v>
      </c>
      <c r="M1526" s="643">
        <f t="shared" si="3"/>
        <v>36000</v>
      </c>
      <c r="N1526" s="626" t="s">
        <v>4363</v>
      </c>
      <c r="O1526" s="671">
        <v>6</v>
      </c>
      <c r="P1526" s="643">
        <f t="shared" si="4"/>
        <v>18000</v>
      </c>
    </row>
    <row r="1527" spans="1:16" s="619" customFormat="1" ht="48" x14ac:dyDescent="0.2">
      <c r="A1527" s="626" t="s">
        <v>4295</v>
      </c>
      <c r="B1527" s="638" t="s">
        <v>1908</v>
      </c>
      <c r="C1527" s="626" t="s">
        <v>2015</v>
      </c>
      <c r="D1527" s="626" t="s">
        <v>4473</v>
      </c>
      <c r="E1527" s="667">
        <v>1300</v>
      </c>
      <c r="F1527" s="662">
        <v>71219360</v>
      </c>
      <c r="G1527" s="626" t="s">
        <v>4474</v>
      </c>
      <c r="H1527" s="638" t="s">
        <v>4475</v>
      </c>
      <c r="I1527" s="626" t="s">
        <v>3587</v>
      </c>
      <c r="J1527" s="638" t="s">
        <v>3587</v>
      </c>
      <c r="K1527" s="626" t="s">
        <v>4363</v>
      </c>
      <c r="L1527" s="671">
        <v>4</v>
      </c>
      <c r="M1527" s="643">
        <f t="shared" si="3"/>
        <v>5200</v>
      </c>
      <c r="N1527" s="626" t="s">
        <v>4363</v>
      </c>
      <c r="O1527" s="671">
        <v>6</v>
      </c>
      <c r="P1527" s="643">
        <f t="shared" si="4"/>
        <v>7800</v>
      </c>
    </row>
    <row r="1528" spans="1:16" s="619" customFormat="1" ht="48" x14ac:dyDescent="0.2">
      <c r="A1528" s="626" t="s">
        <v>4295</v>
      </c>
      <c r="B1528" s="638" t="s">
        <v>1908</v>
      </c>
      <c r="C1528" s="626" t="s">
        <v>2015</v>
      </c>
      <c r="D1528" s="626" t="s">
        <v>4476</v>
      </c>
      <c r="E1528" s="667">
        <v>3500</v>
      </c>
      <c r="F1528" s="662">
        <v>43298290</v>
      </c>
      <c r="G1528" s="626" t="s">
        <v>4477</v>
      </c>
      <c r="H1528" s="638" t="s">
        <v>1925</v>
      </c>
      <c r="I1528" s="626" t="s">
        <v>3768</v>
      </c>
      <c r="J1528" s="638" t="s">
        <v>3523</v>
      </c>
      <c r="K1528" s="626" t="s">
        <v>4363</v>
      </c>
      <c r="L1528" s="671">
        <v>7</v>
      </c>
      <c r="M1528" s="643">
        <f t="shared" si="3"/>
        <v>24500</v>
      </c>
      <c r="N1528" s="626" t="s">
        <v>4363</v>
      </c>
      <c r="O1528" s="671">
        <v>0</v>
      </c>
      <c r="P1528" s="643">
        <f t="shared" si="4"/>
        <v>0</v>
      </c>
    </row>
    <row r="1529" spans="1:16" s="619" customFormat="1" ht="48" x14ac:dyDescent="0.2">
      <c r="A1529" s="626" t="s">
        <v>4295</v>
      </c>
      <c r="B1529" s="638" t="s">
        <v>1908</v>
      </c>
      <c r="C1529" s="626" t="s">
        <v>2015</v>
      </c>
      <c r="D1529" s="626" t="s">
        <v>4478</v>
      </c>
      <c r="E1529" s="667">
        <v>4000</v>
      </c>
      <c r="F1529" s="662">
        <v>44185507</v>
      </c>
      <c r="G1529" s="626" t="s">
        <v>4479</v>
      </c>
      <c r="H1529" s="638" t="s">
        <v>4480</v>
      </c>
      <c r="I1529" s="626" t="s">
        <v>3768</v>
      </c>
      <c r="J1529" s="638" t="s">
        <v>3523</v>
      </c>
      <c r="K1529" s="626" t="s">
        <v>4363</v>
      </c>
      <c r="L1529" s="671">
        <v>12</v>
      </c>
      <c r="M1529" s="643">
        <f t="shared" si="3"/>
        <v>48000</v>
      </c>
      <c r="N1529" s="626" t="s">
        <v>4363</v>
      </c>
      <c r="O1529" s="671">
        <v>6</v>
      </c>
      <c r="P1529" s="643">
        <f t="shared" si="4"/>
        <v>24000</v>
      </c>
    </row>
    <row r="1530" spans="1:16" s="619" customFormat="1" ht="48" x14ac:dyDescent="0.2">
      <c r="A1530" s="626" t="s">
        <v>4295</v>
      </c>
      <c r="B1530" s="638" t="s">
        <v>1908</v>
      </c>
      <c r="C1530" s="626" t="s">
        <v>2015</v>
      </c>
      <c r="D1530" s="626" t="s">
        <v>4481</v>
      </c>
      <c r="E1530" s="667">
        <v>2800</v>
      </c>
      <c r="F1530" s="662">
        <v>48023256</v>
      </c>
      <c r="G1530" s="626" t="s">
        <v>4482</v>
      </c>
      <c r="H1530" s="638" t="s">
        <v>4483</v>
      </c>
      <c r="I1530" s="626" t="s">
        <v>3768</v>
      </c>
      <c r="J1530" s="638" t="s">
        <v>3523</v>
      </c>
      <c r="K1530" s="626" t="s">
        <v>4363</v>
      </c>
      <c r="L1530" s="671">
        <v>0</v>
      </c>
      <c r="M1530" s="643">
        <f t="shared" si="3"/>
        <v>0</v>
      </c>
      <c r="N1530" s="626" t="s">
        <v>4363</v>
      </c>
      <c r="O1530" s="671">
        <v>6</v>
      </c>
      <c r="P1530" s="643">
        <f t="shared" si="4"/>
        <v>16800</v>
      </c>
    </row>
    <row r="1531" spans="1:16" s="619" customFormat="1" ht="48" x14ac:dyDescent="0.2">
      <c r="A1531" s="626" t="s">
        <v>4295</v>
      </c>
      <c r="B1531" s="638" t="s">
        <v>1908</v>
      </c>
      <c r="C1531" s="626" t="s">
        <v>2015</v>
      </c>
      <c r="D1531" s="626" t="s">
        <v>4484</v>
      </c>
      <c r="E1531" s="667">
        <v>1800</v>
      </c>
      <c r="F1531" s="662">
        <v>33675845</v>
      </c>
      <c r="G1531" s="626" t="s">
        <v>4485</v>
      </c>
      <c r="H1531" s="638" t="s">
        <v>1982</v>
      </c>
      <c r="I1531" s="626" t="s">
        <v>3587</v>
      </c>
      <c r="J1531" s="638" t="s">
        <v>3587</v>
      </c>
      <c r="K1531" s="626" t="s">
        <v>4363</v>
      </c>
      <c r="L1531" s="671">
        <v>12</v>
      </c>
      <c r="M1531" s="643">
        <f t="shared" si="3"/>
        <v>21600</v>
      </c>
      <c r="N1531" s="626" t="s">
        <v>4363</v>
      </c>
      <c r="O1531" s="671">
        <v>6</v>
      </c>
      <c r="P1531" s="643">
        <f t="shared" si="4"/>
        <v>10800</v>
      </c>
    </row>
    <row r="1532" spans="1:16" s="619" customFormat="1" ht="48" x14ac:dyDescent="0.2">
      <c r="A1532" s="626" t="s">
        <v>4295</v>
      </c>
      <c r="B1532" s="638" t="s">
        <v>1908</v>
      </c>
      <c r="C1532" s="626" t="s">
        <v>2015</v>
      </c>
      <c r="D1532" s="626" t="s">
        <v>4481</v>
      </c>
      <c r="E1532" s="667">
        <v>1500</v>
      </c>
      <c r="F1532" s="662">
        <v>41100189</v>
      </c>
      <c r="G1532" s="626" t="s">
        <v>4486</v>
      </c>
      <c r="H1532" s="638" t="s">
        <v>4487</v>
      </c>
      <c r="I1532" s="626" t="s">
        <v>3587</v>
      </c>
      <c r="J1532" s="638" t="s">
        <v>3587</v>
      </c>
      <c r="K1532" s="626" t="s">
        <v>4363</v>
      </c>
      <c r="L1532" s="671">
        <v>12</v>
      </c>
      <c r="M1532" s="643">
        <f t="shared" si="3"/>
        <v>18000</v>
      </c>
      <c r="N1532" s="626" t="s">
        <v>4363</v>
      </c>
      <c r="O1532" s="671">
        <v>6</v>
      </c>
      <c r="P1532" s="643">
        <f t="shared" si="4"/>
        <v>9000</v>
      </c>
    </row>
    <row r="1533" spans="1:16" s="619" customFormat="1" ht="48" x14ac:dyDescent="0.2">
      <c r="A1533" s="626" t="s">
        <v>4295</v>
      </c>
      <c r="B1533" s="638" t="s">
        <v>1908</v>
      </c>
      <c r="C1533" s="626" t="s">
        <v>2015</v>
      </c>
      <c r="D1533" s="626" t="s">
        <v>4488</v>
      </c>
      <c r="E1533" s="667">
        <v>3500</v>
      </c>
      <c r="F1533" s="662">
        <v>46662352</v>
      </c>
      <c r="G1533" s="626" t="s">
        <v>4489</v>
      </c>
      <c r="H1533" s="638" t="s">
        <v>1925</v>
      </c>
      <c r="I1533" s="626" t="s">
        <v>3768</v>
      </c>
      <c r="J1533" s="638" t="s">
        <v>3523</v>
      </c>
      <c r="K1533" s="626" t="s">
        <v>4363</v>
      </c>
      <c r="L1533" s="671">
        <v>4</v>
      </c>
      <c r="M1533" s="643">
        <f t="shared" si="3"/>
        <v>14000</v>
      </c>
      <c r="N1533" s="626" t="s">
        <v>4363</v>
      </c>
      <c r="O1533" s="671">
        <v>6</v>
      </c>
      <c r="P1533" s="643">
        <f t="shared" si="4"/>
        <v>21000</v>
      </c>
    </row>
    <row r="1534" spans="1:16" s="619" customFormat="1" ht="48" x14ac:dyDescent="0.2">
      <c r="A1534" s="626" t="s">
        <v>4295</v>
      </c>
      <c r="B1534" s="638" t="s">
        <v>1908</v>
      </c>
      <c r="C1534" s="626" t="s">
        <v>2015</v>
      </c>
      <c r="D1534" s="626" t="s">
        <v>4490</v>
      </c>
      <c r="E1534" s="667">
        <v>3000</v>
      </c>
      <c r="F1534" s="662">
        <v>46422590</v>
      </c>
      <c r="G1534" s="626" t="s">
        <v>4491</v>
      </c>
      <c r="H1534" s="638" t="s">
        <v>4492</v>
      </c>
      <c r="I1534" s="626" t="s">
        <v>3768</v>
      </c>
      <c r="J1534" s="638" t="s">
        <v>3523</v>
      </c>
      <c r="K1534" s="626" t="s">
        <v>4363</v>
      </c>
      <c r="L1534" s="671">
        <v>5</v>
      </c>
      <c r="M1534" s="643">
        <f t="shared" si="3"/>
        <v>15000</v>
      </c>
      <c r="N1534" s="626" t="s">
        <v>4363</v>
      </c>
      <c r="O1534" s="671">
        <v>6</v>
      </c>
      <c r="P1534" s="643">
        <f t="shared" si="4"/>
        <v>18000</v>
      </c>
    </row>
    <row r="1535" spans="1:16" s="619" customFormat="1" ht="48" x14ac:dyDescent="0.2">
      <c r="A1535" s="626" t="s">
        <v>4295</v>
      </c>
      <c r="B1535" s="638" t="s">
        <v>1908</v>
      </c>
      <c r="C1535" s="626" t="s">
        <v>2015</v>
      </c>
      <c r="D1535" s="626" t="s">
        <v>4490</v>
      </c>
      <c r="E1535" s="667">
        <v>1600</v>
      </c>
      <c r="F1535" s="662">
        <v>43454122</v>
      </c>
      <c r="G1535" s="626" t="s">
        <v>4493</v>
      </c>
      <c r="H1535" s="638" t="s">
        <v>4384</v>
      </c>
      <c r="I1535" s="626" t="s">
        <v>1931</v>
      </c>
      <c r="J1535" s="638" t="s">
        <v>1931</v>
      </c>
      <c r="K1535" s="626" t="s">
        <v>4363</v>
      </c>
      <c r="L1535" s="671">
        <v>12</v>
      </c>
      <c r="M1535" s="643">
        <f t="shared" si="3"/>
        <v>19200</v>
      </c>
      <c r="N1535" s="626" t="s">
        <v>4363</v>
      </c>
      <c r="O1535" s="671">
        <v>6</v>
      </c>
      <c r="P1535" s="643">
        <f t="shared" si="4"/>
        <v>9600</v>
      </c>
    </row>
    <row r="1536" spans="1:16" s="619" customFormat="1" ht="48" x14ac:dyDescent="0.2">
      <c r="A1536" s="626" t="s">
        <v>4295</v>
      </c>
      <c r="B1536" s="638" t="s">
        <v>1908</v>
      </c>
      <c r="C1536" s="626" t="s">
        <v>2015</v>
      </c>
      <c r="D1536" s="626" t="s">
        <v>4494</v>
      </c>
      <c r="E1536" s="667">
        <v>4000</v>
      </c>
      <c r="F1536" s="662">
        <v>16532112</v>
      </c>
      <c r="G1536" s="626" t="s">
        <v>4495</v>
      </c>
      <c r="H1536" s="638" t="s">
        <v>1925</v>
      </c>
      <c r="I1536" s="626" t="s">
        <v>3768</v>
      </c>
      <c r="J1536" s="638" t="s">
        <v>3523</v>
      </c>
      <c r="K1536" s="626" t="s">
        <v>4363</v>
      </c>
      <c r="L1536" s="671">
        <v>12</v>
      </c>
      <c r="M1536" s="643">
        <f t="shared" si="3"/>
        <v>48000</v>
      </c>
      <c r="N1536" s="626" t="s">
        <v>4363</v>
      </c>
      <c r="O1536" s="671">
        <v>6</v>
      </c>
      <c r="P1536" s="643">
        <f t="shared" si="4"/>
        <v>24000</v>
      </c>
    </row>
    <row r="1537" spans="1:16" s="619" customFormat="1" ht="48" x14ac:dyDescent="0.2">
      <c r="A1537" s="626" t="s">
        <v>4295</v>
      </c>
      <c r="B1537" s="638" t="s">
        <v>1908</v>
      </c>
      <c r="C1537" s="626" t="s">
        <v>2015</v>
      </c>
      <c r="D1537" s="626" t="s">
        <v>4389</v>
      </c>
      <c r="E1537" s="667">
        <v>3000</v>
      </c>
      <c r="F1537" s="662">
        <v>47836206</v>
      </c>
      <c r="G1537" s="626" t="s">
        <v>4496</v>
      </c>
      <c r="H1537" s="638" t="s">
        <v>1925</v>
      </c>
      <c r="I1537" s="626" t="s">
        <v>3768</v>
      </c>
      <c r="J1537" s="638" t="s">
        <v>3523</v>
      </c>
      <c r="K1537" s="626" t="s">
        <v>4363</v>
      </c>
      <c r="L1537" s="671">
        <v>12</v>
      </c>
      <c r="M1537" s="643">
        <f t="shared" si="3"/>
        <v>36000</v>
      </c>
      <c r="N1537" s="626" t="s">
        <v>4363</v>
      </c>
      <c r="O1537" s="671">
        <v>6</v>
      </c>
      <c r="P1537" s="643">
        <f t="shared" si="4"/>
        <v>18000</v>
      </c>
    </row>
    <row r="1538" spans="1:16" s="619" customFormat="1" ht="48.75" thickBot="1" x14ac:dyDescent="0.25">
      <c r="A1538" s="626" t="s">
        <v>4295</v>
      </c>
      <c r="B1538" s="638" t="s">
        <v>1908</v>
      </c>
      <c r="C1538" s="657" t="s">
        <v>2015</v>
      </c>
      <c r="D1538" s="657" t="s">
        <v>4497</v>
      </c>
      <c r="E1538" s="667">
        <v>1800</v>
      </c>
      <c r="F1538" s="662">
        <v>76382108</v>
      </c>
      <c r="G1538" s="626" t="s">
        <v>4498</v>
      </c>
      <c r="H1538" s="638" t="s">
        <v>3149</v>
      </c>
      <c r="I1538" s="626" t="s">
        <v>3768</v>
      </c>
      <c r="J1538" s="638" t="s">
        <v>3523</v>
      </c>
      <c r="K1538" s="626" t="s">
        <v>4363</v>
      </c>
      <c r="L1538" s="671">
        <v>0</v>
      </c>
      <c r="M1538" s="643">
        <f t="shared" si="3"/>
        <v>0</v>
      </c>
      <c r="N1538" s="626" t="s">
        <v>4363</v>
      </c>
      <c r="O1538" s="671">
        <v>4</v>
      </c>
      <c r="P1538" s="643">
        <f t="shared" si="4"/>
        <v>7200</v>
      </c>
    </row>
    <row r="1539" spans="1:16" s="619" customFormat="1" ht="13.5" customHeight="1" thickBot="1" x14ac:dyDescent="0.25">
      <c r="A1539" s="1149" t="s">
        <v>4499</v>
      </c>
      <c r="B1539" s="1150"/>
      <c r="C1539" s="1150"/>
      <c r="D1539" s="1151"/>
      <c r="E1539" s="610">
        <f>SUM(E1460:E1538)</f>
        <v>142950</v>
      </c>
      <c r="F1539" s="623"/>
      <c r="G1539" s="109"/>
      <c r="H1539" s="109"/>
      <c r="I1539" s="109"/>
      <c r="J1539" s="109"/>
      <c r="K1539" s="623"/>
      <c r="L1539" s="109"/>
      <c r="M1539" s="624">
        <f>SUM(M1460:M1538)</f>
        <v>1244200</v>
      </c>
      <c r="N1539" s="623"/>
      <c r="O1539" s="623"/>
      <c r="P1539" s="610">
        <f>SUM(P1460:P1538)</f>
        <v>709200</v>
      </c>
    </row>
    <row r="1540" spans="1:16" s="619" customFormat="1" ht="60" x14ac:dyDescent="0.2">
      <c r="A1540" s="630" t="s">
        <v>4500</v>
      </c>
      <c r="B1540" s="630" t="s">
        <v>4501</v>
      </c>
      <c r="C1540" s="630" t="s">
        <v>4502</v>
      </c>
      <c r="D1540" s="630" t="s">
        <v>4503</v>
      </c>
      <c r="E1540" s="674">
        <v>4000</v>
      </c>
      <c r="F1540" s="662">
        <v>33402862</v>
      </c>
      <c r="G1540" s="630" t="s">
        <v>4504</v>
      </c>
      <c r="H1540" s="638" t="s">
        <v>4505</v>
      </c>
      <c r="I1540" s="630" t="s">
        <v>3567</v>
      </c>
      <c r="J1540" s="638" t="s">
        <v>4505</v>
      </c>
      <c r="K1540" s="633"/>
      <c r="L1540" s="642">
        <v>9</v>
      </c>
      <c r="M1540" s="635">
        <f>+E1540*L1540</f>
        <v>36000</v>
      </c>
      <c r="N1540" s="675" t="s">
        <v>4506</v>
      </c>
      <c r="O1540" s="632">
        <v>7</v>
      </c>
      <c r="P1540" s="674">
        <f>+E1540*O1540</f>
        <v>28000</v>
      </c>
    </row>
    <row r="1541" spans="1:16" s="619" customFormat="1" ht="60" x14ac:dyDescent="0.2">
      <c r="A1541" s="626" t="s">
        <v>4500</v>
      </c>
      <c r="B1541" s="626" t="s">
        <v>4501</v>
      </c>
      <c r="C1541" s="626" t="s">
        <v>4502</v>
      </c>
      <c r="D1541" s="626" t="s">
        <v>3545</v>
      </c>
      <c r="E1541" s="674">
        <v>1600</v>
      </c>
      <c r="F1541" s="662">
        <v>33433151</v>
      </c>
      <c r="G1541" s="626" t="s">
        <v>4507</v>
      </c>
      <c r="H1541" s="638" t="s">
        <v>3545</v>
      </c>
      <c r="I1541" s="626"/>
      <c r="J1541" s="638" t="s">
        <v>4508</v>
      </c>
      <c r="K1541" s="654"/>
      <c r="L1541" s="642">
        <v>12</v>
      </c>
      <c r="M1541" s="643">
        <f t="shared" ref="M1541:M1562" si="5">+E1541*L1541</f>
        <v>19200</v>
      </c>
      <c r="N1541" s="675"/>
      <c r="O1541" s="640">
        <v>12</v>
      </c>
      <c r="P1541" s="674">
        <f t="shared" ref="P1541:P1562" si="6">+E1541*O1541</f>
        <v>19200</v>
      </c>
    </row>
    <row r="1542" spans="1:16" s="619" customFormat="1" ht="60" x14ac:dyDescent="0.2">
      <c r="A1542" s="626" t="s">
        <v>4500</v>
      </c>
      <c r="B1542" s="626" t="s">
        <v>4501</v>
      </c>
      <c r="C1542" s="626" t="s">
        <v>4502</v>
      </c>
      <c r="D1542" s="626" t="s">
        <v>3538</v>
      </c>
      <c r="E1542" s="674">
        <v>5000</v>
      </c>
      <c r="F1542" s="662">
        <v>20083380</v>
      </c>
      <c r="G1542" s="626" t="s">
        <v>4509</v>
      </c>
      <c r="H1542" s="638" t="s">
        <v>1911</v>
      </c>
      <c r="I1542" s="626" t="s">
        <v>3567</v>
      </c>
      <c r="J1542" s="676" t="s">
        <v>1911</v>
      </c>
      <c r="K1542" s="654"/>
      <c r="L1542" s="642">
        <v>0</v>
      </c>
      <c r="M1542" s="643">
        <f t="shared" si="5"/>
        <v>0</v>
      </c>
      <c r="N1542" s="675" t="s">
        <v>4510</v>
      </c>
      <c r="O1542" s="640">
        <v>5</v>
      </c>
      <c r="P1542" s="674">
        <f t="shared" si="6"/>
        <v>25000</v>
      </c>
    </row>
    <row r="1543" spans="1:16" s="619" customFormat="1" ht="60" x14ac:dyDescent="0.2">
      <c r="A1543" s="626" t="s">
        <v>4500</v>
      </c>
      <c r="B1543" s="626" t="s">
        <v>4501</v>
      </c>
      <c r="C1543" s="626" t="s">
        <v>4502</v>
      </c>
      <c r="D1543" s="626" t="s">
        <v>3583</v>
      </c>
      <c r="E1543" s="674">
        <v>1440</v>
      </c>
      <c r="F1543" s="662">
        <v>42181152</v>
      </c>
      <c r="G1543" s="626" t="s">
        <v>4511</v>
      </c>
      <c r="H1543" s="638" t="s">
        <v>4512</v>
      </c>
      <c r="I1543" s="626" t="s">
        <v>3567</v>
      </c>
      <c r="J1543" s="638" t="s">
        <v>4512</v>
      </c>
      <c r="K1543" s="654"/>
      <c r="L1543" s="642">
        <v>3</v>
      </c>
      <c r="M1543" s="643">
        <f t="shared" si="5"/>
        <v>4320</v>
      </c>
      <c r="N1543" s="675"/>
      <c r="O1543" s="640">
        <v>0</v>
      </c>
      <c r="P1543" s="674">
        <f t="shared" si="6"/>
        <v>0</v>
      </c>
    </row>
    <row r="1544" spans="1:16" s="619" customFormat="1" ht="60" x14ac:dyDescent="0.2">
      <c r="A1544" s="626" t="s">
        <v>4500</v>
      </c>
      <c r="B1544" s="626" t="s">
        <v>4501</v>
      </c>
      <c r="C1544" s="626" t="s">
        <v>4502</v>
      </c>
      <c r="D1544" s="626" t="s">
        <v>1996</v>
      </c>
      <c r="E1544" s="674">
        <v>1440</v>
      </c>
      <c r="F1544" s="662">
        <v>41385224</v>
      </c>
      <c r="G1544" s="626" t="s">
        <v>4513</v>
      </c>
      <c r="H1544" s="638" t="s">
        <v>1996</v>
      </c>
      <c r="I1544" s="626" t="s">
        <v>3551</v>
      </c>
      <c r="J1544" s="638" t="s">
        <v>1996</v>
      </c>
      <c r="K1544" s="654"/>
      <c r="L1544" s="642">
        <v>3</v>
      </c>
      <c r="M1544" s="643">
        <f t="shared" si="5"/>
        <v>4320</v>
      </c>
      <c r="N1544" s="675"/>
      <c r="O1544" s="640">
        <v>0</v>
      </c>
      <c r="P1544" s="674">
        <f t="shared" si="6"/>
        <v>0</v>
      </c>
    </row>
    <row r="1545" spans="1:16" s="619" customFormat="1" ht="60" x14ac:dyDescent="0.2">
      <c r="A1545" s="626" t="s">
        <v>4500</v>
      </c>
      <c r="B1545" s="626" t="s">
        <v>4501</v>
      </c>
      <c r="C1545" s="626" t="s">
        <v>4502</v>
      </c>
      <c r="D1545" s="626" t="s">
        <v>4514</v>
      </c>
      <c r="E1545" s="674">
        <v>8000</v>
      </c>
      <c r="F1545" s="662">
        <f>+F1540</f>
        <v>33402862</v>
      </c>
      <c r="G1545" s="626" t="str">
        <f t="shared" ref="G1545:J1545" si="7">+G1540</f>
        <v>REYNA CHUQUIPIONDO JAIME</v>
      </c>
      <c r="H1545" s="638" t="str">
        <f t="shared" si="7"/>
        <v>CIENCIAS CONTABLES Y FINANZAS</v>
      </c>
      <c r="I1545" s="626" t="str">
        <f t="shared" si="7"/>
        <v>UNIVERSITARIO</v>
      </c>
      <c r="J1545" s="676" t="str">
        <f t="shared" si="7"/>
        <v>CIENCIAS CONTABLES Y FINANZAS</v>
      </c>
      <c r="K1545" s="654" t="s">
        <v>4515</v>
      </c>
      <c r="L1545" s="642">
        <v>12</v>
      </c>
      <c r="M1545" s="643">
        <f t="shared" si="5"/>
        <v>96000</v>
      </c>
      <c r="N1545" s="675" t="s">
        <v>4515</v>
      </c>
      <c r="O1545" s="640">
        <v>12</v>
      </c>
      <c r="P1545" s="674">
        <f t="shared" si="6"/>
        <v>96000</v>
      </c>
    </row>
    <row r="1546" spans="1:16" s="619" customFormat="1" ht="60" x14ac:dyDescent="0.2">
      <c r="A1546" s="626" t="s">
        <v>4500</v>
      </c>
      <c r="B1546" s="626" t="s">
        <v>4501</v>
      </c>
      <c r="C1546" s="626" t="s">
        <v>4502</v>
      </c>
      <c r="D1546" s="626" t="s">
        <v>4516</v>
      </c>
      <c r="E1546" s="674">
        <v>4500</v>
      </c>
      <c r="F1546" s="662">
        <v>27741896</v>
      </c>
      <c r="G1546" s="626" t="s">
        <v>4517</v>
      </c>
      <c r="H1546" s="638" t="s">
        <v>4518</v>
      </c>
      <c r="I1546" s="626" t="s">
        <v>3567</v>
      </c>
      <c r="J1546" s="638" t="s">
        <v>4518</v>
      </c>
      <c r="K1546" s="654"/>
      <c r="L1546" s="642">
        <v>11</v>
      </c>
      <c r="M1546" s="643">
        <f t="shared" si="5"/>
        <v>49500</v>
      </c>
      <c r="N1546" s="675"/>
      <c r="O1546" s="640">
        <v>12</v>
      </c>
      <c r="P1546" s="674">
        <f t="shared" si="6"/>
        <v>54000</v>
      </c>
    </row>
    <row r="1547" spans="1:16" s="619" customFormat="1" ht="60" x14ac:dyDescent="0.2">
      <c r="A1547" s="626" t="s">
        <v>4500</v>
      </c>
      <c r="B1547" s="626" t="s">
        <v>4501</v>
      </c>
      <c r="C1547" s="626" t="s">
        <v>4502</v>
      </c>
      <c r="D1547" s="626" t="s">
        <v>4519</v>
      </c>
      <c r="E1547" s="674">
        <v>1300</v>
      </c>
      <c r="F1547" s="662">
        <v>45589626</v>
      </c>
      <c r="G1547" s="626" t="s">
        <v>4520</v>
      </c>
      <c r="H1547" s="638" t="s">
        <v>4505</v>
      </c>
      <c r="I1547" s="626" t="s">
        <v>3567</v>
      </c>
      <c r="J1547" s="638" t="s">
        <v>4505</v>
      </c>
      <c r="K1547" s="654" t="s">
        <v>4521</v>
      </c>
      <c r="L1547" s="642">
        <v>6</v>
      </c>
      <c r="M1547" s="643">
        <f t="shared" si="5"/>
        <v>7800</v>
      </c>
      <c r="N1547" s="675" t="s">
        <v>4522</v>
      </c>
      <c r="O1547" s="640">
        <v>12</v>
      </c>
      <c r="P1547" s="674">
        <f t="shared" si="6"/>
        <v>15600</v>
      </c>
    </row>
    <row r="1548" spans="1:16" s="619" customFormat="1" ht="60" x14ac:dyDescent="0.2">
      <c r="A1548" s="626" t="s">
        <v>4500</v>
      </c>
      <c r="B1548" s="626" t="s">
        <v>4501</v>
      </c>
      <c r="C1548" s="626" t="s">
        <v>4502</v>
      </c>
      <c r="D1548" s="626" t="s">
        <v>4523</v>
      </c>
      <c r="E1548" s="674">
        <v>4500</v>
      </c>
      <c r="F1548" s="677">
        <v>9577972</v>
      </c>
      <c r="G1548" s="626" t="s">
        <v>4524</v>
      </c>
      <c r="H1548" s="638" t="str">
        <f>+H1547</f>
        <v>CIENCIAS CONTABLES Y FINANZAS</v>
      </c>
      <c r="I1548" s="626" t="s">
        <v>3567</v>
      </c>
      <c r="J1548" s="638" t="str">
        <f>+J1547</f>
        <v>CIENCIAS CONTABLES Y FINANZAS</v>
      </c>
      <c r="K1548" s="654"/>
      <c r="L1548" s="642">
        <v>12</v>
      </c>
      <c r="M1548" s="643">
        <f t="shared" si="5"/>
        <v>54000</v>
      </c>
      <c r="N1548" s="675"/>
      <c r="O1548" s="640">
        <v>12</v>
      </c>
      <c r="P1548" s="674">
        <f t="shared" si="6"/>
        <v>54000</v>
      </c>
    </row>
    <row r="1549" spans="1:16" s="619" customFormat="1" ht="60" x14ac:dyDescent="0.2">
      <c r="A1549" s="626" t="s">
        <v>4500</v>
      </c>
      <c r="B1549" s="626" t="s">
        <v>4501</v>
      </c>
      <c r="C1549" s="626" t="s">
        <v>4502</v>
      </c>
      <c r="D1549" s="626" t="s">
        <v>4525</v>
      </c>
      <c r="E1549" s="674">
        <v>3200</v>
      </c>
      <c r="F1549" s="662">
        <f>+F1547</f>
        <v>45589626</v>
      </c>
      <c r="G1549" s="626" t="str">
        <f t="shared" ref="G1549:J1549" si="8">+G1547</f>
        <v>CISNEROS SOPLA DARWIN</v>
      </c>
      <c r="H1549" s="638" t="str">
        <f t="shared" si="8"/>
        <v>CIENCIAS CONTABLES Y FINANZAS</v>
      </c>
      <c r="I1549" s="626" t="str">
        <f t="shared" si="8"/>
        <v>UNIVERSITARIO</v>
      </c>
      <c r="J1549" s="676" t="str">
        <f t="shared" si="8"/>
        <v>CIENCIAS CONTABLES Y FINANZAS</v>
      </c>
      <c r="K1549" s="654"/>
      <c r="L1549" s="642">
        <v>11</v>
      </c>
      <c r="M1549" s="643">
        <f t="shared" si="5"/>
        <v>35200</v>
      </c>
      <c r="N1549" s="675"/>
      <c r="O1549" s="640">
        <v>12</v>
      </c>
      <c r="P1549" s="674">
        <f t="shared" si="6"/>
        <v>38400</v>
      </c>
    </row>
    <row r="1550" spans="1:16" s="619" customFormat="1" ht="60" x14ac:dyDescent="0.2">
      <c r="A1550" s="626" t="s">
        <v>4500</v>
      </c>
      <c r="B1550" s="626" t="s">
        <v>4501</v>
      </c>
      <c r="C1550" s="626" t="s">
        <v>4502</v>
      </c>
      <c r="D1550" s="626" t="s">
        <v>4526</v>
      </c>
      <c r="E1550" s="674">
        <v>8000</v>
      </c>
      <c r="F1550" s="662">
        <v>80347867</v>
      </c>
      <c r="G1550" s="626" t="s">
        <v>4527</v>
      </c>
      <c r="H1550" s="638" t="str">
        <f>+H1546</f>
        <v>AGROINDUSTRIAL</v>
      </c>
      <c r="I1550" s="626" t="str">
        <f t="shared" ref="I1550:J1550" si="9">+I1546</f>
        <v>UNIVERSITARIO</v>
      </c>
      <c r="J1550" s="676" t="str">
        <f t="shared" si="9"/>
        <v>AGROINDUSTRIAL</v>
      </c>
      <c r="K1550" s="654" t="s">
        <v>4528</v>
      </c>
      <c r="L1550" s="642">
        <v>12</v>
      </c>
      <c r="M1550" s="643">
        <f t="shared" si="5"/>
        <v>96000</v>
      </c>
      <c r="N1550" s="678" t="s">
        <v>4528</v>
      </c>
      <c r="O1550" s="640">
        <v>12</v>
      </c>
      <c r="P1550" s="674">
        <f t="shared" si="6"/>
        <v>96000</v>
      </c>
    </row>
    <row r="1551" spans="1:16" s="619" customFormat="1" ht="60" x14ac:dyDescent="0.2">
      <c r="A1551" s="626" t="s">
        <v>4500</v>
      </c>
      <c r="B1551" s="626" t="s">
        <v>4501</v>
      </c>
      <c r="C1551" s="626" t="s">
        <v>4502</v>
      </c>
      <c r="D1551" s="626" t="s">
        <v>4529</v>
      </c>
      <c r="E1551" s="674">
        <v>4500</v>
      </c>
      <c r="F1551" s="662">
        <v>43057498</v>
      </c>
      <c r="G1551" s="626" t="s">
        <v>4530</v>
      </c>
      <c r="H1551" s="638" t="s">
        <v>2232</v>
      </c>
      <c r="I1551" s="626" t="s">
        <v>3567</v>
      </c>
      <c r="J1551" s="638" t="s">
        <v>2232</v>
      </c>
      <c r="K1551" s="654"/>
      <c r="L1551" s="642">
        <v>12</v>
      </c>
      <c r="M1551" s="643">
        <f t="shared" si="5"/>
        <v>54000</v>
      </c>
      <c r="N1551" s="675"/>
      <c r="O1551" s="640">
        <v>12</v>
      </c>
      <c r="P1551" s="674">
        <f t="shared" si="6"/>
        <v>54000</v>
      </c>
    </row>
    <row r="1552" spans="1:16" s="619" customFormat="1" ht="60" x14ac:dyDescent="0.2">
      <c r="A1552" s="626" t="s">
        <v>4500</v>
      </c>
      <c r="B1552" s="626" t="s">
        <v>4501</v>
      </c>
      <c r="C1552" s="626" t="s">
        <v>4502</v>
      </c>
      <c r="D1552" s="626" t="s">
        <v>4531</v>
      </c>
      <c r="E1552" s="674">
        <v>4500</v>
      </c>
      <c r="F1552" s="662">
        <v>33408683</v>
      </c>
      <c r="G1552" s="626" t="s">
        <v>4532</v>
      </c>
      <c r="H1552" s="638" t="s">
        <v>2232</v>
      </c>
      <c r="I1552" s="626" t="s">
        <v>4533</v>
      </c>
      <c r="J1552" s="638" t="s">
        <v>2232</v>
      </c>
      <c r="K1552" s="654"/>
      <c r="L1552" s="642">
        <v>12</v>
      </c>
      <c r="M1552" s="643">
        <f t="shared" si="5"/>
        <v>54000</v>
      </c>
      <c r="N1552" s="675"/>
      <c r="O1552" s="640">
        <v>12</v>
      </c>
      <c r="P1552" s="674">
        <f t="shared" si="6"/>
        <v>54000</v>
      </c>
    </row>
    <row r="1553" spans="1:16" s="619" customFormat="1" ht="60" x14ac:dyDescent="0.2">
      <c r="A1553" s="626" t="s">
        <v>4500</v>
      </c>
      <c r="B1553" s="626" t="s">
        <v>4501</v>
      </c>
      <c r="C1553" s="626" t="s">
        <v>4502</v>
      </c>
      <c r="D1553" s="626" t="s">
        <v>4534</v>
      </c>
      <c r="E1553" s="674">
        <v>1000</v>
      </c>
      <c r="F1553" s="662">
        <v>16759082</v>
      </c>
      <c r="G1553" s="626" t="s">
        <v>4535</v>
      </c>
      <c r="H1553" s="638" t="s">
        <v>1925</v>
      </c>
      <c r="I1553" s="626" t="s">
        <v>3567</v>
      </c>
      <c r="J1553" s="676" t="s">
        <v>1925</v>
      </c>
      <c r="K1553" s="654" t="s">
        <v>4536</v>
      </c>
      <c r="L1553" s="642">
        <v>3</v>
      </c>
      <c r="M1553" s="643">
        <f t="shared" si="5"/>
        <v>3000</v>
      </c>
      <c r="N1553" s="675"/>
      <c r="O1553" s="640">
        <v>0</v>
      </c>
      <c r="P1553" s="674">
        <f t="shared" si="6"/>
        <v>0</v>
      </c>
    </row>
    <row r="1554" spans="1:16" s="619" customFormat="1" ht="60" x14ac:dyDescent="0.2">
      <c r="A1554" s="626" t="s">
        <v>4500</v>
      </c>
      <c r="B1554" s="626" t="s">
        <v>4501</v>
      </c>
      <c r="C1554" s="626" t="s">
        <v>4502</v>
      </c>
      <c r="D1554" s="626" t="s">
        <v>4534</v>
      </c>
      <c r="E1554" s="674">
        <v>1000</v>
      </c>
      <c r="F1554" s="677">
        <v>8825950</v>
      </c>
      <c r="G1554" s="626" t="s">
        <v>4537</v>
      </c>
      <c r="H1554" s="638" t="s">
        <v>1925</v>
      </c>
      <c r="I1554" s="626" t="s">
        <v>3567</v>
      </c>
      <c r="J1554" s="676" t="s">
        <v>1925</v>
      </c>
      <c r="K1554" s="654"/>
      <c r="L1554" s="642">
        <v>0</v>
      </c>
      <c r="M1554" s="643">
        <f t="shared" si="5"/>
        <v>0</v>
      </c>
      <c r="N1554" s="675"/>
      <c r="O1554" s="640">
        <v>6</v>
      </c>
      <c r="P1554" s="674">
        <f t="shared" si="6"/>
        <v>6000</v>
      </c>
    </row>
    <row r="1555" spans="1:16" s="619" customFormat="1" ht="60" x14ac:dyDescent="0.2">
      <c r="A1555" s="626" t="s">
        <v>4500</v>
      </c>
      <c r="B1555" s="626" t="s">
        <v>4501</v>
      </c>
      <c r="C1555" s="626" t="s">
        <v>4502</v>
      </c>
      <c r="D1555" s="626" t="s">
        <v>4538</v>
      </c>
      <c r="E1555" s="674">
        <v>9000</v>
      </c>
      <c r="F1555" s="662">
        <v>26706349</v>
      </c>
      <c r="G1555" s="626" t="s">
        <v>4539</v>
      </c>
      <c r="H1555" s="638" t="s">
        <v>1925</v>
      </c>
      <c r="I1555" s="626" t="s">
        <v>3567</v>
      </c>
      <c r="J1555" s="676" t="s">
        <v>1925</v>
      </c>
      <c r="K1555" s="654"/>
      <c r="L1555" s="642">
        <v>12</v>
      </c>
      <c r="M1555" s="643">
        <f t="shared" si="5"/>
        <v>108000</v>
      </c>
      <c r="N1555" s="675"/>
      <c r="O1555" s="640">
        <v>6</v>
      </c>
      <c r="P1555" s="674">
        <f t="shared" si="6"/>
        <v>54000</v>
      </c>
    </row>
    <row r="1556" spans="1:16" s="619" customFormat="1" ht="60" x14ac:dyDescent="0.2">
      <c r="A1556" s="626" t="s">
        <v>4500</v>
      </c>
      <c r="B1556" s="626" t="s">
        <v>4501</v>
      </c>
      <c r="C1556" s="626" t="s">
        <v>4502</v>
      </c>
      <c r="D1556" s="626" t="s">
        <v>4538</v>
      </c>
      <c r="E1556" s="674">
        <v>9000</v>
      </c>
      <c r="F1556" s="677">
        <v>8825950</v>
      </c>
      <c r="G1556" s="626" t="s">
        <v>4537</v>
      </c>
      <c r="H1556" s="638" t="s">
        <v>1925</v>
      </c>
      <c r="I1556" s="626" t="s">
        <v>3567</v>
      </c>
      <c r="J1556" s="676" t="s">
        <v>1925</v>
      </c>
      <c r="K1556" s="654"/>
      <c r="L1556" s="642"/>
      <c r="M1556" s="643"/>
      <c r="N1556" s="675"/>
      <c r="O1556" s="640">
        <v>6</v>
      </c>
      <c r="P1556" s="674">
        <f t="shared" si="6"/>
        <v>54000</v>
      </c>
    </row>
    <row r="1557" spans="1:16" s="619" customFormat="1" ht="60" x14ac:dyDescent="0.2">
      <c r="A1557" s="626" t="s">
        <v>4500</v>
      </c>
      <c r="B1557" s="626" t="s">
        <v>4501</v>
      </c>
      <c r="C1557" s="626" t="s">
        <v>4502</v>
      </c>
      <c r="D1557" s="626" t="s">
        <v>4540</v>
      </c>
      <c r="E1557" s="674">
        <v>9000</v>
      </c>
      <c r="F1557" s="662">
        <v>16759082</v>
      </c>
      <c r="G1557" s="626" t="s">
        <v>4535</v>
      </c>
      <c r="H1557" s="638" t="s">
        <v>1925</v>
      </c>
      <c r="I1557" s="626" t="s">
        <v>3567</v>
      </c>
      <c r="J1557" s="676" t="s">
        <v>1925</v>
      </c>
      <c r="K1557" s="654"/>
      <c r="L1557" s="642">
        <v>3</v>
      </c>
      <c r="M1557" s="643">
        <f t="shared" si="5"/>
        <v>27000</v>
      </c>
      <c r="N1557" s="675"/>
      <c r="O1557" s="640">
        <v>0</v>
      </c>
      <c r="P1557" s="674">
        <f t="shared" si="6"/>
        <v>0</v>
      </c>
    </row>
    <row r="1558" spans="1:16" s="619" customFormat="1" ht="60" x14ac:dyDescent="0.2">
      <c r="A1558" s="626" t="s">
        <v>4500</v>
      </c>
      <c r="B1558" s="626" t="s">
        <v>4501</v>
      </c>
      <c r="C1558" s="626" t="s">
        <v>4502</v>
      </c>
      <c r="D1558" s="626" t="s">
        <v>4541</v>
      </c>
      <c r="E1558" s="674">
        <v>2000</v>
      </c>
      <c r="F1558" s="662">
        <v>33814575</v>
      </c>
      <c r="G1558" s="626" t="s">
        <v>4542</v>
      </c>
      <c r="H1558" s="638" t="s">
        <v>1428</v>
      </c>
      <c r="I1558" s="626" t="s">
        <v>3567</v>
      </c>
      <c r="J1558" s="676" t="s">
        <v>1428</v>
      </c>
      <c r="K1558" s="654"/>
      <c r="L1558" s="642">
        <v>3</v>
      </c>
      <c r="M1558" s="643">
        <f t="shared" si="5"/>
        <v>6000</v>
      </c>
      <c r="N1558" s="675"/>
      <c r="O1558" s="640">
        <v>0</v>
      </c>
      <c r="P1558" s="674">
        <f t="shared" si="6"/>
        <v>0</v>
      </c>
    </row>
    <row r="1559" spans="1:16" s="619" customFormat="1" ht="60" x14ac:dyDescent="0.2">
      <c r="A1559" s="626" t="s">
        <v>4500</v>
      </c>
      <c r="B1559" s="626" t="s">
        <v>4501</v>
      </c>
      <c r="C1559" s="626" t="s">
        <v>4502</v>
      </c>
      <c r="D1559" s="626" t="s">
        <v>4541</v>
      </c>
      <c r="E1559" s="674">
        <v>10000</v>
      </c>
      <c r="F1559" s="677">
        <v>8323936</v>
      </c>
      <c r="G1559" s="626" t="s">
        <v>4543</v>
      </c>
      <c r="H1559" s="638" t="s">
        <v>4544</v>
      </c>
      <c r="I1559" s="626" t="s">
        <v>4533</v>
      </c>
      <c r="J1559" s="676" t="s">
        <v>4544</v>
      </c>
      <c r="K1559" s="654" t="s">
        <v>4545</v>
      </c>
      <c r="L1559" s="642">
        <v>5</v>
      </c>
      <c r="M1559" s="643">
        <f t="shared" si="5"/>
        <v>50000</v>
      </c>
      <c r="N1559" s="675"/>
      <c r="O1559" s="640">
        <v>0</v>
      </c>
      <c r="P1559" s="674">
        <f t="shared" si="6"/>
        <v>0</v>
      </c>
    </row>
    <row r="1560" spans="1:16" s="619" customFormat="1" ht="60" x14ac:dyDescent="0.2">
      <c r="A1560" s="626" t="s">
        <v>4500</v>
      </c>
      <c r="B1560" s="626" t="s">
        <v>4501</v>
      </c>
      <c r="C1560" s="626" t="s">
        <v>4502</v>
      </c>
      <c r="D1560" s="626" t="s">
        <v>4546</v>
      </c>
      <c r="E1560" s="674">
        <v>9000</v>
      </c>
      <c r="F1560" s="662">
        <v>41501847</v>
      </c>
      <c r="G1560" s="626" t="s">
        <v>4547</v>
      </c>
      <c r="H1560" s="638" t="s">
        <v>4548</v>
      </c>
      <c r="I1560" s="626" t="s">
        <v>3567</v>
      </c>
      <c r="J1560" s="676" t="s">
        <v>4548</v>
      </c>
      <c r="K1560" s="654"/>
      <c r="L1560" s="642">
        <v>2</v>
      </c>
      <c r="M1560" s="643">
        <f t="shared" si="5"/>
        <v>18000</v>
      </c>
      <c r="N1560" s="675"/>
      <c r="O1560" s="640">
        <v>0</v>
      </c>
      <c r="P1560" s="674">
        <f t="shared" si="6"/>
        <v>0</v>
      </c>
    </row>
    <row r="1561" spans="1:16" s="619" customFormat="1" ht="60" x14ac:dyDescent="0.2">
      <c r="A1561" s="626" t="s">
        <v>4500</v>
      </c>
      <c r="B1561" s="626" t="s">
        <v>4501</v>
      </c>
      <c r="C1561" s="626" t="s">
        <v>4502</v>
      </c>
      <c r="D1561" s="626" t="s">
        <v>4549</v>
      </c>
      <c r="E1561" s="674">
        <v>9000</v>
      </c>
      <c r="F1561" s="662">
        <v>43581029</v>
      </c>
      <c r="G1561" s="626" t="s">
        <v>4550</v>
      </c>
      <c r="H1561" s="638" t="s">
        <v>4512</v>
      </c>
      <c r="I1561" s="626" t="s">
        <v>3567</v>
      </c>
      <c r="J1561" s="676" t="s">
        <v>4512</v>
      </c>
      <c r="K1561" s="654"/>
      <c r="L1561" s="642">
        <v>3</v>
      </c>
      <c r="M1561" s="643">
        <f t="shared" si="5"/>
        <v>27000</v>
      </c>
      <c r="N1561" s="675" t="s">
        <v>4551</v>
      </c>
      <c r="O1561" s="640">
        <v>10</v>
      </c>
      <c r="P1561" s="674">
        <f t="shared" si="6"/>
        <v>90000</v>
      </c>
    </row>
    <row r="1562" spans="1:16" s="619" customFormat="1" ht="60.75" thickBot="1" x14ac:dyDescent="0.25">
      <c r="A1562" s="626" t="s">
        <v>4500</v>
      </c>
      <c r="B1562" s="626" t="s">
        <v>4501</v>
      </c>
      <c r="C1562" s="626" t="s">
        <v>4502</v>
      </c>
      <c r="D1562" s="657" t="s">
        <v>4552</v>
      </c>
      <c r="E1562" s="674">
        <v>8000</v>
      </c>
      <c r="F1562" s="662">
        <v>33814575</v>
      </c>
      <c r="G1562" s="657" t="s">
        <v>4542</v>
      </c>
      <c r="H1562" s="638" t="s">
        <v>1428</v>
      </c>
      <c r="I1562" s="657" t="s">
        <v>3567</v>
      </c>
      <c r="J1562" s="676" t="s">
        <v>1428</v>
      </c>
      <c r="K1562" s="659"/>
      <c r="L1562" s="642">
        <v>3</v>
      </c>
      <c r="M1562" s="679">
        <f t="shared" si="5"/>
        <v>24000</v>
      </c>
      <c r="N1562" s="675"/>
      <c r="O1562" s="680">
        <v>0</v>
      </c>
      <c r="P1562" s="674">
        <f t="shared" si="6"/>
        <v>0</v>
      </c>
    </row>
    <row r="1563" spans="1:16" s="619" customFormat="1" ht="13.5" customHeight="1" thickBot="1" x14ac:dyDescent="0.25">
      <c r="A1563" s="1149" t="s">
        <v>4553</v>
      </c>
      <c r="B1563" s="1150"/>
      <c r="C1563" s="1150"/>
      <c r="D1563" s="1151"/>
      <c r="E1563" s="610">
        <f>SUM(E1540:E1562)</f>
        <v>118980</v>
      </c>
      <c r="F1563" s="623"/>
      <c r="G1563" s="109"/>
      <c r="H1563" s="109"/>
      <c r="I1563" s="109"/>
      <c r="J1563" s="109"/>
      <c r="K1563" s="623"/>
      <c r="L1563" s="109"/>
      <c r="M1563" s="610">
        <f>SUM(M1540:M1562)</f>
        <v>773340</v>
      </c>
      <c r="N1563" s="623"/>
      <c r="O1563" s="623"/>
      <c r="P1563" s="610">
        <f>SUM(P1540:P1562)</f>
        <v>738200</v>
      </c>
    </row>
    <row r="1564" spans="1:16" s="619" customFormat="1" ht="36" x14ac:dyDescent="0.2">
      <c r="A1564" s="630" t="s">
        <v>4554</v>
      </c>
      <c r="B1564" s="630" t="s">
        <v>1908</v>
      </c>
      <c r="C1564" s="638" t="s">
        <v>104</v>
      </c>
      <c r="D1564" s="626" t="s">
        <v>3545</v>
      </c>
      <c r="E1564" s="636">
        <v>930</v>
      </c>
      <c r="F1564" s="628">
        <v>33431351</v>
      </c>
      <c r="G1564" s="630" t="s">
        <v>4555</v>
      </c>
      <c r="H1564" s="638" t="s">
        <v>4556</v>
      </c>
      <c r="I1564" s="630" t="s">
        <v>4557</v>
      </c>
      <c r="J1564" s="638" t="s">
        <v>4558</v>
      </c>
      <c r="K1564" s="633" t="s">
        <v>4559</v>
      </c>
      <c r="L1564" s="681">
        <v>12</v>
      </c>
      <c r="M1564" s="635">
        <v>11724.8</v>
      </c>
      <c r="N1564" s="634" t="s">
        <v>4560</v>
      </c>
      <c r="O1564" s="682">
        <v>6</v>
      </c>
      <c r="P1564" s="635">
        <v>5563.47</v>
      </c>
    </row>
    <row r="1565" spans="1:16" s="619" customFormat="1" ht="36" x14ac:dyDescent="0.2">
      <c r="A1565" s="626" t="s">
        <v>4554</v>
      </c>
      <c r="B1565" s="626" t="s">
        <v>1908</v>
      </c>
      <c r="C1565" s="638" t="s">
        <v>104</v>
      </c>
      <c r="D1565" s="626" t="s">
        <v>1996</v>
      </c>
      <c r="E1565" s="636">
        <v>1500</v>
      </c>
      <c r="F1565" s="637">
        <v>33429544</v>
      </c>
      <c r="G1565" s="626" t="s">
        <v>4561</v>
      </c>
      <c r="H1565" s="638" t="s">
        <v>4556</v>
      </c>
      <c r="I1565" s="626" t="s">
        <v>4557</v>
      </c>
      <c r="J1565" s="638" t="s">
        <v>4562</v>
      </c>
      <c r="K1565" s="654" t="s">
        <v>4563</v>
      </c>
      <c r="L1565" s="681">
        <v>12</v>
      </c>
      <c r="M1565" s="643">
        <v>18000</v>
      </c>
      <c r="N1565" s="653" t="s">
        <v>4564</v>
      </c>
      <c r="O1565" s="683">
        <v>6</v>
      </c>
      <c r="P1565" s="643">
        <v>9000</v>
      </c>
    </row>
    <row r="1566" spans="1:16" s="619" customFormat="1" ht="48" x14ac:dyDescent="0.2">
      <c r="A1566" s="626" t="s">
        <v>4554</v>
      </c>
      <c r="B1566" s="626" t="s">
        <v>1908</v>
      </c>
      <c r="C1566" s="638" t="s">
        <v>104</v>
      </c>
      <c r="D1566" s="626" t="s">
        <v>4565</v>
      </c>
      <c r="E1566" s="636">
        <v>2000</v>
      </c>
      <c r="F1566" s="637">
        <v>46780932</v>
      </c>
      <c r="G1566" s="626" t="s">
        <v>4566</v>
      </c>
      <c r="H1566" s="638" t="s">
        <v>1911</v>
      </c>
      <c r="I1566" s="626" t="s">
        <v>2002</v>
      </c>
      <c r="J1566" s="638" t="s">
        <v>1911</v>
      </c>
      <c r="K1566" s="654" t="s">
        <v>4567</v>
      </c>
      <c r="L1566" s="681">
        <v>5</v>
      </c>
      <c r="M1566" s="643">
        <v>9685.81</v>
      </c>
      <c r="N1566" s="653" t="s">
        <v>4568</v>
      </c>
      <c r="O1566" s="683">
        <v>6</v>
      </c>
      <c r="P1566" s="643">
        <v>11893.630000000001</v>
      </c>
    </row>
    <row r="1567" spans="1:16" s="619" customFormat="1" ht="24" x14ac:dyDescent="0.2">
      <c r="A1567" s="626" t="s">
        <v>4554</v>
      </c>
      <c r="B1567" s="626" t="s">
        <v>1908</v>
      </c>
      <c r="C1567" s="638" t="s">
        <v>104</v>
      </c>
      <c r="D1567" s="626" t="s">
        <v>4569</v>
      </c>
      <c r="E1567" s="636">
        <v>1100</v>
      </c>
      <c r="F1567" s="637" t="s">
        <v>4570</v>
      </c>
      <c r="G1567" s="626" t="s">
        <v>4571</v>
      </c>
      <c r="H1567" s="638" t="s">
        <v>4572</v>
      </c>
      <c r="I1567" s="626" t="s">
        <v>3551</v>
      </c>
      <c r="J1567" s="638" t="s">
        <v>4572</v>
      </c>
      <c r="K1567" s="654" t="s">
        <v>4573</v>
      </c>
      <c r="L1567" s="681">
        <v>12</v>
      </c>
      <c r="M1567" s="643">
        <v>14300</v>
      </c>
      <c r="N1567" s="653" t="s">
        <v>4574</v>
      </c>
      <c r="O1567" s="683">
        <v>6</v>
      </c>
      <c r="P1567" s="643">
        <f>1100*6</f>
        <v>6600</v>
      </c>
    </row>
    <row r="1568" spans="1:16" s="619" customFormat="1" ht="24" x14ac:dyDescent="0.2">
      <c r="A1568" s="626" t="s">
        <v>4554</v>
      </c>
      <c r="B1568" s="626" t="s">
        <v>1908</v>
      </c>
      <c r="C1568" s="638" t="s">
        <v>104</v>
      </c>
      <c r="D1568" s="626" t="s">
        <v>3583</v>
      </c>
      <c r="E1568" s="636">
        <v>1800</v>
      </c>
      <c r="F1568" s="637">
        <v>46883992</v>
      </c>
      <c r="G1568" s="626" t="s">
        <v>4575</v>
      </c>
      <c r="H1568" s="638" t="s">
        <v>4556</v>
      </c>
      <c r="I1568" s="626" t="s">
        <v>4557</v>
      </c>
      <c r="J1568" s="638" t="s">
        <v>4576</v>
      </c>
      <c r="K1568" s="654" t="s">
        <v>4577</v>
      </c>
      <c r="L1568" s="681">
        <v>12</v>
      </c>
      <c r="M1568" s="643">
        <v>22438.27</v>
      </c>
      <c r="N1568" s="653" t="s">
        <v>4578</v>
      </c>
      <c r="O1568" s="683">
        <v>6</v>
      </c>
      <c r="P1568" s="643">
        <v>10662.82</v>
      </c>
    </row>
    <row r="1569" spans="1:16" s="619" customFormat="1" ht="36" x14ac:dyDescent="0.2">
      <c r="A1569" s="626" t="s">
        <v>4554</v>
      </c>
      <c r="B1569" s="626" t="s">
        <v>1908</v>
      </c>
      <c r="C1569" s="638" t="s">
        <v>104</v>
      </c>
      <c r="D1569" s="626" t="s">
        <v>4579</v>
      </c>
      <c r="E1569" s="636">
        <v>2000</v>
      </c>
      <c r="F1569" s="637">
        <v>46488204</v>
      </c>
      <c r="G1569" s="626" t="s">
        <v>4580</v>
      </c>
      <c r="H1569" s="638" t="s">
        <v>2921</v>
      </c>
      <c r="I1569" s="626" t="s">
        <v>4581</v>
      </c>
      <c r="J1569" s="638" t="s">
        <v>1428</v>
      </c>
      <c r="K1569" s="654" t="s">
        <v>4582</v>
      </c>
      <c r="L1569" s="681">
        <v>9</v>
      </c>
      <c r="M1569" s="643">
        <v>20666.14</v>
      </c>
      <c r="N1569" s="653" t="s">
        <v>4583</v>
      </c>
      <c r="O1569" s="683">
        <v>6</v>
      </c>
      <c r="P1569" s="643">
        <v>11931.48</v>
      </c>
    </row>
    <row r="1570" spans="1:16" s="619" customFormat="1" ht="24" x14ac:dyDescent="0.2">
      <c r="A1570" s="626" t="s">
        <v>4554</v>
      </c>
      <c r="B1570" s="626" t="s">
        <v>1908</v>
      </c>
      <c r="C1570" s="638" t="s">
        <v>104</v>
      </c>
      <c r="D1570" s="626" t="s">
        <v>4584</v>
      </c>
      <c r="E1570" s="636">
        <v>1000</v>
      </c>
      <c r="F1570" s="637">
        <v>80451064</v>
      </c>
      <c r="G1570" s="626" t="s">
        <v>4585</v>
      </c>
      <c r="H1570" s="638" t="s">
        <v>4556</v>
      </c>
      <c r="I1570" s="626" t="s">
        <v>4557</v>
      </c>
      <c r="J1570" s="638" t="s">
        <v>4558</v>
      </c>
      <c r="K1570" s="654" t="s">
        <v>4586</v>
      </c>
      <c r="L1570" s="681">
        <v>12</v>
      </c>
      <c r="M1570" s="643">
        <v>13100</v>
      </c>
      <c r="N1570" s="653" t="s">
        <v>4587</v>
      </c>
      <c r="O1570" s="683">
        <v>6</v>
      </c>
      <c r="P1570" s="643">
        <v>6000</v>
      </c>
    </row>
    <row r="1571" spans="1:16" s="619" customFormat="1" ht="36" x14ac:dyDescent="0.2">
      <c r="A1571" s="626" t="s">
        <v>4554</v>
      </c>
      <c r="B1571" s="626" t="s">
        <v>1908</v>
      </c>
      <c r="C1571" s="638" t="s">
        <v>104</v>
      </c>
      <c r="D1571" s="626" t="s">
        <v>3545</v>
      </c>
      <c r="E1571" s="636">
        <v>1200</v>
      </c>
      <c r="F1571" s="637">
        <v>33407929</v>
      </c>
      <c r="G1571" s="626" t="s">
        <v>4588</v>
      </c>
      <c r="H1571" s="638" t="s">
        <v>3545</v>
      </c>
      <c r="I1571" s="626" t="s">
        <v>4557</v>
      </c>
      <c r="J1571" s="638" t="s">
        <v>4589</v>
      </c>
      <c r="K1571" s="654" t="s">
        <v>4590</v>
      </c>
      <c r="L1571" s="681">
        <v>12</v>
      </c>
      <c r="M1571" s="643">
        <v>15490.58</v>
      </c>
      <c r="N1571" s="653" t="s">
        <v>4591</v>
      </c>
      <c r="O1571" s="683">
        <v>6</v>
      </c>
      <c r="P1571" s="643">
        <v>7199.48</v>
      </c>
    </row>
    <row r="1572" spans="1:16" s="619" customFormat="1" ht="48" x14ac:dyDescent="0.2">
      <c r="A1572" s="626" t="s">
        <v>4554</v>
      </c>
      <c r="B1572" s="626" t="s">
        <v>1908</v>
      </c>
      <c r="C1572" s="638" t="s">
        <v>104</v>
      </c>
      <c r="D1572" s="626" t="s">
        <v>4592</v>
      </c>
      <c r="E1572" s="636">
        <v>3000</v>
      </c>
      <c r="F1572" s="637">
        <v>40760354</v>
      </c>
      <c r="G1572" s="626" t="s">
        <v>4593</v>
      </c>
      <c r="H1572" s="638" t="s">
        <v>2921</v>
      </c>
      <c r="I1572" s="626" t="s">
        <v>4594</v>
      </c>
      <c r="J1572" s="638" t="s">
        <v>4595</v>
      </c>
      <c r="K1572" s="654" t="s">
        <v>4559</v>
      </c>
      <c r="L1572" s="681">
        <v>7</v>
      </c>
      <c r="M1572" s="643">
        <v>18076.98</v>
      </c>
      <c r="N1572" s="653" t="s">
        <v>4560</v>
      </c>
      <c r="O1572" s="683">
        <v>6</v>
      </c>
      <c r="P1572" s="643">
        <v>17812.259999999998</v>
      </c>
    </row>
    <row r="1573" spans="1:16" s="619" customFormat="1" ht="36" x14ac:dyDescent="0.2">
      <c r="A1573" s="626" t="s">
        <v>4554</v>
      </c>
      <c r="B1573" s="626" t="s">
        <v>1908</v>
      </c>
      <c r="C1573" s="638" t="s">
        <v>104</v>
      </c>
      <c r="D1573" s="626" t="s">
        <v>4596</v>
      </c>
      <c r="E1573" s="636">
        <v>4000</v>
      </c>
      <c r="F1573" s="637">
        <v>43690175</v>
      </c>
      <c r="G1573" s="626" t="s">
        <v>2762</v>
      </c>
      <c r="H1573" s="638" t="s">
        <v>2921</v>
      </c>
      <c r="I1573" s="626" t="s">
        <v>4597</v>
      </c>
      <c r="J1573" s="638" t="s">
        <v>1428</v>
      </c>
      <c r="K1573" s="654" t="s">
        <v>4598</v>
      </c>
      <c r="L1573" s="681"/>
      <c r="M1573" s="643">
        <v>0</v>
      </c>
      <c r="N1573" s="653" t="s">
        <v>4598</v>
      </c>
      <c r="O1573" s="683">
        <v>4</v>
      </c>
      <c r="P1573" s="643">
        <v>14740.64</v>
      </c>
    </row>
    <row r="1574" spans="1:16" s="619" customFormat="1" ht="24" x14ac:dyDescent="0.2">
      <c r="A1574" s="626" t="s">
        <v>4554</v>
      </c>
      <c r="B1574" s="626" t="s">
        <v>1908</v>
      </c>
      <c r="C1574" s="638" t="s">
        <v>104</v>
      </c>
      <c r="D1574" s="626" t="s">
        <v>4599</v>
      </c>
      <c r="E1574" s="636">
        <v>1450</v>
      </c>
      <c r="F1574" s="637">
        <v>47735707</v>
      </c>
      <c r="G1574" s="626" t="s">
        <v>4600</v>
      </c>
      <c r="H1574" s="638" t="s">
        <v>4556</v>
      </c>
      <c r="I1574" s="626" t="s">
        <v>4557</v>
      </c>
      <c r="J1574" s="638" t="s">
        <v>4601</v>
      </c>
      <c r="K1574" s="654" t="s">
        <v>4567</v>
      </c>
      <c r="L1574" s="681">
        <v>9</v>
      </c>
      <c r="M1574" s="643">
        <v>15292.66</v>
      </c>
      <c r="N1574" s="653" t="s">
        <v>4568</v>
      </c>
      <c r="O1574" s="683">
        <v>1</v>
      </c>
      <c r="P1574" s="643">
        <v>1450</v>
      </c>
    </row>
    <row r="1575" spans="1:16" s="619" customFormat="1" ht="36" x14ac:dyDescent="0.2">
      <c r="A1575" s="626" t="s">
        <v>4554</v>
      </c>
      <c r="B1575" s="626" t="s">
        <v>1908</v>
      </c>
      <c r="C1575" s="638" t="s">
        <v>104</v>
      </c>
      <c r="D1575" s="626" t="s">
        <v>4602</v>
      </c>
      <c r="E1575" s="636">
        <v>2000</v>
      </c>
      <c r="F1575" s="637">
        <v>42091161</v>
      </c>
      <c r="G1575" s="626" t="s">
        <v>4603</v>
      </c>
      <c r="H1575" s="638" t="s">
        <v>2921</v>
      </c>
      <c r="I1575" s="626" t="s">
        <v>4597</v>
      </c>
      <c r="J1575" s="638" t="s">
        <v>1428</v>
      </c>
      <c r="K1575" s="654" t="s">
        <v>4604</v>
      </c>
      <c r="L1575" s="681">
        <v>9</v>
      </c>
      <c r="M1575" s="643">
        <v>21166.690000000002</v>
      </c>
      <c r="N1575" s="653" t="s">
        <v>4605</v>
      </c>
      <c r="O1575" s="683">
        <v>6</v>
      </c>
      <c r="P1575" s="643">
        <v>11991.39</v>
      </c>
    </row>
    <row r="1576" spans="1:16" s="619" customFormat="1" ht="36" x14ac:dyDescent="0.2">
      <c r="A1576" s="626" t="s">
        <v>4554</v>
      </c>
      <c r="B1576" s="626" t="s">
        <v>1908</v>
      </c>
      <c r="C1576" s="638" t="s">
        <v>104</v>
      </c>
      <c r="D1576" s="626" t="s">
        <v>4606</v>
      </c>
      <c r="E1576" s="636">
        <v>930</v>
      </c>
      <c r="F1576" s="637">
        <v>16647887</v>
      </c>
      <c r="G1576" s="626" t="s">
        <v>4607</v>
      </c>
      <c r="H1576" s="638" t="s">
        <v>4572</v>
      </c>
      <c r="I1576" s="626" t="s">
        <v>3551</v>
      </c>
      <c r="J1576" s="638" t="s">
        <v>4572</v>
      </c>
      <c r="K1576" s="654" t="s">
        <v>4608</v>
      </c>
      <c r="L1576" s="681">
        <v>12</v>
      </c>
      <c r="M1576" s="643">
        <v>11759.67</v>
      </c>
      <c r="N1576" s="653" t="s">
        <v>4609</v>
      </c>
      <c r="O1576" s="683">
        <v>6</v>
      </c>
      <c r="P1576" s="643">
        <v>5580</v>
      </c>
    </row>
    <row r="1577" spans="1:16" s="619" customFormat="1" ht="48" x14ac:dyDescent="0.2">
      <c r="A1577" s="626" t="s">
        <v>4554</v>
      </c>
      <c r="B1577" s="626" t="s">
        <v>1908</v>
      </c>
      <c r="C1577" s="638" t="s">
        <v>104</v>
      </c>
      <c r="D1577" s="626" t="s">
        <v>4610</v>
      </c>
      <c r="E1577" s="636">
        <v>2300</v>
      </c>
      <c r="F1577" s="637">
        <v>72360252</v>
      </c>
      <c r="G1577" s="626" t="s">
        <v>4611</v>
      </c>
      <c r="H1577" s="638" t="s">
        <v>2946</v>
      </c>
      <c r="I1577" s="626" t="s">
        <v>4612</v>
      </c>
      <c r="J1577" s="638" t="s">
        <v>4613</v>
      </c>
      <c r="K1577" s="654" t="s">
        <v>4590</v>
      </c>
      <c r="L1577" s="681">
        <v>5</v>
      </c>
      <c r="M1577" s="643">
        <v>11294.43</v>
      </c>
      <c r="N1577" s="653" t="s">
        <v>4591</v>
      </c>
      <c r="O1577" s="683">
        <v>6</v>
      </c>
      <c r="P1577" s="643">
        <v>13697.87</v>
      </c>
    </row>
    <row r="1578" spans="1:16" s="619" customFormat="1" ht="48" x14ac:dyDescent="0.2">
      <c r="A1578" s="626" t="s">
        <v>4554</v>
      </c>
      <c r="B1578" s="626" t="s">
        <v>1908</v>
      </c>
      <c r="C1578" s="638" t="s">
        <v>104</v>
      </c>
      <c r="D1578" s="626" t="s">
        <v>4614</v>
      </c>
      <c r="E1578" s="636">
        <v>2000</v>
      </c>
      <c r="F1578" s="637">
        <v>70435850</v>
      </c>
      <c r="G1578" s="626" t="s">
        <v>4615</v>
      </c>
      <c r="H1578" s="638" t="s">
        <v>2946</v>
      </c>
      <c r="I1578" s="626" t="s">
        <v>4612</v>
      </c>
      <c r="J1578" s="638" t="s">
        <v>4613</v>
      </c>
      <c r="K1578" s="654" t="s">
        <v>4616</v>
      </c>
      <c r="L1578" s="681">
        <v>5</v>
      </c>
      <c r="M1578" s="643">
        <v>9692.26</v>
      </c>
      <c r="N1578" s="653" t="s">
        <v>4617</v>
      </c>
      <c r="O1578" s="683">
        <v>1</v>
      </c>
      <c r="P1578" s="643">
        <v>1999.86</v>
      </c>
    </row>
    <row r="1579" spans="1:16" s="619" customFormat="1" ht="24" x14ac:dyDescent="0.2">
      <c r="A1579" s="626" t="s">
        <v>4554</v>
      </c>
      <c r="B1579" s="626" t="s">
        <v>1908</v>
      </c>
      <c r="C1579" s="638" t="s">
        <v>104</v>
      </c>
      <c r="D1579" s="626" t="s">
        <v>4558</v>
      </c>
      <c r="E1579" s="636">
        <v>1500</v>
      </c>
      <c r="F1579" s="637">
        <v>70760986</v>
      </c>
      <c r="G1579" s="626" t="s">
        <v>4618</v>
      </c>
      <c r="H1579" s="638" t="s">
        <v>2921</v>
      </c>
      <c r="I1579" s="626" t="s">
        <v>4597</v>
      </c>
      <c r="J1579" s="638" t="s">
        <v>1428</v>
      </c>
      <c r="K1579" s="654" t="s">
        <v>4619</v>
      </c>
      <c r="L1579" s="681">
        <v>5</v>
      </c>
      <c r="M1579" s="643">
        <v>5980</v>
      </c>
      <c r="N1579" s="653" t="s">
        <v>4620</v>
      </c>
      <c r="O1579" s="683">
        <v>1</v>
      </c>
      <c r="P1579" s="643">
        <v>1500</v>
      </c>
    </row>
    <row r="1580" spans="1:16" s="619" customFormat="1" ht="48" x14ac:dyDescent="0.2">
      <c r="A1580" s="626" t="s">
        <v>4554</v>
      </c>
      <c r="B1580" s="626" t="s">
        <v>1908</v>
      </c>
      <c r="C1580" s="638" t="s">
        <v>104</v>
      </c>
      <c r="D1580" s="626" t="s">
        <v>4621</v>
      </c>
      <c r="E1580" s="636">
        <v>1000</v>
      </c>
      <c r="F1580" s="637">
        <v>33432423</v>
      </c>
      <c r="G1580" s="626" t="s">
        <v>4622</v>
      </c>
      <c r="H1580" s="638" t="s">
        <v>2946</v>
      </c>
      <c r="I1580" s="626" t="s">
        <v>4612</v>
      </c>
      <c r="J1580" s="638" t="s">
        <v>4613</v>
      </c>
      <c r="K1580" s="654" t="s">
        <v>4623</v>
      </c>
      <c r="L1580" s="681">
        <v>12</v>
      </c>
      <c r="M1580" s="643">
        <v>12558.46</v>
      </c>
      <c r="N1580" s="653" t="s">
        <v>4624</v>
      </c>
      <c r="O1580" s="683">
        <v>6</v>
      </c>
      <c r="P1580" s="643">
        <v>5964.6</v>
      </c>
    </row>
    <row r="1581" spans="1:16" s="619" customFormat="1" ht="36" x14ac:dyDescent="0.2">
      <c r="A1581" s="626" t="s">
        <v>4554</v>
      </c>
      <c r="B1581" s="626" t="s">
        <v>1908</v>
      </c>
      <c r="C1581" s="638" t="s">
        <v>104</v>
      </c>
      <c r="D1581" s="626" t="s">
        <v>4625</v>
      </c>
      <c r="E1581" s="636">
        <v>2000</v>
      </c>
      <c r="F1581" s="637">
        <v>33586451</v>
      </c>
      <c r="G1581" s="626" t="s">
        <v>4626</v>
      </c>
      <c r="H1581" s="638" t="s">
        <v>2921</v>
      </c>
      <c r="I1581" s="626" t="s">
        <v>4627</v>
      </c>
      <c r="J1581" s="638" t="s">
        <v>4628</v>
      </c>
      <c r="K1581" s="654" t="s">
        <v>4582</v>
      </c>
      <c r="L1581" s="681">
        <v>12</v>
      </c>
      <c r="M1581" s="643">
        <v>24833.33</v>
      </c>
      <c r="N1581" s="653" t="s">
        <v>4583</v>
      </c>
      <c r="O1581" s="683">
        <v>6</v>
      </c>
      <c r="P1581" s="643">
        <v>12000</v>
      </c>
    </row>
    <row r="1582" spans="1:16" s="619" customFormat="1" ht="36" x14ac:dyDescent="0.2">
      <c r="A1582" s="626" t="s">
        <v>4554</v>
      </c>
      <c r="B1582" s="626" t="s">
        <v>1908</v>
      </c>
      <c r="C1582" s="638" t="s">
        <v>104</v>
      </c>
      <c r="D1582" s="626" t="s">
        <v>3545</v>
      </c>
      <c r="E1582" s="636">
        <v>1500</v>
      </c>
      <c r="F1582" s="637">
        <v>44267187</v>
      </c>
      <c r="G1582" s="626" t="s">
        <v>3715</v>
      </c>
      <c r="H1582" s="638" t="s">
        <v>3545</v>
      </c>
      <c r="I1582" s="626" t="s">
        <v>4557</v>
      </c>
      <c r="J1582" s="638" t="s">
        <v>4629</v>
      </c>
      <c r="K1582" s="654" t="s">
        <v>4630</v>
      </c>
      <c r="L1582" s="681">
        <v>5</v>
      </c>
      <c r="M1582" s="643">
        <v>5980</v>
      </c>
      <c r="N1582" s="653" t="s">
        <v>4631</v>
      </c>
      <c r="O1582" s="683">
        <v>1</v>
      </c>
      <c r="P1582" s="643">
        <v>1500</v>
      </c>
    </row>
    <row r="1583" spans="1:16" s="619" customFormat="1" ht="48" x14ac:dyDescent="0.2">
      <c r="A1583" s="626" t="s">
        <v>4554</v>
      </c>
      <c r="B1583" s="626" t="s">
        <v>1908</v>
      </c>
      <c r="C1583" s="638" t="s">
        <v>104</v>
      </c>
      <c r="D1583" s="626" t="s">
        <v>4447</v>
      </c>
      <c r="E1583" s="636">
        <v>1500</v>
      </c>
      <c r="F1583" s="637">
        <v>46297002</v>
      </c>
      <c r="G1583" s="626" t="s">
        <v>4632</v>
      </c>
      <c r="H1583" s="638" t="s">
        <v>2946</v>
      </c>
      <c r="I1583" s="626" t="s">
        <v>4612</v>
      </c>
      <c r="J1583" s="638" t="s">
        <v>4613</v>
      </c>
      <c r="K1583" s="654" t="s">
        <v>4633</v>
      </c>
      <c r="L1583" s="681">
        <v>12</v>
      </c>
      <c r="M1583" s="643">
        <v>19098.919999999998</v>
      </c>
      <c r="N1583" s="653" t="s">
        <v>4634</v>
      </c>
      <c r="O1583" s="683">
        <v>6</v>
      </c>
      <c r="P1583" s="643">
        <v>9000</v>
      </c>
    </row>
    <row r="1584" spans="1:16" s="619" customFormat="1" ht="48" x14ac:dyDescent="0.2">
      <c r="A1584" s="626" t="s">
        <v>4554</v>
      </c>
      <c r="B1584" s="626" t="s">
        <v>1908</v>
      </c>
      <c r="C1584" s="638" t="s">
        <v>104</v>
      </c>
      <c r="D1584" s="626" t="s">
        <v>4635</v>
      </c>
      <c r="E1584" s="636">
        <v>1300</v>
      </c>
      <c r="F1584" s="637">
        <v>33433127</v>
      </c>
      <c r="G1584" s="626" t="s">
        <v>4636</v>
      </c>
      <c r="H1584" s="638" t="s">
        <v>3651</v>
      </c>
      <c r="I1584" s="626" t="s">
        <v>4637</v>
      </c>
      <c r="J1584" s="638" t="s">
        <v>4638</v>
      </c>
      <c r="K1584" s="654" t="s">
        <v>4639</v>
      </c>
      <c r="L1584" s="681">
        <v>12</v>
      </c>
      <c r="M1584" s="643">
        <v>16688.580000000002</v>
      </c>
      <c r="N1584" s="653" t="s">
        <v>4640</v>
      </c>
      <c r="O1584" s="683">
        <v>6</v>
      </c>
      <c r="P1584" s="643">
        <v>7797.67</v>
      </c>
    </row>
    <row r="1585" spans="1:16" s="619" customFormat="1" ht="36" x14ac:dyDescent="0.2">
      <c r="A1585" s="626" t="s">
        <v>4554</v>
      </c>
      <c r="B1585" s="626" t="s">
        <v>1908</v>
      </c>
      <c r="C1585" s="638" t="s">
        <v>104</v>
      </c>
      <c r="D1585" s="626" t="s">
        <v>4641</v>
      </c>
      <c r="E1585" s="636">
        <v>2000</v>
      </c>
      <c r="F1585" s="637">
        <v>47339780</v>
      </c>
      <c r="G1585" s="626" t="s">
        <v>4642</v>
      </c>
      <c r="H1585" s="638" t="s">
        <v>2921</v>
      </c>
      <c r="I1585" s="626" t="s">
        <v>4643</v>
      </c>
      <c r="J1585" s="638" t="s">
        <v>2165</v>
      </c>
      <c r="K1585" s="654" t="s">
        <v>4573</v>
      </c>
      <c r="L1585" s="681">
        <v>12</v>
      </c>
      <c r="M1585" s="643">
        <v>24599.57</v>
      </c>
      <c r="N1585" s="653" t="s">
        <v>4574</v>
      </c>
      <c r="O1585" s="683">
        <v>6</v>
      </c>
      <c r="P1585" s="643">
        <v>11998.14</v>
      </c>
    </row>
    <row r="1586" spans="1:16" s="619" customFormat="1" ht="24" x14ac:dyDescent="0.2">
      <c r="A1586" s="626" t="s">
        <v>4554</v>
      </c>
      <c r="B1586" s="626" t="s">
        <v>1908</v>
      </c>
      <c r="C1586" s="638" t="s">
        <v>104</v>
      </c>
      <c r="D1586" s="626" t="s">
        <v>4644</v>
      </c>
      <c r="E1586" s="636">
        <v>2000</v>
      </c>
      <c r="F1586" s="637">
        <v>16536849</v>
      </c>
      <c r="G1586" s="626" t="s">
        <v>4645</v>
      </c>
      <c r="H1586" s="638" t="s">
        <v>2921</v>
      </c>
      <c r="I1586" s="626" t="s">
        <v>4597</v>
      </c>
      <c r="J1586" s="638" t="s">
        <v>1428</v>
      </c>
      <c r="K1586" s="654" t="s">
        <v>4646</v>
      </c>
      <c r="L1586" s="681">
        <v>5</v>
      </c>
      <c r="M1586" s="643">
        <v>10000</v>
      </c>
      <c r="N1586" s="653" t="s">
        <v>4647</v>
      </c>
      <c r="O1586" s="683">
        <v>6</v>
      </c>
      <c r="P1586" s="643">
        <v>12000</v>
      </c>
    </row>
    <row r="1587" spans="1:16" s="619" customFormat="1" ht="48" x14ac:dyDescent="0.2">
      <c r="A1587" s="626" t="s">
        <v>4554</v>
      </c>
      <c r="B1587" s="626" t="s">
        <v>1908</v>
      </c>
      <c r="C1587" s="638" t="s">
        <v>104</v>
      </c>
      <c r="D1587" s="626" t="s">
        <v>4569</v>
      </c>
      <c r="E1587" s="636">
        <v>1000</v>
      </c>
      <c r="F1587" s="637" t="s">
        <v>4648</v>
      </c>
      <c r="G1587" s="626" t="s">
        <v>4649</v>
      </c>
      <c r="H1587" s="638" t="s">
        <v>4572</v>
      </c>
      <c r="I1587" s="626" t="s">
        <v>3551</v>
      </c>
      <c r="J1587" s="638" t="s">
        <v>4572</v>
      </c>
      <c r="K1587" s="654" t="s">
        <v>4650</v>
      </c>
      <c r="L1587" s="681">
        <v>9</v>
      </c>
      <c r="M1587" s="643">
        <v>12773.33</v>
      </c>
      <c r="N1587" s="653" t="s">
        <v>4651</v>
      </c>
      <c r="O1587" s="683">
        <v>6</v>
      </c>
      <c r="P1587" s="643">
        <v>6000</v>
      </c>
    </row>
    <row r="1588" spans="1:16" s="619" customFormat="1" ht="48" x14ac:dyDescent="0.2">
      <c r="A1588" s="626" t="s">
        <v>4554</v>
      </c>
      <c r="B1588" s="626" t="s">
        <v>1908</v>
      </c>
      <c r="C1588" s="638" t="s">
        <v>104</v>
      </c>
      <c r="D1588" s="626" t="s">
        <v>4652</v>
      </c>
      <c r="E1588" s="636">
        <v>3000</v>
      </c>
      <c r="F1588" s="637">
        <v>40703298</v>
      </c>
      <c r="G1588" s="626" t="s">
        <v>4653</v>
      </c>
      <c r="H1588" s="638" t="s">
        <v>1911</v>
      </c>
      <c r="I1588" s="626" t="s">
        <v>2002</v>
      </c>
      <c r="J1588" s="638" t="s">
        <v>1911</v>
      </c>
      <c r="K1588" s="654" t="s">
        <v>4654</v>
      </c>
      <c r="L1588" s="681">
        <v>3</v>
      </c>
      <c r="M1588" s="643">
        <v>8463.5499999999993</v>
      </c>
      <c r="N1588" s="653" t="s">
        <v>4655</v>
      </c>
      <c r="O1588" s="683">
        <v>1</v>
      </c>
      <c r="P1588" s="643">
        <v>1000</v>
      </c>
    </row>
    <row r="1589" spans="1:16" s="619" customFormat="1" ht="36" x14ac:dyDescent="0.2">
      <c r="A1589" s="626" t="s">
        <v>4554</v>
      </c>
      <c r="B1589" s="626" t="s">
        <v>1908</v>
      </c>
      <c r="C1589" s="638" t="s">
        <v>104</v>
      </c>
      <c r="D1589" s="626" t="s">
        <v>4656</v>
      </c>
      <c r="E1589" s="636">
        <v>3000</v>
      </c>
      <c r="F1589" s="637">
        <v>17520694</v>
      </c>
      <c r="G1589" s="626" t="s">
        <v>4657</v>
      </c>
      <c r="H1589" s="638" t="s">
        <v>2921</v>
      </c>
      <c r="I1589" s="626" t="s">
        <v>4658</v>
      </c>
      <c r="J1589" s="638" t="s">
        <v>4659</v>
      </c>
      <c r="K1589" s="654" t="s">
        <v>4660</v>
      </c>
      <c r="L1589" s="681">
        <v>6</v>
      </c>
      <c r="M1589" s="643">
        <v>18299.14</v>
      </c>
      <c r="N1589" s="653" t="s">
        <v>4661</v>
      </c>
      <c r="O1589" s="683">
        <v>6</v>
      </c>
      <c r="P1589" s="643">
        <v>17993.55</v>
      </c>
    </row>
    <row r="1590" spans="1:16" s="619" customFormat="1" ht="24" x14ac:dyDescent="0.2">
      <c r="A1590" s="626" t="s">
        <v>4554</v>
      </c>
      <c r="B1590" s="626" t="s">
        <v>1908</v>
      </c>
      <c r="C1590" s="638" t="s">
        <v>104</v>
      </c>
      <c r="D1590" s="626" t="s">
        <v>4662</v>
      </c>
      <c r="E1590" s="636">
        <v>5000</v>
      </c>
      <c r="F1590" s="637">
        <v>33560350</v>
      </c>
      <c r="G1590" s="626" t="s">
        <v>4663</v>
      </c>
      <c r="H1590" s="638" t="s">
        <v>2921</v>
      </c>
      <c r="I1590" s="626" t="s">
        <v>4597</v>
      </c>
      <c r="J1590" s="638" t="s">
        <v>1428</v>
      </c>
      <c r="K1590" s="654" t="s">
        <v>4559</v>
      </c>
      <c r="L1590" s="681">
        <v>7</v>
      </c>
      <c r="M1590" s="643">
        <v>24173.33</v>
      </c>
      <c r="N1590" s="653" t="s">
        <v>4560</v>
      </c>
      <c r="O1590" s="683">
        <v>6</v>
      </c>
      <c r="P1590" s="643">
        <v>28866.67</v>
      </c>
    </row>
    <row r="1591" spans="1:16" s="619" customFormat="1" ht="24" x14ac:dyDescent="0.2">
      <c r="A1591" s="626" t="s">
        <v>4554</v>
      </c>
      <c r="B1591" s="626" t="s">
        <v>1908</v>
      </c>
      <c r="C1591" s="638" t="s">
        <v>104</v>
      </c>
      <c r="D1591" s="626" t="s">
        <v>4606</v>
      </c>
      <c r="E1591" s="636">
        <v>1100</v>
      </c>
      <c r="F1591" s="637">
        <v>33665473</v>
      </c>
      <c r="G1591" s="626" t="s">
        <v>4664</v>
      </c>
      <c r="H1591" s="638" t="s">
        <v>4572</v>
      </c>
      <c r="I1591" s="626" t="s">
        <v>3551</v>
      </c>
      <c r="J1591" s="638" t="s">
        <v>4572</v>
      </c>
      <c r="K1591" s="654" t="s">
        <v>4665</v>
      </c>
      <c r="L1591" s="681">
        <v>12</v>
      </c>
      <c r="M1591" s="643">
        <f>1100*12</f>
        <v>13200</v>
      </c>
      <c r="N1591" s="653" t="s">
        <v>4666</v>
      </c>
      <c r="O1591" s="683">
        <v>6</v>
      </c>
      <c r="P1591" s="643">
        <f>1100*6</f>
        <v>6600</v>
      </c>
    </row>
    <row r="1592" spans="1:16" s="619" customFormat="1" ht="36" x14ac:dyDescent="0.2">
      <c r="A1592" s="626" t="s">
        <v>4554</v>
      </c>
      <c r="B1592" s="626" t="s">
        <v>1908</v>
      </c>
      <c r="C1592" s="638" t="s">
        <v>104</v>
      </c>
      <c r="D1592" s="626" t="s">
        <v>4667</v>
      </c>
      <c r="E1592" s="636">
        <v>2000</v>
      </c>
      <c r="F1592" s="637">
        <v>42785847</v>
      </c>
      <c r="G1592" s="626" t="s">
        <v>4668</v>
      </c>
      <c r="H1592" s="638" t="s">
        <v>2921</v>
      </c>
      <c r="I1592" s="626" t="s">
        <v>4669</v>
      </c>
      <c r="J1592" s="638" t="s">
        <v>4670</v>
      </c>
      <c r="K1592" s="654" t="s">
        <v>4604</v>
      </c>
      <c r="L1592" s="681">
        <v>12</v>
      </c>
      <c r="M1592" s="643">
        <v>24856.880000000001</v>
      </c>
      <c r="N1592" s="653" t="s">
        <v>4605</v>
      </c>
      <c r="O1592" s="683">
        <v>6</v>
      </c>
      <c r="P1592" s="643">
        <v>11954.98</v>
      </c>
    </row>
    <row r="1593" spans="1:16" s="619" customFormat="1" ht="24" x14ac:dyDescent="0.2">
      <c r="A1593" s="626" t="s">
        <v>4554</v>
      </c>
      <c r="B1593" s="626" t="s">
        <v>1908</v>
      </c>
      <c r="C1593" s="638" t="s">
        <v>104</v>
      </c>
      <c r="D1593" s="626" t="s">
        <v>4671</v>
      </c>
      <c r="E1593" s="636">
        <v>2000</v>
      </c>
      <c r="F1593" s="637">
        <v>33569079</v>
      </c>
      <c r="G1593" s="626" t="s">
        <v>4672</v>
      </c>
      <c r="H1593" s="638" t="s">
        <v>2921</v>
      </c>
      <c r="I1593" s="626" t="s">
        <v>4597</v>
      </c>
      <c r="J1593" s="638" t="s">
        <v>1428</v>
      </c>
      <c r="K1593" s="654" t="s">
        <v>4673</v>
      </c>
      <c r="L1593" s="681">
        <v>5</v>
      </c>
      <c r="M1593" s="643">
        <v>11100</v>
      </c>
      <c r="N1593" s="653" t="s">
        <v>4674</v>
      </c>
      <c r="O1593" s="683">
        <v>6</v>
      </c>
      <c r="P1593" s="643">
        <f>2000*6</f>
        <v>12000</v>
      </c>
    </row>
    <row r="1594" spans="1:16" s="619" customFormat="1" ht="36" x14ac:dyDescent="0.2">
      <c r="A1594" s="626" t="s">
        <v>4554</v>
      </c>
      <c r="B1594" s="626" t="s">
        <v>1908</v>
      </c>
      <c r="C1594" s="638" t="s">
        <v>104</v>
      </c>
      <c r="D1594" s="626" t="s">
        <v>4675</v>
      </c>
      <c r="E1594" s="636">
        <v>1600</v>
      </c>
      <c r="F1594" s="637">
        <v>72457155</v>
      </c>
      <c r="G1594" s="626" t="s">
        <v>4676</v>
      </c>
      <c r="H1594" s="638" t="s">
        <v>2921</v>
      </c>
      <c r="I1594" s="626" t="s">
        <v>4677</v>
      </c>
      <c r="J1594" s="638" t="s">
        <v>2563</v>
      </c>
      <c r="K1594" s="654" t="s">
        <v>4678</v>
      </c>
      <c r="L1594" s="681">
        <v>12</v>
      </c>
      <c r="M1594" s="643">
        <v>20027.63</v>
      </c>
      <c r="N1594" s="653" t="s">
        <v>4598</v>
      </c>
      <c r="O1594" s="683">
        <v>6</v>
      </c>
      <c r="P1594" s="643">
        <v>9502.51</v>
      </c>
    </row>
    <row r="1595" spans="1:16" s="619" customFormat="1" ht="36" x14ac:dyDescent="0.2">
      <c r="A1595" s="626" t="s">
        <v>4554</v>
      </c>
      <c r="B1595" s="626" t="s">
        <v>1908</v>
      </c>
      <c r="C1595" s="638" t="s">
        <v>104</v>
      </c>
      <c r="D1595" s="626" t="s">
        <v>4569</v>
      </c>
      <c r="E1595" s="636">
        <v>930</v>
      </c>
      <c r="F1595" s="637">
        <v>33405961</v>
      </c>
      <c r="G1595" s="626" t="s">
        <v>4679</v>
      </c>
      <c r="H1595" s="638" t="s">
        <v>4572</v>
      </c>
      <c r="I1595" s="626" t="s">
        <v>3551</v>
      </c>
      <c r="J1595" s="638" t="s">
        <v>4572</v>
      </c>
      <c r="K1595" s="654" t="s">
        <v>4680</v>
      </c>
      <c r="L1595" s="681">
        <v>12</v>
      </c>
      <c r="M1595" s="643">
        <f>930*12</f>
        <v>11160</v>
      </c>
      <c r="N1595" s="653" t="s">
        <v>4681</v>
      </c>
      <c r="O1595" s="683">
        <v>6</v>
      </c>
      <c r="P1595" s="643">
        <f>930*6</f>
        <v>5580</v>
      </c>
    </row>
    <row r="1596" spans="1:16" s="619" customFormat="1" ht="36" x14ac:dyDescent="0.2">
      <c r="A1596" s="626" t="s">
        <v>4554</v>
      </c>
      <c r="B1596" s="626" t="s">
        <v>1908</v>
      </c>
      <c r="C1596" s="638" t="s">
        <v>104</v>
      </c>
      <c r="D1596" s="626" t="s">
        <v>3545</v>
      </c>
      <c r="E1596" s="636">
        <v>1500</v>
      </c>
      <c r="F1596" s="637">
        <v>70046843</v>
      </c>
      <c r="G1596" s="626" t="s">
        <v>4682</v>
      </c>
      <c r="H1596" s="638" t="s">
        <v>3651</v>
      </c>
      <c r="I1596" s="626" t="s">
        <v>4637</v>
      </c>
      <c r="J1596" s="638" t="s">
        <v>4638</v>
      </c>
      <c r="K1596" s="654"/>
      <c r="L1596" s="681"/>
      <c r="M1596" s="643">
        <v>0</v>
      </c>
      <c r="N1596" s="653" t="s">
        <v>4683</v>
      </c>
      <c r="O1596" s="683">
        <v>2</v>
      </c>
      <c r="P1596" s="643">
        <v>2200</v>
      </c>
    </row>
    <row r="1597" spans="1:16" s="619" customFormat="1" ht="36" x14ac:dyDescent="0.2">
      <c r="A1597" s="626" t="s">
        <v>4554</v>
      </c>
      <c r="B1597" s="626" t="s">
        <v>1908</v>
      </c>
      <c r="C1597" s="638" t="s">
        <v>104</v>
      </c>
      <c r="D1597" s="626" t="s">
        <v>4684</v>
      </c>
      <c r="E1597" s="636">
        <v>4000</v>
      </c>
      <c r="F1597" s="637">
        <v>41868716</v>
      </c>
      <c r="G1597" s="626" t="s">
        <v>2750</v>
      </c>
      <c r="H1597" s="638" t="s">
        <v>3651</v>
      </c>
      <c r="I1597" s="626" t="s">
        <v>4637</v>
      </c>
      <c r="J1597" s="638" t="s">
        <v>4638</v>
      </c>
      <c r="K1597" s="654" t="s">
        <v>4639</v>
      </c>
      <c r="L1597" s="681">
        <v>7</v>
      </c>
      <c r="M1597" s="643">
        <v>26820.210000000003</v>
      </c>
      <c r="N1597" s="653" t="s">
        <v>4640</v>
      </c>
      <c r="O1597" s="683">
        <v>6</v>
      </c>
      <c r="P1597" s="643">
        <v>23912.799999999999</v>
      </c>
    </row>
    <row r="1598" spans="1:16" s="619" customFormat="1" ht="48" x14ac:dyDescent="0.2">
      <c r="A1598" s="626" t="s">
        <v>4554</v>
      </c>
      <c r="B1598" s="626" t="s">
        <v>1908</v>
      </c>
      <c r="C1598" s="638" t="s">
        <v>104</v>
      </c>
      <c r="D1598" s="626" t="s">
        <v>4684</v>
      </c>
      <c r="E1598" s="636">
        <v>4000</v>
      </c>
      <c r="F1598" s="637">
        <v>45593737</v>
      </c>
      <c r="G1598" s="626" t="s">
        <v>2792</v>
      </c>
      <c r="H1598" s="638" t="s">
        <v>2946</v>
      </c>
      <c r="I1598" s="626" t="s">
        <v>4612</v>
      </c>
      <c r="J1598" s="638" t="s">
        <v>4613</v>
      </c>
      <c r="K1598" s="654" t="s">
        <v>4685</v>
      </c>
      <c r="L1598" s="681">
        <v>6</v>
      </c>
      <c r="M1598" s="643">
        <v>21066.67</v>
      </c>
      <c r="N1598" s="653" t="s">
        <v>4686</v>
      </c>
      <c r="O1598" s="683"/>
      <c r="P1598" s="643">
        <v>0</v>
      </c>
    </row>
    <row r="1599" spans="1:16" s="619" customFormat="1" ht="48" x14ac:dyDescent="0.2">
      <c r="A1599" s="626" t="s">
        <v>4554</v>
      </c>
      <c r="B1599" s="626" t="s">
        <v>1908</v>
      </c>
      <c r="C1599" s="638" t="s">
        <v>104</v>
      </c>
      <c r="D1599" s="626" t="s">
        <v>3583</v>
      </c>
      <c r="E1599" s="636">
        <v>1500</v>
      </c>
      <c r="F1599" s="637">
        <v>43089529</v>
      </c>
      <c r="G1599" s="626" t="s">
        <v>4687</v>
      </c>
      <c r="H1599" s="638" t="s">
        <v>4556</v>
      </c>
      <c r="I1599" s="626" t="s">
        <v>4557</v>
      </c>
      <c r="J1599" s="638" t="s">
        <v>4576</v>
      </c>
      <c r="K1599" s="654" t="s">
        <v>4688</v>
      </c>
      <c r="L1599" s="681">
        <v>5</v>
      </c>
      <c r="M1599" s="643">
        <v>7342.8</v>
      </c>
      <c r="N1599" s="653" t="s">
        <v>4689</v>
      </c>
      <c r="O1599" s="683">
        <v>6</v>
      </c>
      <c r="P1599" s="643">
        <v>8961.9399999999987</v>
      </c>
    </row>
    <row r="1600" spans="1:16" s="619" customFormat="1" ht="36" x14ac:dyDescent="0.2">
      <c r="A1600" s="626" t="s">
        <v>4554</v>
      </c>
      <c r="B1600" s="626" t="s">
        <v>1908</v>
      </c>
      <c r="C1600" s="638" t="s">
        <v>104</v>
      </c>
      <c r="D1600" s="626" t="s">
        <v>4625</v>
      </c>
      <c r="E1600" s="636">
        <v>2000</v>
      </c>
      <c r="F1600" s="637">
        <v>72017064</v>
      </c>
      <c r="G1600" s="626" t="s">
        <v>4690</v>
      </c>
      <c r="H1600" s="638" t="s">
        <v>2921</v>
      </c>
      <c r="I1600" s="626" t="s">
        <v>4627</v>
      </c>
      <c r="J1600" s="638" t="s">
        <v>4628</v>
      </c>
      <c r="K1600" s="654" t="s">
        <v>4691</v>
      </c>
      <c r="L1600" s="681">
        <v>5</v>
      </c>
      <c r="M1600" s="643">
        <v>8180</v>
      </c>
      <c r="N1600" s="653" t="s">
        <v>4692</v>
      </c>
      <c r="O1600" s="683">
        <v>1</v>
      </c>
      <c r="P1600" s="643">
        <v>2000</v>
      </c>
    </row>
    <row r="1601" spans="1:16" s="619" customFormat="1" ht="24" x14ac:dyDescent="0.2">
      <c r="A1601" s="626" t="s">
        <v>4554</v>
      </c>
      <c r="B1601" s="626" t="s">
        <v>1908</v>
      </c>
      <c r="C1601" s="638" t="s">
        <v>104</v>
      </c>
      <c r="D1601" s="626" t="s">
        <v>4569</v>
      </c>
      <c r="E1601" s="636">
        <v>930</v>
      </c>
      <c r="F1601" s="637">
        <v>33419235</v>
      </c>
      <c r="G1601" s="626" t="s">
        <v>4693</v>
      </c>
      <c r="H1601" s="638" t="s">
        <v>4572</v>
      </c>
      <c r="I1601" s="626" t="s">
        <v>3551</v>
      </c>
      <c r="J1601" s="638" t="s">
        <v>4572</v>
      </c>
      <c r="K1601" s="654" t="s">
        <v>649</v>
      </c>
      <c r="L1601" s="681">
        <v>12</v>
      </c>
      <c r="M1601" s="643">
        <v>13190</v>
      </c>
      <c r="N1601" s="653" t="s">
        <v>706</v>
      </c>
      <c r="O1601" s="683">
        <v>6</v>
      </c>
      <c r="P1601" s="643">
        <v>5580</v>
      </c>
    </row>
    <row r="1602" spans="1:16" s="619" customFormat="1" ht="48" x14ac:dyDescent="0.2">
      <c r="A1602" s="626" t="s">
        <v>4554</v>
      </c>
      <c r="B1602" s="626" t="s">
        <v>1908</v>
      </c>
      <c r="C1602" s="638" t="s">
        <v>104</v>
      </c>
      <c r="D1602" s="626" t="s">
        <v>4694</v>
      </c>
      <c r="E1602" s="636">
        <v>3500</v>
      </c>
      <c r="F1602" s="637">
        <v>46582702</v>
      </c>
      <c r="G1602" s="626" t="s">
        <v>4695</v>
      </c>
      <c r="H1602" s="638" t="s">
        <v>1911</v>
      </c>
      <c r="I1602" s="626" t="s">
        <v>2002</v>
      </c>
      <c r="J1602" s="638" t="s">
        <v>1911</v>
      </c>
      <c r="K1602" s="654" t="s">
        <v>4680</v>
      </c>
      <c r="L1602" s="681">
        <v>5</v>
      </c>
      <c r="M1602" s="643">
        <v>20986</v>
      </c>
      <c r="N1602" s="653" t="s">
        <v>4681</v>
      </c>
      <c r="O1602" s="683"/>
      <c r="P1602" s="643">
        <v>0</v>
      </c>
    </row>
    <row r="1603" spans="1:16" s="619" customFormat="1" ht="48" x14ac:dyDescent="0.2">
      <c r="A1603" s="626" t="s">
        <v>4554</v>
      </c>
      <c r="B1603" s="626" t="s">
        <v>1908</v>
      </c>
      <c r="C1603" s="638" t="s">
        <v>104</v>
      </c>
      <c r="D1603" s="626" t="s">
        <v>4694</v>
      </c>
      <c r="E1603" s="636">
        <v>4000</v>
      </c>
      <c r="F1603" s="637" t="s">
        <v>4696</v>
      </c>
      <c r="G1603" s="626" t="s">
        <v>4697</v>
      </c>
      <c r="H1603" s="638" t="s">
        <v>1911</v>
      </c>
      <c r="I1603" s="626" t="s">
        <v>2002</v>
      </c>
      <c r="J1603" s="638" t="s">
        <v>1911</v>
      </c>
      <c r="K1603" s="654" t="s">
        <v>4698</v>
      </c>
      <c r="L1603" s="681">
        <v>6</v>
      </c>
      <c r="M1603" s="643">
        <v>21596.239999999998</v>
      </c>
      <c r="N1603" s="653" t="s">
        <v>4699</v>
      </c>
      <c r="O1603" s="683">
        <v>6</v>
      </c>
      <c r="P1603" s="643">
        <v>21708.43</v>
      </c>
    </row>
    <row r="1604" spans="1:16" s="619" customFormat="1" ht="36" x14ac:dyDescent="0.2">
      <c r="A1604" s="626" t="s">
        <v>4554</v>
      </c>
      <c r="B1604" s="626" t="s">
        <v>1908</v>
      </c>
      <c r="C1604" s="638" t="s">
        <v>104</v>
      </c>
      <c r="D1604" s="626" t="s">
        <v>4569</v>
      </c>
      <c r="E1604" s="636">
        <v>1000</v>
      </c>
      <c r="F1604" s="637">
        <v>33573503</v>
      </c>
      <c r="G1604" s="626" t="s">
        <v>4700</v>
      </c>
      <c r="H1604" s="638" t="s">
        <v>4572</v>
      </c>
      <c r="I1604" s="626" t="s">
        <v>3551</v>
      </c>
      <c r="J1604" s="638" t="s">
        <v>4572</v>
      </c>
      <c r="K1604" s="654" t="s">
        <v>4701</v>
      </c>
      <c r="L1604" s="681">
        <v>10</v>
      </c>
      <c r="M1604" s="643">
        <v>10733.33</v>
      </c>
      <c r="N1604" s="653" t="s">
        <v>4702</v>
      </c>
      <c r="O1604" s="683">
        <v>1</v>
      </c>
      <c r="P1604" s="643">
        <v>1000</v>
      </c>
    </row>
    <row r="1605" spans="1:16" s="619" customFormat="1" ht="48" x14ac:dyDescent="0.2">
      <c r="A1605" s="626" t="s">
        <v>4554</v>
      </c>
      <c r="B1605" s="626" t="s">
        <v>1908</v>
      </c>
      <c r="C1605" s="638" t="s">
        <v>104</v>
      </c>
      <c r="D1605" s="626" t="s">
        <v>4703</v>
      </c>
      <c r="E1605" s="636">
        <v>3000</v>
      </c>
      <c r="F1605" s="637">
        <v>47141647</v>
      </c>
      <c r="G1605" s="626" t="s">
        <v>4704</v>
      </c>
      <c r="H1605" s="638" t="s">
        <v>1911</v>
      </c>
      <c r="I1605" s="626" t="s">
        <v>2002</v>
      </c>
      <c r="J1605" s="638" t="s">
        <v>1911</v>
      </c>
      <c r="K1605" s="654" t="s">
        <v>4705</v>
      </c>
      <c r="L1605" s="681">
        <v>2</v>
      </c>
      <c r="M1605" s="643">
        <v>4594.62</v>
      </c>
      <c r="N1605" s="653" t="s">
        <v>4706</v>
      </c>
      <c r="O1605" s="683"/>
      <c r="P1605" s="643">
        <v>0</v>
      </c>
    </row>
    <row r="1606" spans="1:16" s="619" customFormat="1" ht="48" x14ac:dyDescent="0.2">
      <c r="A1606" s="626" t="s">
        <v>4554</v>
      </c>
      <c r="B1606" s="626" t="s">
        <v>1908</v>
      </c>
      <c r="C1606" s="638" t="s">
        <v>104</v>
      </c>
      <c r="D1606" s="626" t="s">
        <v>4614</v>
      </c>
      <c r="E1606" s="636">
        <v>2000</v>
      </c>
      <c r="F1606" s="637">
        <v>43239948</v>
      </c>
      <c r="G1606" s="626" t="s">
        <v>4307</v>
      </c>
      <c r="H1606" s="638" t="s">
        <v>2946</v>
      </c>
      <c r="I1606" s="626" t="s">
        <v>4612</v>
      </c>
      <c r="J1606" s="638" t="s">
        <v>4613</v>
      </c>
      <c r="K1606" s="654" t="s">
        <v>4634</v>
      </c>
      <c r="L1606" s="681"/>
      <c r="M1606" s="643">
        <v>0</v>
      </c>
      <c r="N1606" s="653" t="s">
        <v>4634</v>
      </c>
      <c r="O1606" s="683">
        <v>2</v>
      </c>
      <c r="P1606" s="643">
        <v>2930</v>
      </c>
    </row>
    <row r="1607" spans="1:16" s="619" customFormat="1" ht="36" x14ac:dyDescent="0.2">
      <c r="A1607" s="626" t="s">
        <v>4554</v>
      </c>
      <c r="B1607" s="626" t="s">
        <v>1908</v>
      </c>
      <c r="C1607" s="638" t="s">
        <v>104</v>
      </c>
      <c r="D1607" s="626" t="s">
        <v>4596</v>
      </c>
      <c r="E1607" s="636">
        <v>4000</v>
      </c>
      <c r="F1607" s="637">
        <v>26729895</v>
      </c>
      <c r="G1607" s="626" t="s">
        <v>4707</v>
      </c>
      <c r="H1607" s="638" t="s">
        <v>4708</v>
      </c>
      <c r="I1607" s="626" t="s">
        <v>4709</v>
      </c>
      <c r="J1607" s="638" t="s">
        <v>4710</v>
      </c>
      <c r="K1607" s="654" t="s">
        <v>4685</v>
      </c>
      <c r="L1607" s="681">
        <v>12</v>
      </c>
      <c r="M1607" s="643">
        <v>48895.7</v>
      </c>
      <c r="N1607" s="653" t="s">
        <v>4686</v>
      </c>
      <c r="O1607" s="683">
        <v>1</v>
      </c>
      <c r="P1607" s="643">
        <v>932.86</v>
      </c>
    </row>
    <row r="1608" spans="1:16" s="619" customFormat="1" ht="48" x14ac:dyDescent="0.2">
      <c r="A1608" s="626" t="s">
        <v>4554</v>
      </c>
      <c r="B1608" s="626" t="s">
        <v>1908</v>
      </c>
      <c r="C1608" s="638" t="s">
        <v>104</v>
      </c>
      <c r="D1608" s="626" t="s">
        <v>4703</v>
      </c>
      <c r="E1608" s="636">
        <v>3000</v>
      </c>
      <c r="F1608" s="637">
        <v>41787848</v>
      </c>
      <c r="G1608" s="626" t="s">
        <v>2316</v>
      </c>
      <c r="H1608" s="638" t="s">
        <v>1911</v>
      </c>
      <c r="I1608" s="626" t="s">
        <v>2002</v>
      </c>
      <c r="J1608" s="638" t="s">
        <v>1911</v>
      </c>
      <c r="K1608" s="654" t="s">
        <v>4711</v>
      </c>
      <c r="L1608" s="681">
        <v>1</v>
      </c>
      <c r="M1608" s="643">
        <v>3000</v>
      </c>
      <c r="N1608" s="653" t="s">
        <v>4712</v>
      </c>
      <c r="O1608" s="683">
        <v>6</v>
      </c>
      <c r="P1608" s="643">
        <v>17994.190000000002</v>
      </c>
    </row>
    <row r="1609" spans="1:16" s="619" customFormat="1" ht="36" x14ac:dyDescent="0.2">
      <c r="A1609" s="626" t="s">
        <v>4554</v>
      </c>
      <c r="B1609" s="626" t="s">
        <v>1908</v>
      </c>
      <c r="C1609" s="638" t="s">
        <v>104</v>
      </c>
      <c r="D1609" s="626" t="s">
        <v>4713</v>
      </c>
      <c r="E1609" s="636">
        <v>2000</v>
      </c>
      <c r="F1609" s="637">
        <v>73375563</v>
      </c>
      <c r="G1609" s="626" t="s">
        <v>4714</v>
      </c>
      <c r="H1609" s="638" t="s">
        <v>2921</v>
      </c>
      <c r="I1609" s="626" t="s">
        <v>4597</v>
      </c>
      <c r="J1609" s="638" t="s">
        <v>1428</v>
      </c>
      <c r="K1609" s="654" t="s">
        <v>4715</v>
      </c>
      <c r="L1609" s="681">
        <v>5</v>
      </c>
      <c r="M1609" s="643">
        <v>7880</v>
      </c>
      <c r="N1609" s="653" t="s">
        <v>4716</v>
      </c>
      <c r="O1609" s="683">
        <v>1</v>
      </c>
      <c r="P1609" s="643">
        <v>2000</v>
      </c>
    </row>
    <row r="1610" spans="1:16" s="619" customFormat="1" ht="36" x14ac:dyDescent="0.2">
      <c r="A1610" s="626" t="s">
        <v>4554</v>
      </c>
      <c r="B1610" s="626" t="s">
        <v>1908</v>
      </c>
      <c r="C1610" s="638" t="s">
        <v>104</v>
      </c>
      <c r="D1610" s="626" t="s">
        <v>4717</v>
      </c>
      <c r="E1610" s="636">
        <v>4000</v>
      </c>
      <c r="F1610" s="637">
        <v>42497308</v>
      </c>
      <c r="G1610" s="626" t="s">
        <v>4718</v>
      </c>
      <c r="H1610" s="638" t="s">
        <v>3651</v>
      </c>
      <c r="I1610" s="626" t="s">
        <v>4637</v>
      </c>
      <c r="J1610" s="638" t="s">
        <v>4638</v>
      </c>
      <c r="K1610" s="654" t="s">
        <v>4719</v>
      </c>
      <c r="L1610" s="681">
        <v>12</v>
      </c>
      <c r="M1610" s="643">
        <v>48764.55</v>
      </c>
      <c r="N1610" s="653" t="s">
        <v>4720</v>
      </c>
      <c r="O1610" s="683">
        <v>6</v>
      </c>
      <c r="P1610" s="643">
        <v>23891.22</v>
      </c>
    </row>
    <row r="1611" spans="1:16" s="619" customFormat="1" ht="24" x14ac:dyDescent="0.2">
      <c r="A1611" s="626" t="s">
        <v>4554</v>
      </c>
      <c r="B1611" s="626" t="s">
        <v>1908</v>
      </c>
      <c r="C1611" s="638" t="s">
        <v>3556</v>
      </c>
      <c r="D1611" s="626" t="s">
        <v>3583</v>
      </c>
      <c r="E1611" s="636">
        <v>1500</v>
      </c>
      <c r="F1611" s="637">
        <v>42276420</v>
      </c>
      <c r="G1611" s="626" t="s">
        <v>4721</v>
      </c>
      <c r="H1611" s="638" t="s">
        <v>4722</v>
      </c>
      <c r="I1611" s="626" t="s">
        <v>3587</v>
      </c>
      <c r="J1611" s="638" t="s">
        <v>4722</v>
      </c>
      <c r="K1611" s="654" t="s">
        <v>4608</v>
      </c>
      <c r="L1611" s="681">
        <v>12</v>
      </c>
      <c r="M1611" s="643">
        <f>L1611*E1611</f>
        <v>18000</v>
      </c>
      <c r="N1611" s="653" t="s">
        <v>4609</v>
      </c>
      <c r="O1611" s="683">
        <v>6</v>
      </c>
      <c r="P1611" s="643">
        <f>O1611*E1611</f>
        <v>9000</v>
      </c>
    </row>
    <row r="1612" spans="1:16" s="619" customFormat="1" ht="24" x14ac:dyDescent="0.2">
      <c r="A1612" s="626" t="s">
        <v>4554</v>
      </c>
      <c r="B1612" s="626" t="s">
        <v>1908</v>
      </c>
      <c r="C1612" s="638" t="s">
        <v>3556</v>
      </c>
      <c r="D1612" s="626" t="s">
        <v>1416</v>
      </c>
      <c r="E1612" s="636">
        <v>2000</v>
      </c>
      <c r="F1612" s="637">
        <v>47141647</v>
      </c>
      <c r="G1612" s="626" t="s">
        <v>4723</v>
      </c>
      <c r="H1612" s="638" t="s">
        <v>1911</v>
      </c>
      <c r="I1612" s="626" t="s">
        <v>3523</v>
      </c>
      <c r="J1612" s="638" t="s">
        <v>4724</v>
      </c>
      <c r="K1612" s="654" t="s">
        <v>4573</v>
      </c>
      <c r="L1612" s="681">
        <v>12</v>
      </c>
      <c r="M1612" s="643">
        <f t="shared" ref="M1612:M1634" si="10">L1612*E1612</f>
        <v>24000</v>
      </c>
      <c r="N1612" s="653" t="s">
        <v>4574</v>
      </c>
      <c r="O1612" s="683">
        <v>6</v>
      </c>
      <c r="P1612" s="643">
        <f t="shared" ref="P1612:P1615" si="11">O1612*E1612</f>
        <v>12000</v>
      </c>
    </row>
    <row r="1613" spans="1:16" s="619" customFormat="1" ht="24" x14ac:dyDescent="0.2">
      <c r="A1613" s="626" t="s">
        <v>4554</v>
      </c>
      <c r="B1613" s="626" t="s">
        <v>1908</v>
      </c>
      <c r="C1613" s="638" t="s">
        <v>3556</v>
      </c>
      <c r="D1613" s="626" t="s">
        <v>3583</v>
      </c>
      <c r="E1613" s="636">
        <v>1500</v>
      </c>
      <c r="F1613" s="637">
        <v>73463841</v>
      </c>
      <c r="G1613" s="626" t="s">
        <v>4725</v>
      </c>
      <c r="H1613" s="638" t="s">
        <v>1911</v>
      </c>
      <c r="I1613" s="626" t="s">
        <v>3587</v>
      </c>
      <c r="J1613" s="638" t="s">
        <v>4724</v>
      </c>
      <c r="K1613" s="654" t="s">
        <v>4726</v>
      </c>
      <c r="L1613" s="681">
        <v>12</v>
      </c>
      <c r="M1613" s="643">
        <f t="shared" si="10"/>
        <v>18000</v>
      </c>
      <c r="N1613" s="653" t="s">
        <v>4727</v>
      </c>
      <c r="O1613" s="683">
        <v>6</v>
      </c>
      <c r="P1613" s="643">
        <f t="shared" si="11"/>
        <v>9000</v>
      </c>
    </row>
    <row r="1614" spans="1:16" s="619" customFormat="1" ht="36" x14ac:dyDescent="0.2">
      <c r="A1614" s="626" t="s">
        <v>4554</v>
      </c>
      <c r="B1614" s="626" t="s">
        <v>1908</v>
      </c>
      <c r="C1614" s="638" t="s">
        <v>3556</v>
      </c>
      <c r="D1614" s="626" t="s">
        <v>4728</v>
      </c>
      <c r="E1614" s="636">
        <v>1500</v>
      </c>
      <c r="F1614" s="637">
        <v>48335564</v>
      </c>
      <c r="G1614" s="626" t="s">
        <v>4729</v>
      </c>
      <c r="H1614" s="638" t="s">
        <v>4722</v>
      </c>
      <c r="I1614" s="626" t="s">
        <v>3523</v>
      </c>
      <c r="J1614" s="638" t="s">
        <v>4638</v>
      </c>
      <c r="K1614" s="654"/>
      <c r="L1614" s="681"/>
      <c r="M1614" s="643">
        <f t="shared" si="10"/>
        <v>0</v>
      </c>
      <c r="N1614" s="653" t="s">
        <v>4730</v>
      </c>
      <c r="O1614" s="683">
        <v>5</v>
      </c>
      <c r="P1614" s="643">
        <f t="shared" si="11"/>
        <v>7500</v>
      </c>
    </row>
    <row r="1615" spans="1:16" s="619" customFormat="1" ht="24" x14ac:dyDescent="0.2">
      <c r="A1615" s="626" t="s">
        <v>4554</v>
      </c>
      <c r="B1615" s="626" t="s">
        <v>1908</v>
      </c>
      <c r="C1615" s="638" t="s">
        <v>3556</v>
      </c>
      <c r="D1615" s="626" t="s">
        <v>3583</v>
      </c>
      <c r="E1615" s="636">
        <v>1500</v>
      </c>
      <c r="F1615" s="637">
        <v>72644652</v>
      </c>
      <c r="G1615" s="626" t="s">
        <v>4731</v>
      </c>
      <c r="H1615" s="638" t="s">
        <v>4722</v>
      </c>
      <c r="I1615" s="626" t="s">
        <v>3587</v>
      </c>
      <c r="J1615" s="638" t="s">
        <v>4572</v>
      </c>
      <c r="K1615" s="654"/>
      <c r="L1615" s="681"/>
      <c r="M1615" s="643"/>
      <c r="N1615" s="653" t="s">
        <v>4732</v>
      </c>
      <c r="O1615" s="683">
        <v>6</v>
      </c>
      <c r="P1615" s="643">
        <f t="shared" si="11"/>
        <v>9000</v>
      </c>
    </row>
    <row r="1616" spans="1:16" s="619" customFormat="1" ht="36" x14ac:dyDescent="0.2">
      <c r="A1616" s="626" t="s">
        <v>4554</v>
      </c>
      <c r="B1616" s="626" t="s">
        <v>1908</v>
      </c>
      <c r="C1616" s="638" t="s">
        <v>3556</v>
      </c>
      <c r="D1616" s="626" t="s">
        <v>4733</v>
      </c>
      <c r="E1616" s="636">
        <v>1800</v>
      </c>
      <c r="F1616" s="637">
        <v>43594728</v>
      </c>
      <c r="G1616" s="626" t="s">
        <v>4734</v>
      </c>
      <c r="H1616" s="638" t="s">
        <v>4722</v>
      </c>
      <c r="I1616" s="626" t="s">
        <v>3523</v>
      </c>
      <c r="J1616" s="638" t="s">
        <v>4638</v>
      </c>
      <c r="K1616" s="654" t="s">
        <v>4735</v>
      </c>
      <c r="L1616" s="681">
        <v>12</v>
      </c>
      <c r="M1616" s="643">
        <f t="shared" si="10"/>
        <v>21600</v>
      </c>
      <c r="N1616" s="653"/>
      <c r="O1616" s="683"/>
      <c r="P1616" s="643"/>
    </row>
    <row r="1617" spans="1:16" s="619" customFormat="1" ht="36" x14ac:dyDescent="0.2">
      <c r="A1617" s="626" t="s">
        <v>4554</v>
      </c>
      <c r="B1617" s="626" t="s">
        <v>1908</v>
      </c>
      <c r="C1617" s="638" t="s">
        <v>3556</v>
      </c>
      <c r="D1617" s="626" t="s">
        <v>4736</v>
      </c>
      <c r="E1617" s="636">
        <v>2000</v>
      </c>
      <c r="F1617" s="637">
        <v>43594728</v>
      </c>
      <c r="G1617" s="626" t="s">
        <v>4734</v>
      </c>
      <c r="H1617" s="638" t="s">
        <v>4722</v>
      </c>
      <c r="I1617" s="626" t="s">
        <v>3523</v>
      </c>
      <c r="J1617" s="638" t="s">
        <v>4638</v>
      </c>
      <c r="K1617" s="654"/>
      <c r="L1617" s="681"/>
      <c r="M1617" s="643"/>
      <c r="N1617" s="653" t="s">
        <v>4737</v>
      </c>
      <c r="O1617" s="683">
        <v>6</v>
      </c>
      <c r="P1617" s="643">
        <f t="shared" ref="P1617:P1634" si="12">O1617*E1617</f>
        <v>12000</v>
      </c>
    </row>
    <row r="1618" spans="1:16" s="619" customFormat="1" ht="24" x14ac:dyDescent="0.2">
      <c r="A1618" s="626" t="s">
        <v>4554</v>
      </c>
      <c r="B1618" s="626" t="s">
        <v>1908</v>
      </c>
      <c r="C1618" s="638" t="s">
        <v>3556</v>
      </c>
      <c r="D1618" s="626" t="s">
        <v>4738</v>
      </c>
      <c r="E1618" s="636">
        <v>2500</v>
      </c>
      <c r="F1618" s="637">
        <v>71484425</v>
      </c>
      <c r="G1618" s="626" t="s">
        <v>4739</v>
      </c>
      <c r="H1618" s="638" t="s">
        <v>4740</v>
      </c>
      <c r="I1618" s="626" t="s">
        <v>3523</v>
      </c>
      <c r="J1618" s="638" t="s">
        <v>2232</v>
      </c>
      <c r="K1618" s="654" t="s">
        <v>4741</v>
      </c>
      <c r="L1618" s="681">
        <v>7</v>
      </c>
      <c r="M1618" s="643">
        <f t="shared" si="10"/>
        <v>17500</v>
      </c>
      <c r="N1618" s="653"/>
      <c r="O1618" s="683">
        <v>6</v>
      </c>
      <c r="P1618" s="643">
        <f t="shared" si="12"/>
        <v>15000</v>
      </c>
    </row>
    <row r="1619" spans="1:16" s="619" customFormat="1" ht="36" x14ac:dyDescent="0.2">
      <c r="A1619" s="626" t="s">
        <v>4554</v>
      </c>
      <c r="B1619" s="626" t="s">
        <v>1908</v>
      </c>
      <c r="C1619" s="638" t="s">
        <v>3556</v>
      </c>
      <c r="D1619" s="626" t="s">
        <v>4742</v>
      </c>
      <c r="E1619" s="636">
        <v>1200</v>
      </c>
      <c r="F1619" s="637">
        <v>46782395</v>
      </c>
      <c r="G1619" s="626" t="s">
        <v>4743</v>
      </c>
      <c r="H1619" s="638" t="s">
        <v>2921</v>
      </c>
      <c r="I1619" s="626" t="s">
        <v>3587</v>
      </c>
      <c r="J1619" s="638" t="s">
        <v>4744</v>
      </c>
      <c r="K1619" s="654"/>
      <c r="L1619" s="681"/>
      <c r="M1619" s="643"/>
      <c r="N1619" s="653" t="s">
        <v>4745</v>
      </c>
      <c r="O1619" s="683">
        <v>4</v>
      </c>
      <c r="P1619" s="643">
        <f t="shared" si="12"/>
        <v>4800</v>
      </c>
    </row>
    <row r="1620" spans="1:16" s="619" customFormat="1" ht="24" x14ac:dyDescent="0.2">
      <c r="A1620" s="626" t="s">
        <v>4554</v>
      </c>
      <c r="B1620" s="626" t="s">
        <v>1908</v>
      </c>
      <c r="C1620" s="638" t="s">
        <v>3556</v>
      </c>
      <c r="D1620" s="626" t="s">
        <v>4746</v>
      </c>
      <c r="E1620" s="636">
        <v>1000</v>
      </c>
      <c r="F1620" s="637">
        <v>33408434</v>
      </c>
      <c r="G1620" s="626" t="s">
        <v>4747</v>
      </c>
      <c r="H1620" s="638" t="s">
        <v>4572</v>
      </c>
      <c r="I1620" s="626" t="s">
        <v>3551</v>
      </c>
      <c r="J1620" s="638" t="s">
        <v>4572</v>
      </c>
      <c r="K1620" s="654" t="s">
        <v>4577</v>
      </c>
      <c r="L1620" s="681">
        <v>12</v>
      </c>
      <c r="M1620" s="643">
        <f t="shared" si="10"/>
        <v>12000</v>
      </c>
      <c r="N1620" s="653" t="s">
        <v>4748</v>
      </c>
      <c r="O1620" s="683">
        <v>6</v>
      </c>
      <c r="P1620" s="643">
        <f t="shared" si="12"/>
        <v>6000</v>
      </c>
    </row>
    <row r="1621" spans="1:16" s="619" customFormat="1" ht="24" x14ac:dyDescent="0.2">
      <c r="A1621" s="626" t="s">
        <v>4554</v>
      </c>
      <c r="B1621" s="626" t="s">
        <v>1908</v>
      </c>
      <c r="C1621" s="638" t="s">
        <v>3556</v>
      </c>
      <c r="D1621" s="626" t="s">
        <v>4746</v>
      </c>
      <c r="E1621" s="636">
        <v>1000</v>
      </c>
      <c r="F1621" s="637">
        <v>33429637</v>
      </c>
      <c r="G1621" s="626" t="s">
        <v>4749</v>
      </c>
      <c r="H1621" s="638" t="s">
        <v>4572</v>
      </c>
      <c r="I1621" s="626" t="s">
        <v>3551</v>
      </c>
      <c r="J1621" s="638" t="s">
        <v>4572</v>
      </c>
      <c r="K1621" s="654" t="s">
        <v>4750</v>
      </c>
      <c r="L1621" s="681">
        <v>6</v>
      </c>
      <c r="M1621" s="643">
        <f t="shared" si="10"/>
        <v>6000</v>
      </c>
      <c r="N1621" s="653" t="s">
        <v>4751</v>
      </c>
      <c r="O1621" s="683">
        <v>6</v>
      </c>
      <c r="P1621" s="643">
        <f t="shared" si="12"/>
        <v>6000</v>
      </c>
    </row>
    <row r="1622" spans="1:16" s="619" customFormat="1" ht="24" x14ac:dyDescent="0.2">
      <c r="A1622" s="626" t="s">
        <v>4554</v>
      </c>
      <c r="B1622" s="626" t="s">
        <v>1908</v>
      </c>
      <c r="C1622" s="638" t="s">
        <v>3556</v>
      </c>
      <c r="D1622" s="626" t="s">
        <v>4752</v>
      </c>
      <c r="E1622" s="636">
        <v>1000</v>
      </c>
      <c r="F1622" s="637">
        <v>45050387</v>
      </c>
      <c r="G1622" s="626" t="s">
        <v>4753</v>
      </c>
      <c r="H1622" s="638" t="s">
        <v>4572</v>
      </c>
      <c r="I1622" s="626" t="s">
        <v>3551</v>
      </c>
      <c r="J1622" s="638" t="s">
        <v>4572</v>
      </c>
      <c r="K1622" s="654" t="s">
        <v>4754</v>
      </c>
      <c r="L1622" s="681">
        <v>12</v>
      </c>
      <c r="M1622" s="643">
        <f t="shared" si="10"/>
        <v>12000</v>
      </c>
      <c r="N1622" s="653" t="s">
        <v>4578</v>
      </c>
      <c r="O1622" s="683">
        <v>6</v>
      </c>
      <c r="P1622" s="643">
        <f t="shared" si="12"/>
        <v>6000</v>
      </c>
    </row>
    <row r="1623" spans="1:16" s="619" customFormat="1" ht="24" x14ac:dyDescent="0.2">
      <c r="A1623" s="626" t="s">
        <v>4554</v>
      </c>
      <c r="B1623" s="626" t="s">
        <v>1908</v>
      </c>
      <c r="C1623" s="638" t="s">
        <v>3556</v>
      </c>
      <c r="D1623" s="626" t="s">
        <v>4752</v>
      </c>
      <c r="E1623" s="636">
        <v>1000</v>
      </c>
      <c r="F1623" s="637">
        <v>6308064</v>
      </c>
      <c r="G1623" s="626" t="s">
        <v>4755</v>
      </c>
      <c r="H1623" s="638" t="s">
        <v>4572</v>
      </c>
      <c r="I1623" s="626" t="s">
        <v>3551</v>
      </c>
      <c r="J1623" s="638" t="s">
        <v>4572</v>
      </c>
      <c r="K1623" s="654" t="s">
        <v>4650</v>
      </c>
      <c r="L1623" s="681">
        <v>4</v>
      </c>
      <c r="M1623" s="643">
        <f t="shared" si="10"/>
        <v>4000</v>
      </c>
      <c r="N1623" s="653" t="s">
        <v>4756</v>
      </c>
      <c r="O1623" s="683">
        <v>6</v>
      </c>
      <c r="P1623" s="643">
        <f t="shared" si="12"/>
        <v>6000</v>
      </c>
    </row>
    <row r="1624" spans="1:16" s="619" customFormat="1" ht="24" x14ac:dyDescent="0.2">
      <c r="A1624" s="626" t="s">
        <v>4554</v>
      </c>
      <c r="B1624" s="626" t="s">
        <v>1908</v>
      </c>
      <c r="C1624" s="638" t="s">
        <v>3556</v>
      </c>
      <c r="D1624" s="626" t="s">
        <v>4757</v>
      </c>
      <c r="E1624" s="636">
        <v>930</v>
      </c>
      <c r="F1624" s="637">
        <v>33732192</v>
      </c>
      <c r="G1624" s="626" t="s">
        <v>4758</v>
      </c>
      <c r="H1624" s="638" t="s">
        <v>4572</v>
      </c>
      <c r="I1624" s="626" t="s">
        <v>3551</v>
      </c>
      <c r="J1624" s="638" t="s">
        <v>4572</v>
      </c>
      <c r="K1624" s="654" t="s">
        <v>4759</v>
      </c>
      <c r="L1624" s="681">
        <v>12</v>
      </c>
      <c r="M1624" s="643">
        <f t="shared" si="10"/>
        <v>11160</v>
      </c>
      <c r="N1624" s="653" t="s">
        <v>4681</v>
      </c>
      <c r="O1624" s="683">
        <v>6</v>
      </c>
      <c r="P1624" s="643">
        <f t="shared" si="12"/>
        <v>5580</v>
      </c>
    </row>
    <row r="1625" spans="1:16" s="619" customFormat="1" ht="24" x14ac:dyDescent="0.2">
      <c r="A1625" s="626" t="s">
        <v>4554</v>
      </c>
      <c r="B1625" s="626" t="s">
        <v>1908</v>
      </c>
      <c r="C1625" s="638" t="s">
        <v>3556</v>
      </c>
      <c r="D1625" s="626" t="s">
        <v>4760</v>
      </c>
      <c r="E1625" s="636">
        <v>930</v>
      </c>
      <c r="F1625" s="637">
        <v>708059191</v>
      </c>
      <c r="G1625" s="626" t="s">
        <v>4761</v>
      </c>
      <c r="H1625" s="638" t="s">
        <v>4572</v>
      </c>
      <c r="I1625" s="626" t="s">
        <v>3551</v>
      </c>
      <c r="J1625" s="638" t="s">
        <v>4572</v>
      </c>
      <c r="K1625" s="654" t="s">
        <v>4680</v>
      </c>
      <c r="L1625" s="681">
        <v>12</v>
      </c>
      <c r="M1625" s="643">
        <f t="shared" si="10"/>
        <v>11160</v>
      </c>
      <c r="N1625" s="653" t="s">
        <v>4686</v>
      </c>
      <c r="O1625" s="683">
        <v>6</v>
      </c>
      <c r="P1625" s="643">
        <f t="shared" si="12"/>
        <v>5580</v>
      </c>
    </row>
    <row r="1626" spans="1:16" s="619" customFormat="1" ht="36" x14ac:dyDescent="0.2">
      <c r="A1626" s="626" t="s">
        <v>4554</v>
      </c>
      <c r="B1626" s="626" t="s">
        <v>1908</v>
      </c>
      <c r="C1626" s="638" t="s">
        <v>3556</v>
      </c>
      <c r="D1626" s="626" t="s">
        <v>4762</v>
      </c>
      <c r="E1626" s="636">
        <v>1500</v>
      </c>
      <c r="F1626" s="637">
        <v>42142177</v>
      </c>
      <c r="G1626" s="626" t="s">
        <v>4763</v>
      </c>
      <c r="H1626" s="638" t="s">
        <v>4764</v>
      </c>
      <c r="I1626" s="626" t="s">
        <v>3587</v>
      </c>
      <c r="J1626" s="638" t="s">
        <v>4765</v>
      </c>
      <c r="K1626" s="654" t="s">
        <v>4685</v>
      </c>
      <c r="L1626" s="681">
        <v>12</v>
      </c>
      <c r="M1626" s="643">
        <f t="shared" si="10"/>
        <v>18000</v>
      </c>
      <c r="N1626" s="653" t="s">
        <v>4720</v>
      </c>
      <c r="O1626" s="683">
        <v>6</v>
      </c>
      <c r="P1626" s="643">
        <f t="shared" si="12"/>
        <v>9000</v>
      </c>
    </row>
    <row r="1627" spans="1:16" s="619" customFormat="1" ht="24" x14ac:dyDescent="0.2">
      <c r="A1627" s="626" t="s">
        <v>4554</v>
      </c>
      <c r="B1627" s="626" t="s">
        <v>1908</v>
      </c>
      <c r="C1627" s="638" t="s">
        <v>3556</v>
      </c>
      <c r="D1627" s="626" t="s">
        <v>3583</v>
      </c>
      <c r="E1627" s="636">
        <v>930</v>
      </c>
      <c r="F1627" s="637">
        <v>75513377</v>
      </c>
      <c r="G1627" s="626" t="s">
        <v>4766</v>
      </c>
      <c r="H1627" s="638" t="s">
        <v>1931</v>
      </c>
      <c r="I1627" s="626" t="s">
        <v>4767</v>
      </c>
      <c r="J1627" s="638" t="s">
        <v>1931</v>
      </c>
      <c r="K1627" s="654" t="s">
        <v>4719</v>
      </c>
      <c r="L1627" s="681">
        <v>12</v>
      </c>
      <c r="M1627" s="643">
        <f t="shared" si="10"/>
        <v>11160</v>
      </c>
      <c r="N1627" s="653" t="s">
        <v>4768</v>
      </c>
      <c r="O1627" s="683">
        <v>6</v>
      </c>
      <c r="P1627" s="643">
        <f t="shared" si="12"/>
        <v>5580</v>
      </c>
    </row>
    <row r="1628" spans="1:16" s="619" customFormat="1" ht="24" x14ac:dyDescent="0.2">
      <c r="A1628" s="626" t="s">
        <v>4554</v>
      </c>
      <c r="B1628" s="626" t="s">
        <v>1908</v>
      </c>
      <c r="C1628" s="638" t="s">
        <v>3556</v>
      </c>
      <c r="D1628" s="626" t="s">
        <v>1996</v>
      </c>
      <c r="E1628" s="636">
        <v>1300</v>
      </c>
      <c r="F1628" s="637">
        <v>33573503</v>
      </c>
      <c r="G1628" s="626" t="s">
        <v>4769</v>
      </c>
      <c r="H1628" s="638" t="s">
        <v>4572</v>
      </c>
      <c r="I1628" s="626" t="s">
        <v>3551</v>
      </c>
      <c r="J1628" s="638" t="s">
        <v>4572</v>
      </c>
      <c r="K1628" s="654" t="s">
        <v>4678</v>
      </c>
      <c r="L1628" s="681">
        <v>12</v>
      </c>
      <c r="M1628" s="643">
        <f t="shared" si="10"/>
        <v>15600</v>
      </c>
      <c r="N1628" s="653" t="s">
        <v>4770</v>
      </c>
      <c r="O1628" s="683">
        <v>6</v>
      </c>
      <c r="P1628" s="643">
        <f t="shared" si="12"/>
        <v>7800</v>
      </c>
    </row>
    <row r="1629" spans="1:16" s="619" customFormat="1" ht="24" x14ac:dyDescent="0.2">
      <c r="A1629" s="626" t="s">
        <v>4554</v>
      </c>
      <c r="B1629" s="626" t="s">
        <v>1908</v>
      </c>
      <c r="C1629" s="638" t="s">
        <v>3556</v>
      </c>
      <c r="D1629" s="626" t="s">
        <v>3548</v>
      </c>
      <c r="E1629" s="636">
        <v>930</v>
      </c>
      <c r="F1629" s="637">
        <v>33952041</v>
      </c>
      <c r="G1629" s="626" t="s">
        <v>4771</v>
      </c>
      <c r="H1629" s="638" t="s">
        <v>4572</v>
      </c>
      <c r="I1629" s="626" t="s">
        <v>3551</v>
      </c>
      <c r="J1629" s="638" t="s">
        <v>4572</v>
      </c>
      <c r="K1629" s="654" t="s">
        <v>4633</v>
      </c>
      <c r="L1629" s="681">
        <v>12</v>
      </c>
      <c r="M1629" s="643">
        <f t="shared" si="10"/>
        <v>11160</v>
      </c>
      <c r="N1629" s="653" t="s">
        <v>4772</v>
      </c>
      <c r="O1629" s="683">
        <v>6</v>
      </c>
      <c r="P1629" s="643">
        <f t="shared" si="12"/>
        <v>5580</v>
      </c>
    </row>
    <row r="1630" spans="1:16" s="619" customFormat="1" ht="24" x14ac:dyDescent="0.2">
      <c r="A1630" s="626" t="s">
        <v>4554</v>
      </c>
      <c r="B1630" s="626" t="s">
        <v>1908</v>
      </c>
      <c r="C1630" s="638" t="s">
        <v>3556</v>
      </c>
      <c r="D1630" s="626" t="s">
        <v>3545</v>
      </c>
      <c r="E1630" s="636">
        <v>1500</v>
      </c>
      <c r="F1630" s="637">
        <v>43437920</v>
      </c>
      <c r="G1630" s="626" t="s">
        <v>4773</v>
      </c>
      <c r="H1630" s="638" t="s">
        <v>3587</v>
      </c>
      <c r="I1630" s="626" t="s">
        <v>3587</v>
      </c>
      <c r="J1630" s="638" t="s">
        <v>4253</v>
      </c>
      <c r="K1630" s="654" t="s">
        <v>4563</v>
      </c>
      <c r="L1630" s="681">
        <v>12</v>
      </c>
      <c r="M1630" s="643">
        <f t="shared" si="10"/>
        <v>18000</v>
      </c>
      <c r="N1630" s="653" t="s">
        <v>4774</v>
      </c>
      <c r="O1630" s="683">
        <v>6</v>
      </c>
      <c r="P1630" s="643">
        <f t="shared" si="12"/>
        <v>9000</v>
      </c>
    </row>
    <row r="1631" spans="1:16" s="619" customFormat="1" ht="24" x14ac:dyDescent="0.2">
      <c r="A1631" s="626" t="s">
        <v>4554</v>
      </c>
      <c r="B1631" s="626" t="s">
        <v>1908</v>
      </c>
      <c r="C1631" s="638" t="s">
        <v>3556</v>
      </c>
      <c r="D1631" s="626" t="s">
        <v>4775</v>
      </c>
      <c r="E1631" s="636">
        <v>1800</v>
      </c>
      <c r="F1631" s="637">
        <v>43815658</v>
      </c>
      <c r="G1631" s="626" t="s">
        <v>4776</v>
      </c>
      <c r="H1631" s="638" t="s">
        <v>2921</v>
      </c>
      <c r="I1631" s="626" t="s">
        <v>3587</v>
      </c>
      <c r="J1631" s="638" t="s">
        <v>4777</v>
      </c>
      <c r="K1631" s="654"/>
      <c r="L1631" s="681"/>
      <c r="M1631" s="643"/>
      <c r="N1631" s="653" t="s">
        <v>4778</v>
      </c>
      <c r="O1631" s="683">
        <v>6</v>
      </c>
      <c r="P1631" s="643">
        <f t="shared" si="12"/>
        <v>10800</v>
      </c>
    </row>
    <row r="1632" spans="1:16" s="619" customFormat="1" ht="24" x14ac:dyDescent="0.2">
      <c r="A1632" s="626" t="s">
        <v>4554</v>
      </c>
      <c r="B1632" s="626" t="s">
        <v>1908</v>
      </c>
      <c r="C1632" s="638" t="s">
        <v>3556</v>
      </c>
      <c r="D1632" s="626" t="s">
        <v>4779</v>
      </c>
      <c r="E1632" s="636">
        <v>2000</v>
      </c>
      <c r="F1632" s="637">
        <v>42443157</v>
      </c>
      <c r="G1632" s="626" t="s">
        <v>4780</v>
      </c>
      <c r="H1632" s="638" t="s">
        <v>2921</v>
      </c>
      <c r="I1632" s="626" t="s">
        <v>3523</v>
      </c>
      <c r="J1632" s="638" t="s">
        <v>4781</v>
      </c>
      <c r="K1632" s="654" t="s">
        <v>4701</v>
      </c>
      <c r="L1632" s="681">
        <v>12</v>
      </c>
      <c r="M1632" s="643">
        <f t="shared" si="10"/>
        <v>24000</v>
      </c>
      <c r="N1632" s="639">
        <v>2021</v>
      </c>
      <c r="O1632" s="683">
        <v>6</v>
      </c>
      <c r="P1632" s="643">
        <f t="shared" si="12"/>
        <v>12000</v>
      </c>
    </row>
    <row r="1633" spans="1:16" s="619" customFormat="1" ht="36" x14ac:dyDescent="0.2">
      <c r="A1633" s="626" t="s">
        <v>4554</v>
      </c>
      <c r="B1633" s="626" t="s">
        <v>1908</v>
      </c>
      <c r="C1633" s="638" t="s">
        <v>3556</v>
      </c>
      <c r="D1633" s="626" t="s">
        <v>4782</v>
      </c>
      <c r="E1633" s="636">
        <v>1450</v>
      </c>
      <c r="F1633" s="637">
        <v>47735707</v>
      </c>
      <c r="G1633" s="626" t="s">
        <v>4783</v>
      </c>
      <c r="H1633" s="638" t="s">
        <v>4722</v>
      </c>
      <c r="I1633" s="626" t="s">
        <v>1931</v>
      </c>
      <c r="J1633" s="638" t="s">
        <v>4784</v>
      </c>
      <c r="K1633" s="654"/>
      <c r="L1633" s="681"/>
      <c r="M1633" s="643">
        <f t="shared" si="10"/>
        <v>0</v>
      </c>
      <c r="N1633" s="653" t="s">
        <v>4634</v>
      </c>
      <c r="O1633" s="683">
        <v>6</v>
      </c>
      <c r="P1633" s="643">
        <f t="shared" si="12"/>
        <v>8700</v>
      </c>
    </row>
    <row r="1634" spans="1:16" s="619" customFormat="1" ht="24.75" thickBot="1" x14ac:dyDescent="0.25">
      <c r="A1634" s="626" t="s">
        <v>4554</v>
      </c>
      <c r="B1634" s="626" t="s">
        <v>1908</v>
      </c>
      <c r="C1634" s="638" t="s">
        <v>3556</v>
      </c>
      <c r="D1634" s="626" t="s">
        <v>4785</v>
      </c>
      <c r="E1634" s="636">
        <v>2000</v>
      </c>
      <c r="F1634" s="637">
        <v>45082782</v>
      </c>
      <c r="G1634" s="626" t="s">
        <v>4786</v>
      </c>
      <c r="H1634" s="638" t="s">
        <v>2921</v>
      </c>
      <c r="I1634" s="626" t="s">
        <v>3523</v>
      </c>
      <c r="J1634" s="638" t="s">
        <v>4787</v>
      </c>
      <c r="K1634" s="654" t="s">
        <v>4788</v>
      </c>
      <c r="L1634" s="681">
        <v>12</v>
      </c>
      <c r="M1634" s="643">
        <f t="shared" si="10"/>
        <v>24000</v>
      </c>
      <c r="N1634" s="653" t="s">
        <v>4598</v>
      </c>
      <c r="O1634" s="683">
        <v>6</v>
      </c>
      <c r="P1634" s="643">
        <f t="shared" si="12"/>
        <v>12000</v>
      </c>
    </row>
    <row r="1635" spans="1:16" s="619" customFormat="1" ht="13.5" customHeight="1" thickBot="1" x14ac:dyDescent="0.25">
      <c r="A1635" s="1149" t="s">
        <v>1803</v>
      </c>
      <c r="B1635" s="1150"/>
      <c r="C1635" s="1150"/>
      <c r="D1635" s="1151"/>
      <c r="E1635" s="610">
        <f>SUM(E1564:E1634)</f>
        <v>134840</v>
      </c>
      <c r="F1635" s="623"/>
      <c r="G1635" s="109"/>
      <c r="H1635" s="109"/>
      <c r="I1635" s="109"/>
      <c r="J1635" s="109"/>
      <c r="K1635" s="623"/>
      <c r="L1635" s="109"/>
      <c r="M1635" s="610">
        <f>SUM(M1564:M1634)</f>
        <v>996871.13000000012</v>
      </c>
      <c r="N1635" s="623"/>
      <c r="O1635" s="623"/>
      <c r="P1635" s="610">
        <f>SUM(P1564:P1634)</f>
        <v>604412.46</v>
      </c>
    </row>
    <row r="1636" spans="1:16" s="619" customFormat="1" ht="48" x14ac:dyDescent="0.2">
      <c r="A1636" s="630" t="s">
        <v>4789</v>
      </c>
      <c r="B1636" s="626" t="s">
        <v>1908</v>
      </c>
      <c r="C1636" s="638" t="s">
        <v>104</v>
      </c>
      <c r="D1636" s="626" t="s">
        <v>4790</v>
      </c>
      <c r="E1636" s="636">
        <v>2196</v>
      </c>
      <c r="F1636" s="637">
        <v>45174323</v>
      </c>
      <c r="G1636" s="626" t="s">
        <v>4791</v>
      </c>
      <c r="H1636" s="638" t="s">
        <v>2946</v>
      </c>
      <c r="I1636" s="626" t="s">
        <v>1965</v>
      </c>
      <c r="J1636" s="638" t="s">
        <v>1965</v>
      </c>
      <c r="K1636" s="654" t="s">
        <v>4792</v>
      </c>
      <c r="L1636" s="681" t="s">
        <v>4793</v>
      </c>
      <c r="M1636" s="684">
        <v>2196</v>
      </c>
      <c r="N1636" s="633"/>
      <c r="O1636" s="685"/>
      <c r="P1636" s="643"/>
    </row>
    <row r="1637" spans="1:16" s="619" customFormat="1" ht="48" x14ac:dyDescent="0.2">
      <c r="A1637" s="626" t="s">
        <v>4789</v>
      </c>
      <c r="B1637" s="626" t="s">
        <v>1908</v>
      </c>
      <c r="C1637" s="638" t="s">
        <v>104</v>
      </c>
      <c r="D1637" s="626" t="s">
        <v>4794</v>
      </c>
      <c r="E1637" s="636">
        <v>2500</v>
      </c>
      <c r="F1637" s="637">
        <v>45174324</v>
      </c>
      <c r="G1637" s="626" t="s">
        <v>4791</v>
      </c>
      <c r="H1637" s="638" t="s">
        <v>2946</v>
      </c>
      <c r="I1637" s="626" t="s">
        <v>1965</v>
      </c>
      <c r="J1637" s="638" t="s">
        <v>1965</v>
      </c>
      <c r="K1637" s="654" t="s">
        <v>4795</v>
      </c>
      <c r="L1637" s="681" t="s">
        <v>4796</v>
      </c>
      <c r="M1637" s="684">
        <v>25000</v>
      </c>
      <c r="N1637" s="654"/>
      <c r="O1637" s="685"/>
      <c r="P1637" s="643"/>
    </row>
    <row r="1638" spans="1:16" s="619" customFormat="1" ht="48" x14ac:dyDescent="0.2">
      <c r="A1638" s="626" t="s">
        <v>4789</v>
      </c>
      <c r="B1638" s="626" t="s">
        <v>1908</v>
      </c>
      <c r="C1638" s="638" t="s">
        <v>104</v>
      </c>
      <c r="D1638" s="626" t="s">
        <v>4794</v>
      </c>
      <c r="E1638" s="636">
        <v>2500</v>
      </c>
      <c r="F1638" s="637">
        <v>45174324</v>
      </c>
      <c r="G1638" s="626" t="s">
        <v>4791</v>
      </c>
      <c r="H1638" s="638" t="s">
        <v>2946</v>
      </c>
      <c r="I1638" s="626" t="s">
        <v>1965</v>
      </c>
      <c r="J1638" s="638" t="s">
        <v>1965</v>
      </c>
      <c r="K1638" s="654"/>
      <c r="L1638" s="681"/>
      <c r="M1638" s="684"/>
      <c r="N1638" s="654" t="s">
        <v>4797</v>
      </c>
      <c r="O1638" s="685" t="s">
        <v>4798</v>
      </c>
      <c r="P1638" s="643">
        <v>17500</v>
      </c>
    </row>
    <row r="1639" spans="1:16" s="619" customFormat="1" ht="48" x14ac:dyDescent="0.2">
      <c r="A1639" s="626" t="s">
        <v>4789</v>
      </c>
      <c r="B1639" s="626" t="s">
        <v>1908</v>
      </c>
      <c r="C1639" s="638" t="s">
        <v>104</v>
      </c>
      <c r="D1639" s="626" t="s">
        <v>4799</v>
      </c>
      <c r="E1639" s="636">
        <v>2500</v>
      </c>
      <c r="F1639" s="637">
        <v>73599121</v>
      </c>
      <c r="G1639" s="626" t="s">
        <v>4800</v>
      </c>
      <c r="H1639" s="638" t="s">
        <v>1911</v>
      </c>
      <c r="I1639" s="626" t="s">
        <v>1911</v>
      </c>
      <c r="J1639" s="638" t="s">
        <v>1911</v>
      </c>
      <c r="K1639" s="654"/>
      <c r="L1639" s="681">
        <v>43566</v>
      </c>
      <c r="M1639" s="684">
        <v>22000</v>
      </c>
      <c r="N1639" s="654"/>
      <c r="O1639" s="685"/>
      <c r="P1639" s="643">
        <v>15000</v>
      </c>
    </row>
    <row r="1640" spans="1:16" s="619" customFormat="1" ht="36" x14ac:dyDescent="0.2">
      <c r="A1640" s="626" t="s">
        <v>4789</v>
      </c>
      <c r="B1640" s="626" t="s">
        <v>1908</v>
      </c>
      <c r="C1640" s="638" t="s">
        <v>104</v>
      </c>
      <c r="D1640" s="626" t="s">
        <v>4801</v>
      </c>
      <c r="E1640" s="636">
        <v>7000</v>
      </c>
      <c r="F1640" s="637" t="s">
        <v>4802</v>
      </c>
      <c r="G1640" s="626" t="s">
        <v>4803</v>
      </c>
      <c r="H1640" s="638" t="s">
        <v>2921</v>
      </c>
      <c r="I1640" s="626" t="s">
        <v>2921</v>
      </c>
      <c r="J1640" s="638" t="s">
        <v>2921</v>
      </c>
      <c r="K1640" s="654"/>
      <c r="L1640" s="681">
        <v>43735</v>
      </c>
      <c r="M1640" s="684">
        <v>21000</v>
      </c>
      <c r="N1640" s="654"/>
      <c r="O1640" s="685"/>
      <c r="P1640" s="643">
        <v>84000</v>
      </c>
    </row>
    <row r="1641" spans="1:16" s="619" customFormat="1" ht="24" x14ac:dyDescent="0.2">
      <c r="A1641" s="626" t="s">
        <v>4789</v>
      </c>
      <c r="B1641" s="626" t="s">
        <v>1908</v>
      </c>
      <c r="C1641" s="638" t="s">
        <v>104</v>
      </c>
      <c r="D1641" s="626" t="s">
        <v>4804</v>
      </c>
      <c r="E1641" s="636">
        <v>5000</v>
      </c>
      <c r="F1641" s="637" t="s">
        <v>4805</v>
      </c>
      <c r="G1641" s="626" t="s">
        <v>4806</v>
      </c>
      <c r="H1641" s="638" t="s">
        <v>2921</v>
      </c>
      <c r="I1641" s="626" t="s">
        <v>2921</v>
      </c>
      <c r="J1641" s="638" t="s">
        <v>2921</v>
      </c>
      <c r="K1641" s="654" t="s">
        <v>661</v>
      </c>
      <c r="L1641" s="681" t="s">
        <v>4807</v>
      </c>
      <c r="M1641" s="684">
        <v>30000</v>
      </c>
      <c r="N1641" s="654"/>
      <c r="O1641" s="685"/>
      <c r="P1641" s="643">
        <v>30000</v>
      </c>
    </row>
    <row r="1642" spans="1:16" s="619" customFormat="1" ht="24" x14ac:dyDescent="0.2">
      <c r="A1642" s="626" t="s">
        <v>4789</v>
      </c>
      <c r="B1642" s="626" t="s">
        <v>1908</v>
      </c>
      <c r="C1642" s="638" t="s">
        <v>104</v>
      </c>
      <c r="D1642" s="626" t="s">
        <v>4808</v>
      </c>
      <c r="E1642" s="636">
        <v>5000</v>
      </c>
      <c r="F1642" s="637" t="s">
        <v>4809</v>
      </c>
      <c r="G1642" s="626" t="s">
        <v>4810</v>
      </c>
      <c r="H1642" s="638" t="s">
        <v>1911</v>
      </c>
      <c r="I1642" s="626" t="s">
        <v>1911</v>
      </c>
      <c r="J1642" s="638" t="s">
        <v>1911</v>
      </c>
      <c r="K1642" s="654"/>
      <c r="L1642" s="681" t="s">
        <v>4811</v>
      </c>
      <c r="M1642" s="684">
        <v>35000</v>
      </c>
      <c r="N1642" s="654"/>
      <c r="O1642" s="685"/>
      <c r="P1642" s="643">
        <v>30000</v>
      </c>
    </row>
    <row r="1643" spans="1:16" s="619" customFormat="1" ht="36" x14ac:dyDescent="0.2">
      <c r="A1643" s="626" t="s">
        <v>4789</v>
      </c>
      <c r="B1643" s="626" t="s">
        <v>1908</v>
      </c>
      <c r="C1643" s="638" t="s">
        <v>104</v>
      </c>
      <c r="D1643" s="626" t="s">
        <v>4812</v>
      </c>
      <c r="E1643" s="636">
        <v>5000</v>
      </c>
      <c r="F1643" s="637" t="s">
        <v>4813</v>
      </c>
      <c r="G1643" s="626" t="s">
        <v>4814</v>
      </c>
      <c r="H1643" s="638" t="s">
        <v>1911</v>
      </c>
      <c r="I1643" s="626" t="s">
        <v>1911</v>
      </c>
      <c r="J1643" s="638" t="s">
        <v>1911</v>
      </c>
      <c r="K1643" s="654" t="s">
        <v>4815</v>
      </c>
      <c r="L1643" s="681" t="s">
        <v>4816</v>
      </c>
      <c r="M1643" s="684">
        <v>10000</v>
      </c>
      <c r="N1643" s="654"/>
      <c r="O1643" s="685"/>
      <c r="P1643" s="643">
        <v>30000</v>
      </c>
    </row>
    <row r="1644" spans="1:16" s="619" customFormat="1" ht="48" x14ac:dyDescent="0.2">
      <c r="A1644" s="626" t="s">
        <v>4789</v>
      </c>
      <c r="B1644" s="626" t="s">
        <v>1908</v>
      </c>
      <c r="C1644" s="638" t="s">
        <v>104</v>
      </c>
      <c r="D1644" s="626" t="s">
        <v>4817</v>
      </c>
      <c r="E1644" s="636">
        <v>1500</v>
      </c>
      <c r="F1644" s="637" t="s">
        <v>4818</v>
      </c>
      <c r="G1644" s="626" t="s">
        <v>4819</v>
      </c>
      <c r="H1644" s="638" t="s">
        <v>4820</v>
      </c>
      <c r="I1644" s="626" t="s">
        <v>4820</v>
      </c>
      <c r="J1644" s="638" t="s">
        <v>4820</v>
      </c>
      <c r="K1644" s="654"/>
      <c r="L1644" s="681"/>
      <c r="M1644" s="684"/>
      <c r="N1644" s="654" t="s">
        <v>4821</v>
      </c>
      <c r="O1644" s="685"/>
      <c r="P1644" s="643">
        <v>9000</v>
      </c>
    </row>
    <row r="1645" spans="1:16" s="619" customFormat="1" ht="48" x14ac:dyDescent="0.2">
      <c r="A1645" s="626" t="s">
        <v>4789</v>
      </c>
      <c r="B1645" s="626" t="s">
        <v>1908</v>
      </c>
      <c r="C1645" s="638" t="s">
        <v>104</v>
      </c>
      <c r="D1645" s="626" t="s">
        <v>4822</v>
      </c>
      <c r="E1645" s="636">
        <v>2200</v>
      </c>
      <c r="F1645" s="637">
        <v>42332399</v>
      </c>
      <c r="G1645" s="626" t="s">
        <v>4823</v>
      </c>
      <c r="H1645" s="638" t="s">
        <v>4824</v>
      </c>
      <c r="I1645" s="626" t="s">
        <v>4824</v>
      </c>
      <c r="J1645" s="638" t="s">
        <v>4824</v>
      </c>
      <c r="K1645" s="654" t="s">
        <v>656</v>
      </c>
      <c r="L1645" s="681" t="s">
        <v>4825</v>
      </c>
      <c r="M1645" s="684">
        <v>2200</v>
      </c>
      <c r="N1645" s="654"/>
      <c r="O1645" s="685"/>
      <c r="P1645" s="643"/>
    </row>
    <row r="1646" spans="1:16" s="619" customFormat="1" ht="48" x14ac:dyDescent="0.2">
      <c r="A1646" s="626" t="s">
        <v>4789</v>
      </c>
      <c r="B1646" s="626" t="s">
        <v>1908</v>
      </c>
      <c r="C1646" s="638" t="s">
        <v>104</v>
      </c>
      <c r="D1646" s="626" t="s">
        <v>4826</v>
      </c>
      <c r="E1646" s="636">
        <v>5000</v>
      </c>
      <c r="F1646" s="637">
        <v>42332400</v>
      </c>
      <c r="G1646" s="626" t="s">
        <v>4823</v>
      </c>
      <c r="H1646" s="638" t="s">
        <v>4824</v>
      </c>
      <c r="I1646" s="626" t="s">
        <v>4824</v>
      </c>
      <c r="J1646" s="638" t="s">
        <v>4824</v>
      </c>
      <c r="K1646" s="654"/>
      <c r="L1646" s="681"/>
      <c r="M1646" s="684"/>
      <c r="N1646" s="654" t="s">
        <v>4827</v>
      </c>
      <c r="O1646" s="685" t="s">
        <v>4828</v>
      </c>
      <c r="P1646" s="643">
        <v>5000</v>
      </c>
    </row>
    <row r="1647" spans="1:16" s="619" customFormat="1" ht="36" x14ac:dyDescent="0.2">
      <c r="A1647" s="626" t="s">
        <v>4789</v>
      </c>
      <c r="B1647" s="626" t="s">
        <v>1908</v>
      </c>
      <c r="C1647" s="638" t="s">
        <v>104</v>
      </c>
      <c r="D1647" s="626" t="s">
        <v>4829</v>
      </c>
      <c r="E1647" s="636">
        <v>5000</v>
      </c>
      <c r="F1647" s="637">
        <v>16762850</v>
      </c>
      <c r="G1647" s="626" t="s">
        <v>4830</v>
      </c>
      <c r="H1647" s="638" t="s">
        <v>2946</v>
      </c>
      <c r="I1647" s="626" t="s">
        <v>1965</v>
      </c>
      <c r="J1647" s="638" t="s">
        <v>1965</v>
      </c>
      <c r="K1647" s="654" t="s">
        <v>4831</v>
      </c>
      <c r="L1647" s="681" t="s">
        <v>4832</v>
      </c>
      <c r="M1647" s="684">
        <v>5000</v>
      </c>
      <c r="N1647" s="654"/>
      <c r="O1647" s="685"/>
      <c r="P1647" s="643"/>
    </row>
    <row r="1648" spans="1:16" s="619" customFormat="1" ht="36" x14ac:dyDescent="0.2">
      <c r="A1648" s="626" t="s">
        <v>4789</v>
      </c>
      <c r="B1648" s="626" t="s">
        <v>1908</v>
      </c>
      <c r="C1648" s="638" t="s">
        <v>104</v>
      </c>
      <c r="D1648" s="626" t="s">
        <v>4833</v>
      </c>
      <c r="E1648" s="636">
        <v>5000</v>
      </c>
      <c r="F1648" s="637">
        <v>45901329</v>
      </c>
      <c r="G1648" s="626" t="s">
        <v>4834</v>
      </c>
      <c r="H1648" s="638" t="s">
        <v>1925</v>
      </c>
      <c r="I1648" s="626" t="s">
        <v>1925</v>
      </c>
      <c r="J1648" s="638" t="s">
        <v>1925</v>
      </c>
      <c r="K1648" s="654" t="s">
        <v>4835</v>
      </c>
      <c r="L1648" s="681" t="s">
        <v>4832</v>
      </c>
      <c r="M1648" s="684">
        <v>5000</v>
      </c>
      <c r="N1648" s="654"/>
      <c r="O1648" s="685"/>
      <c r="P1648" s="643"/>
    </row>
    <row r="1649" spans="1:16" s="619" customFormat="1" ht="36" x14ac:dyDescent="0.2">
      <c r="A1649" s="626" t="s">
        <v>4789</v>
      </c>
      <c r="B1649" s="626" t="s">
        <v>1908</v>
      </c>
      <c r="C1649" s="638" t="s">
        <v>104</v>
      </c>
      <c r="D1649" s="626" t="s">
        <v>4836</v>
      </c>
      <c r="E1649" s="636">
        <v>5000</v>
      </c>
      <c r="F1649" s="637">
        <v>44668537</v>
      </c>
      <c r="G1649" s="626" t="s">
        <v>4837</v>
      </c>
      <c r="H1649" s="638" t="s">
        <v>4838</v>
      </c>
      <c r="I1649" s="626" t="s">
        <v>4838</v>
      </c>
      <c r="J1649" s="638" t="s">
        <v>4838</v>
      </c>
      <c r="K1649" s="654"/>
      <c r="L1649" s="681" t="s">
        <v>4839</v>
      </c>
      <c r="M1649" s="684">
        <v>45000</v>
      </c>
      <c r="N1649" s="654"/>
      <c r="O1649" s="685"/>
      <c r="P1649" s="643">
        <v>30000</v>
      </c>
    </row>
    <row r="1650" spans="1:16" s="619" customFormat="1" ht="36" x14ac:dyDescent="0.2">
      <c r="A1650" s="626" t="s">
        <v>4789</v>
      </c>
      <c r="B1650" s="626" t="s">
        <v>1908</v>
      </c>
      <c r="C1650" s="638" t="s">
        <v>104</v>
      </c>
      <c r="D1650" s="626" t="s">
        <v>4840</v>
      </c>
      <c r="E1650" s="636">
        <v>5000</v>
      </c>
      <c r="F1650" s="637">
        <v>46591590</v>
      </c>
      <c r="G1650" s="626" t="s">
        <v>4841</v>
      </c>
      <c r="H1650" s="638" t="s">
        <v>4842</v>
      </c>
      <c r="I1650" s="626" t="s">
        <v>4842</v>
      </c>
      <c r="J1650" s="638" t="s">
        <v>4842</v>
      </c>
      <c r="K1650" s="654"/>
      <c r="L1650" s="681"/>
      <c r="M1650" s="684"/>
      <c r="N1650" s="654"/>
      <c r="O1650" s="685"/>
      <c r="P1650" s="643"/>
    </row>
    <row r="1651" spans="1:16" s="619" customFormat="1" ht="36" x14ac:dyDescent="0.2">
      <c r="A1651" s="626" t="s">
        <v>4789</v>
      </c>
      <c r="B1651" s="626" t="s">
        <v>2275</v>
      </c>
      <c r="C1651" s="638" t="s">
        <v>108</v>
      </c>
      <c r="D1651" s="626" t="s">
        <v>4843</v>
      </c>
      <c r="E1651" s="636">
        <v>1200</v>
      </c>
      <c r="F1651" s="637"/>
      <c r="G1651" s="626" t="s">
        <v>4844</v>
      </c>
      <c r="H1651" s="638"/>
      <c r="I1651" s="626"/>
      <c r="J1651" s="638"/>
      <c r="K1651" s="645">
        <v>1</v>
      </c>
      <c r="L1651" s="681" t="s">
        <v>25</v>
      </c>
      <c r="M1651" s="684">
        <v>1200</v>
      </c>
      <c r="N1651" s="654"/>
      <c r="O1651" s="685"/>
      <c r="P1651" s="643"/>
    </row>
    <row r="1652" spans="1:16" s="619" customFormat="1" ht="36" x14ac:dyDescent="0.2">
      <c r="A1652" s="626" t="s">
        <v>4789</v>
      </c>
      <c r="B1652" s="626" t="s">
        <v>2275</v>
      </c>
      <c r="C1652" s="638" t="s">
        <v>108</v>
      </c>
      <c r="D1652" s="626" t="s">
        <v>1949</v>
      </c>
      <c r="E1652" s="636">
        <v>1500</v>
      </c>
      <c r="F1652" s="637"/>
      <c r="G1652" s="626" t="s">
        <v>4845</v>
      </c>
      <c r="H1652" s="638"/>
      <c r="I1652" s="626"/>
      <c r="J1652" s="638"/>
      <c r="K1652" s="645">
        <v>1</v>
      </c>
      <c r="L1652" s="681" t="s">
        <v>25</v>
      </c>
      <c r="M1652" s="684">
        <v>1500</v>
      </c>
      <c r="N1652" s="654"/>
      <c r="O1652" s="685"/>
      <c r="P1652" s="643"/>
    </row>
    <row r="1653" spans="1:16" s="619" customFormat="1" ht="36" x14ac:dyDescent="0.2">
      <c r="A1653" s="626" t="s">
        <v>4789</v>
      </c>
      <c r="B1653" s="626" t="s">
        <v>2275</v>
      </c>
      <c r="C1653" s="638" t="s">
        <v>108</v>
      </c>
      <c r="D1653" s="626" t="s">
        <v>1917</v>
      </c>
      <c r="E1653" s="636">
        <v>1100</v>
      </c>
      <c r="F1653" s="637"/>
      <c r="G1653" s="626" t="s">
        <v>4846</v>
      </c>
      <c r="H1653" s="638"/>
      <c r="I1653" s="626"/>
      <c r="J1653" s="638"/>
      <c r="K1653" s="645">
        <v>1</v>
      </c>
      <c r="L1653" s="681" t="s">
        <v>25</v>
      </c>
      <c r="M1653" s="684">
        <v>1100</v>
      </c>
      <c r="N1653" s="654"/>
      <c r="O1653" s="685"/>
      <c r="P1653" s="643"/>
    </row>
    <row r="1654" spans="1:16" s="619" customFormat="1" ht="36" x14ac:dyDescent="0.2">
      <c r="A1654" s="626" t="s">
        <v>4789</v>
      </c>
      <c r="B1654" s="626" t="s">
        <v>2275</v>
      </c>
      <c r="C1654" s="638" t="s">
        <v>108</v>
      </c>
      <c r="D1654" s="626" t="s">
        <v>4847</v>
      </c>
      <c r="E1654" s="636">
        <v>1500</v>
      </c>
      <c r="F1654" s="637"/>
      <c r="G1654" s="626" t="s">
        <v>4848</v>
      </c>
      <c r="H1654" s="638"/>
      <c r="I1654" s="626"/>
      <c r="J1654" s="638"/>
      <c r="K1654" s="645">
        <v>1</v>
      </c>
      <c r="L1654" s="681" t="s">
        <v>25</v>
      </c>
      <c r="M1654" s="684">
        <v>1500</v>
      </c>
      <c r="N1654" s="654"/>
      <c r="O1654" s="685"/>
      <c r="P1654" s="643"/>
    </row>
    <row r="1655" spans="1:16" s="619" customFormat="1" ht="36" x14ac:dyDescent="0.2">
      <c r="A1655" s="626" t="s">
        <v>4789</v>
      </c>
      <c r="B1655" s="626" t="s">
        <v>2275</v>
      </c>
      <c r="C1655" s="638" t="s">
        <v>108</v>
      </c>
      <c r="D1655" s="626" t="s">
        <v>4849</v>
      </c>
      <c r="E1655" s="636">
        <v>1500</v>
      </c>
      <c r="F1655" s="637"/>
      <c r="G1655" s="626" t="s">
        <v>4850</v>
      </c>
      <c r="H1655" s="638"/>
      <c r="I1655" s="626"/>
      <c r="J1655" s="638"/>
      <c r="K1655" s="645">
        <v>1</v>
      </c>
      <c r="L1655" s="681" t="s">
        <v>25</v>
      </c>
      <c r="M1655" s="684">
        <v>1500</v>
      </c>
      <c r="N1655" s="654"/>
      <c r="O1655" s="685"/>
      <c r="P1655" s="643"/>
    </row>
    <row r="1656" spans="1:16" s="619" customFormat="1" ht="36" x14ac:dyDescent="0.2">
      <c r="A1656" s="626" t="s">
        <v>4789</v>
      </c>
      <c r="B1656" s="626" t="s">
        <v>2275</v>
      </c>
      <c r="C1656" s="638" t="s">
        <v>108</v>
      </c>
      <c r="D1656" s="626" t="s">
        <v>3776</v>
      </c>
      <c r="E1656" s="636">
        <v>1000</v>
      </c>
      <c r="F1656" s="637"/>
      <c r="G1656" s="626" t="s">
        <v>4851</v>
      </c>
      <c r="H1656" s="638"/>
      <c r="I1656" s="626"/>
      <c r="J1656" s="638"/>
      <c r="K1656" s="645">
        <v>1</v>
      </c>
      <c r="L1656" s="681" t="s">
        <v>25</v>
      </c>
      <c r="M1656" s="684">
        <v>1000</v>
      </c>
      <c r="N1656" s="654"/>
      <c r="O1656" s="685"/>
      <c r="P1656" s="643"/>
    </row>
    <row r="1657" spans="1:16" s="619" customFormat="1" ht="36" x14ac:dyDescent="0.2">
      <c r="A1657" s="626" t="s">
        <v>4789</v>
      </c>
      <c r="B1657" s="626" t="s">
        <v>2275</v>
      </c>
      <c r="C1657" s="638" t="s">
        <v>108</v>
      </c>
      <c r="D1657" s="626" t="s">
        <v>3776</v>
      </c>
      <c r="E1657" s="636">
        <v>1000</v>
      </c>
      <c r="F1657" s="637"/>
      <c r="G1657" s="626" t="s">
        <v>4852</v>
      </c>
      <c r="H1657" s="638"/>
      <c r="I1657" s="626"/>
      <c r="J1657" s="638"/>
      <c r="K1657" s="645">
        <v>1</v>
      </c>
      <c r="L1657" s="681" t="s">
        <v>25</v>
      </c>
      <c r="M1657" s="684">
        <v>1000</v>
      </c>
      <c r="N1657" s="654"/>
      <c r="O1657" s="685"/>
      <c r="P1657" s="643"/>
    </row>
    <row r="1658" spans="1:16" s="619" customFormat="1" ht="36" x14ac:dyDescent="0.2">
      <c r="A1658" s="626" t="s">
        <v>4789</v>
      </c>
      <c r="B1658" s="626" t="s">
        <v>2275</v>
      </c>
      <c r="C1658" s="638" t="s">
        <v>108</v>
      </c>
      <c r="D1658" s="626" t="s">
        <v>4853</v>
      </c>
      <c r="E1658" s="636">
        <v>1500</v>
      </c>
      <c r="F1658" s="637"/>
      <c r="G1658" s="626" t="s">
        <v>4854</v>
      </c>
      <c r="H1658" s="638"/>
      <c r="I1658" s="626"/>
      <c r="J1658" s="638"/>
      <c r="K1658" s="645">
        <v>1</v>
      </c>
      <c r="L1658" s="681" t="s">
        <v>25</v>
      </c>
      <c r="M1658" s="684">
        <v>1500</v>
      </c>
      <c r="N1658" s="654"/>
      <c r="O1658" s="685"/>
      <c r="P1658" s="643"/>
    </row>
    <row r="1659" spans="1:16" s="619" customFormat="1" ht="36" x14ac:dyDescent="0.2">
      <c r="A1659" s="626" t="s">
        <v>4789</v>
      </c>
      <c r="B1659" s="626" t="s">
        <v>2275</v>
      </c>
      <c r="C1659" s="638" t="s">
        <v>108</v>
      </c>
      <c r="D1659" s="626" t="s">
        <v>4849</v>
      </c>
      <c r="E1659" s="636">
        <v>1500</v>
      </c>
      <c r="F1659" s="637"/>
      <c r="G1659" s="626" t="s">
        <v>4855</v>
      </c>
      <c r="H1659" s="638"/>
      <c r="I1659" s="626"/>
      <c r="J1659" s="638"/>
      <c r="K1659" s="645">
        <v>1</v>
      </c>
      <c r="L1659" s="681" t="s">
        <v>25</v>
      </c>
      <c r="M1659" s="684">
        <v>1500</v>
      </c>
      <c r="N1659" s="654"/>
      <c r="O1659" s="685"/>
      <c r="P1659" s="643"/>
    </row>
    <row r="1660" spans="1:16" s="619" customFormat="1" ht="36" x14ac:dyDescent="0.2">
      <c r="A1660" s="626" t="s">
        <v>4789</v>
      </c>
      <c r="B1660" s="626" t="s">
        <v>2275</v>
      </c>
      <c r="C1660" s="638" t="s">
        <v>108</v>
      </c>
      <c r="D1660" s="626" t="s">
        <v>4847</v>
      </c>
      <c r="E1660" s="636">
        <v>1500</v>
      </c>
      <c r="F1660" s="637"/>
      <c r="G1660" s="626" t="s">
        <v>4856</v>
      </c>
      <c r="H1660" s="638"/>
      <c r="I1660" s="626"/>
      <c r="J1660" s="638"/>
      <c r="K1660" s="645">
        <v>1</v>
      </c>
      <c r="L1660" s="681" t="s">
        <v>25</v>
      </c>
      <c r="M1660" s="684">
        <v>1500</v>
      </c>
      <c r="N1660" s="654"/>
      <c r="O1660" s="685"/>
      <c r="P1660" s="643"/>
    </row>
    <row r="1661" spans="1:16" s="619" customFormat="1" ht="36" x14ac:dyDescent="0.2">
      <c r="A1661" s="626" t="s">
        <v>4789</v>
      </c>
      <c r="B1661" s="626" t="s">
        <v>2275</v>
      </c>
      <c r="C1661" s="638" t="s">
        <v>108</v>
      </c>
      <c r="D1661" s="626" t="s">
        <v>4857</v>
      </c>
      <c r="E1661" s="636">
        <v>2000</v>
      </c>
      <c r="F1661" s="637"/>
      <c r="G1661" s="626" t="s">
        <v>4858</v>
      </c>
      <c r="H1661" s="638"/>
      <c r="I1661" s="626"/>
      <c r="J1661" s="638"/>
      <c r="K1661" s="645">
        <v>1</v>
      </c>
      <c r="L1661" s="681" t="s">
        <v>25</v>
      </c>
      <c r="M1661" s="684">
        <v>2000</v>
      </c>
      <c r="N1661" s="654"/>
      <c r="O1661" s="685"/>
      <c r="P1661" s="643"/>
    </row>
    <row r="1662" spans="1:16" s="619" customFormat="1" ht="36" x14ac:dyDescent="0.2">
      <c r="A1662" s="626" t="s">
        <v>4789</v>
      </c>
      <c r="B1662" s="626" t="s">
        <v>2275</v>
      </c>
      <c r="C1662" s="638" t="s">
        <v>108</v>
      </c>
      <c r="D1662" s="626" t="s">
        <v>4849</v>
      </c>
      <c r="E1662" s="636">
        <v>1200</v>
      </c>
      <c r="F1662" s="637"/>
      <c r="G1662" s="626" t="s">
        <v>4859</v>
      </c>
      <c r="H1662" s="638"/>
      <c r="I1662" s="626"/>
      <c r="J1662" s="638"/>
      <c r="K1662" s="645">
        <v>1</v>
      </c>
      <c r="L1662" s="681" t="s">
        <v>25</v>
      </c>
      <c r="M1662" s="684">
        <v>1200</v>
      </c>
      <c r="N1662" s="654"/>
      <c r="O1662" s="685"/>
      <c r="P1662" s="643"/>
    </row>
    <row r="1663" spans="1:16" s="619" customFormat="1" ht="36" x14ac:dyDescent="0.2">
      <c r="A1663" s="626" t="s">
        <v>4789</v>
      </c>
      <c r="B1663" s="626" t="s">
        <v>2275</v>
      </c>
      <c r="C1663" s="638" t="s">
        <v>108</v>
      </c>
      <c r="D1663" s="626" t="s">
        <v>4860</v>
      </c>
      <c r="E1663" s="636">
        <v>1500</v>
      </c>
      <c r="F1663" s="637"/>
      <c r="G1663" s="626" t="s">
        <v>4861</v>
      </c>
      <c r="H1663" s="638"/>
      <c r="I1663" s="626"/>
      <c r="J1663" s="638"/>
      <c r="K1663" s="645">
        <v>1</v>
      </c>
      <c r="L1663" s="681" t="s">
        <v>25</v>
      </c>
      <c r="M1663" s="684">
        <v>1500</v>
      </c>
      <c r="N1663" s="654"/>
      <c r="O1663" s="685"/>
      <c r="P1663" s="643"/>
    </row>
    <row r="1664" spans="1:16" s="619" customFormat="1" ht="36" x14ac:dyDescent="0.2">
      <c r="A1664" s="626" t="s">
        <v>4789</v>
      </c>
      <c r="B1664" s="626" t="s">
        <v>2275</v>
      </c>
      <c r="C1664" s="638" t="s">
        <v>108</v>
      </c>
      <c r="D1664" s="626" t="s">
        <v>4862</v>
      </c>
      <c r="E1664" s="636">
        <v>2200</v>
      </c>
      <c r="F1664" s="637"/>
      <c r="G1664" s="626" t="s">
        <v>4863</v>
      </c>
      <c r="H1664" s="638"/>
      <c r="I1664" s="626"/>
      <c r="J1664" s="638"/>
      <c r="K1664" s="645">
        <v>1</v>
      </c>
      <c r="L1664" s="681" t="s">
        <v>25</v>
      </c>
      <c r="M1664" s="684">
        <v>2200</v>
      </c>
      <c r="N1664" s="654"/>
      <c r="O1664" s="685"/>
      <c r="P1664" s="643"/>
    </row>
    <row r="1665" spans="1:16" s="619" customFormat="1" ht="36" x14ac:dyDescent="0.2">
      <c r="A1665" s="626" t="s">
        <v>4789</v>
      </c>
      <c r="B1665" s="626" t="s">
        <v>2275</v>
      </c>
      <c r="C1665" s="638" t="s">
        <v>108</v>
      </c>
      <c r="D1665" s="626" t="s">
        <v>4864</v>
      </c>
      <c r="E1665" s="636">
        <v>1500</v>
      </c>
      <c r="F1665" s="637"/>
      <c r="G1665" s="626" t="s">
        <v>4865</v>
      </c>
      <c r="H1665" s="638"/>
      <c r="I1665" s="626"/>
      <c r="J1665" s="638"/>
      <c r="K1665" s="645">
        <v>1</v>
      </c>
      <c r="L1665" s="681" t="s">
        <v>25</v>
      </c>
      <c r="M1665" s="684">
        <v>1500</v>
      </c>
      <c r="N1665" s="654"/>
      <c r="O1665" s="685"/>
      <c r="P1665" s="643"/>
    </row>
    <row r="1666" spans="1:16" s="619" customFormat="1" ht="36" x14ac:dyDescent="0.2">
      <c r="A1666" s="626" t="s">
        <v>4789</v>
      </c>
      <c r="B1666" s="626" t="s">
        <v>2275</v>
      </c>
      <c r="C1666" s="638" t="s">
        <v>108</v>
      </c>
      <c r="D1666" s="626" t="s">
        <v>4866</v>
      </c>
      <c r="E1666" s="636">
        <v>1000</v>
      </c>
      <c r="F1666" s="637"/>
      <c r="G1666" s="626" t="s">
        <v>4867</v>
      </c>
      <c r="H1666" s="638"/>
      <c r="I1666" s="626"/>
      <c r="J1666" s="638"/>
      <c r="K1666" s="645">
        <v>1</v>
      </c>
      <c r="L1666" s="681" t="s">
        <v>25</v>
      </c>
      <c r="M1666" s="684">
        <v>1000</v>
      </c>
      <c r="N1666" s="654"/>
      <c r="O1666" s="685"/>
      <c r="P1666" s="643"/>
    </row>
    <row r="1667" spans="1:16" s="619" customFormat="1" ht="36" x14ac:dyDescent="0.2">
      <c r="A1667" s="626" t="s">
        <v>4789</v>
      </c>
      <c r="B1667" s="626" t="s">
        <v>2275</v>
      </c>
      <c r="C1667" s="638" t="s">
        <v>108</v>
      </c>
      <c r="D1667" s="626" t="s">
        <v>4868</v>
      </c>
      <c r="E1667" s="636">
        <v>1400</v>
      </c>
      <c r="F1667" s="637"/>
      <c r="G1667" s="626" t="s">
        <v>4869</v>
      </c>
      <c r="H1667" s="638"/>
      <c r="I1667" s="626"/>
      <c r="J1667" s="638"/>
      <c r="K1667" s="645">
        <v>1</v>
      </c>
      <c r="L1667" s="681" t="s">
        <v>25</v>
      </c>
      <c r="M1667" s="684">
        <v>1400</v>
      </c>
      <c r="N1667" s="654"/>
      <c r="O1667" s="685"/>
      <c r="P1667" s="643"/>
    </row>
    <row r="1668" spans="1:16" s="619" customFormat="1" ht="36" x14ac:dyDescent="0.2">
      <c r="A1668" s="626" t="s">
        <v>4789</v>
      </c>
      <c r="B1668" s="626" t="s">
        <v>2275</v>
      </c>
      <c r="C1668" s="638" t="s">
        <v>108</v>
      </c>
      <c r="D1668" s="626" t="s">
        <v>4868</v>
      </c>
      <c r="E1668" s="636">
        <v>1400</v>
      </c>
      <c r="F1668" s="637"/>
      <c r="G1668" s="626" t="s">
        <v>4870</v>
      </c>
      <c r="H1668" s="638"/>
      <c r="I1668" s="626"/>
      <c r="J1668" s="638"/>
      <c r="K1668" s="645">
        <v>1</v>
      </c>
      <c r="L1668" s="681" t="s">
        <v>25</v>
      </c>
      <c r="M1668" s="684">
        <v>1400</v>
      </c>
      <c r="N1668" s="654"/>
      <c r="O1668" s="685"/>
      <c r="P1668" s="643"/>
    </row>
    <row r="1669" spans="1:16" s="619" customFormat="1" ht="36" x14ac:dyDescent="0.2">
      <c r="A1669" s="626" t="s">
        <v>4789</v>
      </c>
      <c r="B1669" s="626" t="s">
        <v>2275</v>
      </c>
      <c r="C1669" s="638" t="s">
        <v>108</v>
      </c>
      <c r="D1669" s="626" t="s">
        <v>4868</v>
      </c>
      <c r="E1669" s="636">
        <v>1400</v>
      </c>
      <c r="F1669" s="637"/>
      <c r="G1669" s="626" t="s">
        <v>4871</v>
      </c>
      <c r="H1669" s="638"/>
      <c r="I1669" s="626"/>
      <c r="J1669" s="638"/>
      <c r="K1669" s="645">
        <v>1</v>
      </c>
      <c r="L1669" s="681" t="s">
        <v>25</v>
      </c>
      <c r="M1669" s="684">
        <v>1400</v>
      </c>
      <c r="N1669" s="654"/>
      <c r="O1669" s="685"/>
      <c r="P1669" s="643"/>
    </row>
    <row r="1670" spans="1:16" s="619" customFormat="1" ht="36" x14ac:dyDescent="0.2">
      <c r="A1670" s="626" t="s">
        <v>4789</v>
      </c>
      <c r="B1670" s="626" t="s">
        <v>2275</v>
      </c>
      <c r="C1670" s="638" t="s">
        <v>108</v>
      </c>
      <c r="D1670" s="626" t="s">
        <v>4868</v>
      </c>
      <c r="E1670" s="636">
        <v>1400</v>
      </c>
      <c r="F1670" s="637"/>
      <c r="G1670" s="626" t="s">
        <v>4872</v>
      </c>
      <c r="H1670" s="638"/>
      <c r="I1670" s="626"/>
      <c r="J1670" s="638"/>
      <c r="K1670" s="645">
        <v>1</v>
      </c>
      <c r="L1670" s="681" t="s">
        <v>25</v>
      </c>
      <c r="M1670" s="684">
        <v>1400</v>
      </c>
      <c r="N1670" s="654"/>
      <c r="O1670" s="685"/>
      <c r="P1670" s="643"/>
    </row>
    <row r="1671" spans="1:16" s="619" customFormat="1" ht="36" x14ac:dyDescent="0.2">
      <c r="A1671" s="626" t="s">
        <v>4789</v>
      </c>
      <c r="B1671" s="626" t="s">
        <v>2275</v>
      </c>
      <c r="C1671" s="638" t="s">
        <v>108</v>
      </c>
      <c r="D1671" s="626" t="s">
        <v>4873</v>
      </c>
      <c r="E1671" s="636">
        <v>1500</v>
      </c>
      <c r="F1671" s="637"/>
      <c r="G1671" s="626" t="s">
        <v>4874</v>
      </c>
      <c r="H1671" s="638"/>
      <c r="I1671" s="626"/>
      <c r="J1671" s="638"/>
      <c r="K1671" s="645">
        <v>1</v>
      </c>
      <c r="L1671" s="681" t="s">
        <v>25</v>
      </c>
      <c r="M1671" s="684">
        <v>1500</v>
      </c>
      <c r="N1671" s="654"/>
      <c r="O1671" s="685"/>
      <c r="P1671" s="643"/>
    </row>
    <row r="1672" spans="1:16" s="619" customFormat="1" ht="36" x14ac:dyDescent="0.2">
      <c r="A1672" s="626" t="s">
        <v>4789</v>
      </c>
      <c r="B1672" s="626" t="s">
        <v>2275</v>
      </c>
      <c r="C1672" s="638" t="s">
        <v>108</v>
      </c>
      <c r="D1672" s="626" t="s">
        <v>4875</v>
      </c>
      <c r="E1672" s="636">
        <v>2500</v>
      </c>
      <c r="F1672" s="637"/>
      <c r="G1672" s="626" t="s">
        <v>2741</v>
      </c>
      <c r="H1672" s="638"/>
      <c r="I1672" s="626"/>
      <c r="J1672" s="638"/>
      <c r="K1672" s="645">
        <v>1</v>
      </c>
      <c r="L1672" s="681" t="s">
        <v>25</v>
      </c>
      <c r="M1672" s="684">
        <v>2500</v>
      </c>
      <c r="N1672" s="654"/>
      <c r="O1672" s="685"/>
      <c r="P1672" s="643"/>
    </row>
    <row r="1673" spans="1:16" s="619" customFormat="1" ht="36" x14ac:dyDescent="0.2">
      <c r="A1673" s="626" t="s">
        <v>4789</v>
      </c>
      <c r="B1673" s="626" t="s">
        <v>2275</v>
      </c>
      <c r="C1673" s="638" t="s">
        <v>108</v>
      </c>
      <c r="D1673" s="626" t="s">
        <v>4876</v>
      </c>
      <c r="E1673" s="636">
        <v>2800</v>
      </c>
      <c r="F1673" s="637"/>
      <c r="G1673" s="626" t="s">
        <v>4877</v>
      </c>
      <c r="H1673" s="638"/>
      <c r="I1673" s="626"/>
      <c r="J1673" s="638"/>
      <c r="K1673" s="645">
        <v>1</v>
      </c>
      <c r="L1673" s="681" t="s">
        <v>25</v>
      </c>
      <c r="M1673" s="684">
        <v>2800</v>
      </c>
      <c r="N1673" s="654"/>
      <c r="O1673" s="685"/>
      <c r="P1673" s="643"/>
    </row>
    <row r="1674" spans="1:16" s="619" customFormat="1" ht="36" x14ac:dyDescent="0.2">
      <c r="A1674" s="626" t="s">
        <v>4789</v>
      </c>
      <c r="B1674" s="626" t="s">
        <v>2275</v>
      </c>
      <c r="C1674" s="638" t="s">
        <v>108</v>
      </c>
      <c r="D1674" s="626" t="s">
        <v>4878</v>
      </c>
      <c r="E1674" s="636">
        <v>1200</v>
      </c>
      <c r="F1674" s="637"/>
      <c r="G1674" s="626" t="s">
        <v>4879</v>
      </c>
      <c r="H1674" s="638"/>
      <c r="I1674" s="626"/>
      <c r="J1674" s="638"/>
      <c r="K1674" s="645">
        <v>1</v>
      </c>
      <c r="L1674" s="681" t="s">
        <v>25</v>
      </c>
      <c r="M1674" s="684">
        <v>1200</v>
      </c>
      <c r="N1674" s="654"/>
      <c r="O1674" s="685"/>
      <c r="P1674" s="643"/>
    </row>
    <row r="1675" spans="1:16" s="619" customFormat="1" ht="36" x14ac:dyDescent="0.2">
      <c r="A1675" s="626" t="s">
        <v>4789</v>
      </c>
      <c r="B1675" s="626" t="s">
        <v>2275</v>
      </c>
      <c r="C1675" s="638" t="s">
        <v>108</v>
      </c>
      <c r="D1675" s="626" t="s">
        <v>4880</v>
      </c>
      <c r="E1675" s="636">
        <v>1500</v>
      </c>
      <c r="F1675" s="637"/>
      <c r="G1675" s="626" t="s">
        <v>4881</v>
      </c>
      <c r="H1675" s="638"/>
      <c r="I1675" s="626"/>
      <c r="J1675" s="638"/>
      <c r="K1675" s="645">
        <v>1</v>
      </c>
      <c r="L1675" s="681" t="s">
        <v>25</v>
      </c>
      <c r="M1675" s="684">
        <v>1500</v>
      </c>
      <c r="N1675" s="654"/>
      <c r="O1675" s="685"/>
      <c r="P1675" s="643"/>
    </row>
    <row r="1676" spans="1:16" s="619" customFormat="1" ht="36" x14ac:dyDescent="0.2">
      <c r="A1676" s="626" t="s">
        <v>4789</v>
      </c>
      <c r="B1676" s="626" t="s">
        <v>2275</v>
      </c>
      <c r="C1676" s="638" t="s">
        <v>108</v>
      </c>
      <c r="D1676" s="626" t="s">
        <v>4882</v>
      </c>
      <c r="E1676" s="636">
        <v>2500</v>
      </c>
      <c r="F1676" s="637"/>
      <c r="G1676" s="626" t="s">
        <v>4883</v>
      </c>
      <c r="H1676" s="638"/>
      <c r="I1676" s="626"/>
      <c r="J1676" s="638"/>
      <c r="K1676" s="645">
        <v>1</v>
      </c>
      <c r="L1676" s="681" t="s">
        <v>26</v>
      </c>
      <c r="M1676" s="684">
        <v>2500</v>
      </c>
      <c r="N1676" s="654"/>
      <c r="O1676" s="685"/>
      <c r="P1676" s="643"/>
    </row>
    <row r="1677" spans="1:16" s="619" customFormat="1" ht="36" x14ac:dyDescent="0.2">
      <c r="A1677" s="626" t="s">
        <v>4789</v>
      </c>
      <c r="B1677" s="626" t="s">
        <v>2275</v>
      </c>
      <c r="C1677" s="638" t="s">
        <v>108</v>
      </c>
      <c r="D1677" s="626" t="s">
        <v>4884</v>
      </c>
      <c r="E1677" s="636">
        <v>1100</v>
      </c>
      <c r="F1677" s="637"/>
      <c r="G1677" s="626" t="s">
        <v>4885</v>
      </c>
      <c r="H1677" s="638"/>
      <c r="I1677" s="626"/>
      <c r="J1677" s="638"/>
      <c r="K1677" s="645">
        <v>1</v>
      </c>
      <c r="L1677" s="681" t="s">
        <v>26</v>
      </c>
      <c r="M1677" s="684">
        <v>1100</v>
      </c>
      <c r="N1677" s="654"/>
      <c r="O1677" s="685"/>
      <c r="P1677" s="643"/>
    </row>
    <row r="1678" spans="1:16" s="619" customFormat="1" ht="36" x14ac:dyDescent="0.2">
      <c r="A1678" s="626" t="s">
        <v>4789</v>
      </c>
      <c r="B1678" s="626" t="s">
        <v>2275</v>
      </c>
      <c r="C1678" s="638" t="s">
        <v>108</v>
      </c>
      <c r="D1678" s="626" t="s">
        <v>4886</v>
      </c>
      <c r="E1678" s="636">
        <v>2000</v>
      </c>
      <c r="F1678" s="637"/>
      <c r="G1678" s="626" t="s">
        <v>4887</v>
      </c>
      <c r="H1678" s="638"/>
      <c r="I1678" s="626"/>
      <c r="J1678" s="638"/>
      <c r="K1678" s="645">
        <v>1</v>
      </c>
      <c r="L1678" s="681" t="s">
        <v>26</v>
      </c>
      <c r="M1678" s="684">
        <v>2000</v>
      </c>
      <c r="N1678" s="654"/>
      <c r="O1678" s="685"/>
      <c r="P1678" s="643"/>
    </row>
    <row r="1679" spans="1:16" s="619" customFormat="1" ht="36" x14ac:dyDescent="0.2">
      <c r="A1679" s="626" t="s">
        <v>4789</v>
      </c>
      <c r="B1679" s="626" t="s">
        <v>2275</v>
      </c>
      <c r="C1679" s="638" t="s">
        <v>108</v>
      </c>
      <c r="D1679" s="626" t="s">
        <v>4888</v>
      </c>
      <c r="E1679" s="636">
        <v>4000</v>
      </c>
      <c r="F1679" s="637"/>
      <c r="G1679" s="626" t="s">
        <v>4889</v>
      </c>
      <c r="H1679" s="638"/>
      <c r="I1679" s="626"/>
      <c r="J1679" s="638"/>
      <c r="K1679" s="645">
        <v>1</v>
      </c>
      <c r="L1679" s="681" t="s">
        <v>26</v>
      </c>
      <c r="M1679" s="684">
        <v>4000</v>
      </c>
      <c r="N1679" s="654"/>
      <c r="O1679" s="685"/>
      <c r="P1679" s="643"/>
    </row>
    <row r="1680" spans="1:16" s="619" customFormat="1" ht="36" x14ac:dyDescent="0.2">
      <c r="A1680" s="626" t="s">
        <v>4789</v>
      </c>
      <c r="B1680" s="626" t="s">
        <v>2275</v>
      </c>
      <c r="C1680" s="638" t="s">
        <v>108</v>
      </c>
      <c r="D1680" s="626" t="s">
        <v>4890</v>
      </c>
      <c r="E1680" s="636">
        <v>2000</v>
      </c>
      <c r="F1680" s="637"/>
      <c r="G1680" s="626" t="s">
        <v>4891</v>
      </c>
      <c r="H1680" s="638"/>
      <c r="I1680" s="626"/>
      <c r="J1680" s="638"/>
      <c r="K1680" s="645">
        <v>1</v>
      </c>
      <c r="L1680" s="681" t="s">
        <v>26</v>
      </c>
      <c r="M1680" s="684">
        <v>2000</v>
      </c>
      <c r="N1680" s="654"/>
      <c r="O1680" s="685"/>
      <c r="P1680" s="643"/>
    </row>
    <row r="1681" spans="1:16" s="619" customFormat="1" ht="36" x14ac:dyDescent="0.2">
      <c r="A1681" s="626" t="s">
        <v>4789</v>
      </c>
      <c r="B1681" s="626" t="s">
        <v>2275</v>
      </c>
      <c r="C1681" s="638" t="s">
        <v>108</v>
      </c>
      <c r="D1681" s="626" t="s">
        <v>4892</v>
      </c>
      <c r="E1681" s="636">
        <v>1500</v>
      </c>
      <c r="F1681" s="637"/>
      <c r="G1681" s="626" t="s">
        <v>4893</v>
      </c>
      <c r="H1681" s="638"/>
      <c r="I1681" s="626"/>
      <c r="J1681" s="638"/>
      <c r="K1681" s="645">
        <v>1</v>
      </c>
      <c r="L1681" s="681" t="s">
        <v>26</v>
      </c>
      <c r="M1681" s="684">
        <v>1500</v>
      </c>
      <c r="N1681" s="654"/>
      <c r="O1681" s="685"/>
      <c r="P1681" s="643"/>
    </row>
    <row r="1682" spans="1:16" s="619" customFormat="1" ht="48" x14ac:dyDescent="0.2">
      <c r="A1682" s="626" t="s">
        <v>4789</v>
      </c>
      <c r="B1682" s="626" t="s">
        <v>2275</v>
      </c>
      <c r="C1682" s="638" t="s">
        <v>108</v>
      </c>
      <c r="D1682" s="626" t="s">
        <v>4894</v>
      </c>
      <c r="E1682" s="636">
        <v>1500</v>
      </c>
      <c r="F1682" s="637"/>
      <c r="G1682" s="626" t="s">
        <v>4895</v>
      </c>
      <c r="H1682" s="638"/>
      <c r="I1682" s="626"/>
      <c r="J1682" s="638"/>
      <c r="K1682" s="645">
        <v>1</v>
      </c>
      <c r="L1682" s="681" t="s">
        <v>26</v>
      </c>
      <c r="M1682" s="684">
        <v>1500</v>
      </c>
      <c r="N1682" s="654"/>
      <c r="O1682" s="685"/>
      <c r="P1682" s="643"/>
    </row>
    <row r="1683" spans="1:16" s="619" customFormat="1" ht="36" x14ac:dyDescent="0.2">
      <c r="A1683" s="626" t="s">
        <v>4789</v>
      </c>
      <c r="B1683" s="626" t="s">
        <v>2275</v>
      </c>
      <c r="C1683" s="638" t="s">
        <v>108</v>
      </c>
      <c r="D1683" s="626" t="s">
        <v>4896</v>
      </c>
      <c r="E1683" s="636">
        <v>1600</v>
      </c>
      <c r="F1683" s="637"/>
      <c r="G1683" s="626" t="s">
        <v>4897</v>
      </c>
      <c r="H1683" s="638"/>
      <c r="I1683" s="626"/>
      <c r="J1683" s="638"/>
      <c r="K1683" s="645">
        <v>1</v>
      </c>
      <c r="L1683" s="681" t="s">
        <v>26</v>
      </c>
      <c r="M1683" s="684">
        <v>1600</v>
      </c>
      <c r="N1683" s="654"/>
      <c r="O1683" s="685"/>
      <c r="P1683" s="643"/>
    </row>
    <row r="1684" spans="1:16" s="619" customFormat="1" ht="36" x14ac:dyDescent="0.2">
      <c r="A1684" s="626" t="s">
        <v>4789</v>
      </c>
      <c r="B1684" s="626" t="s">
        <v>2275</v>
      </c>
      <c r="C1684" s="638" t="s">
        <v>108</v>
      </c>
      <c r="D1684" s="626" t="s">
        <v>4898</v>
      </c>
      <c r="E1684" s="636">
        <v>2200</v>
      </c>
      <c r="F1684" s="637"/>
      <c r="G1684" s="626" t="s">
        <v>4899</v>
      </c>
      <c r="H1684" s="638"/>
      <c r="I1684" s="626"/>
      <c r="J1684" s="638"/>
      <c r="K1684" s="645">
        <v>1</v>
      </c>
      <c r="L1684" s="681" t="s">
        <v>26</v>
      </c>
      <c r="M1684" s="684">
        <v>2200</v>
      </c>
      <c r="N1684" s="654"/>
      <c r="O1684" s="685"/>
      <c r="P1684" s="643"/>
    </row>
    <row r="1685" spans="1:16" s="619" customFormat="1" ht="36" x14ac:dyDescent="0.2">
      <c r="A1685" s="626" t="s">
        <v>4789</v>
      </c>
      <c r="B1685" s="626" t="s">
        <v>2275</v>
      </c>
      <c r="C1685" s="638" t="s">
        <v>108</v>
      </c>
      <c r="D1685" s="626" t="s">
        <v>4900</v>
      </c>
      <c r="E1685" s="636">
        <v>823.3</v>
      </c>
      <c r="F1685" s="637"/>
      <c r="G1685" s="626" t="s">
        <v>4901</v>
      </c>
      <c r="H1685" s="638"/>
      <c r="I1685" s="626"/>
      <c r="J1685" s="638"/>
      <c r="K1685" s="645">
        <v>1</v>
      </c>
      <c r="L1685" s="681" t="s">
        <v>26</v>
      </c>
      <c r="M1685" s="684">
        <v>823.3</v>
      </c>
      <c r="N1685" s="654"/>
      <c r="O1685" s="685"/>
      <c r="P1685" s="643"/>
    </row>
    <row r="1686" spans="1:16" s="619" customFormat="1" ht="36" x14ac:dyDescent="0.2">
      <c r="A1686" s="626" t="s">
        <v>4789</v>
      </c>
      <c r="B1686" s="626" t="s">
        <v>2275</v>
      </c>
      <c r="C1686" s="638" t="s">
        <v>108</v>
      </c>
      <c r="D1686" s="626" t="s">
        <v>4902</v>
      </c>
      <c r="E1686" s="636">
        <v>1500</v>
      </c>
      <c r="F1686" s="637"/>
      <c r="G1686" s="626" t="s">
        <v>4903</v>
      </c>
      <c r="H1686" s="638"/>
      <c r="I1686" s="626"/>
      <c r="J1686" s="638"/>
      <c r="K1686" s="645">
        <v>1</v>
      </c>
      <c r="L1686" s="681" t="s">
        <v>26</v>
      </c>
      <c r="M1686" s="684">
        <v>1500</v>
      </c>
      <c r="N1686" s="654"/>
      <c r="O1686" s="685"/>
      <c r="P1686" s="643"/>
    </row>
    <row r="1687" spans="1:16" s="619" customFormat="1" ht="36" x14ac:dyDescent="0.2">
      <c r="A1687" s="626" t="s">
        <v>4789</v>
      </c>
      <c r="B1687" s="626" t="s">
        <v>2275</v>
      </c>
      <c r="C1687" s="638" t="s">
        <v>108</v>
      </c>
      <c r="D1687" s="626" t="s">
        <v>4904</v>
      </c>
      <c r="E1687" s="636">
        <v>2000</v>
      </c>
      <c r="F1687" s="637"/>
      <c r="G1687" s="626" t="s">
        <v>4905</v>
      </c>
      <c r="H1687" s="638"/>
      <c r="I1687" s="626"/>
      <c r="J1687" s="638"/>
      <c r="K1687" s="645">
        <v>1</v>
      </c>
      <c r="L1687" s="681" t="s">
        <v>26</v>
      </c>
      <c r="M1687" s="684">
        <v>2000</v>
      </c>
      <c r="N1687" s="654"/>
      <c r="O1687" s="685"/>
      <c r="P1687" s="643"/>
    </row>
    <row r="1688" spans="1:16" s="619" customFormat="1" ht="36" x14ac:dyDescent="0.2">
      <c r="A1688" s="626" t="s">
        <v>4789</v>
      </c>
      <c r="B1688" s="626" t="s">
        <v>2275</v>
      </c>
      <c r="C1688" s="638" t="s">
        <v>108</v>
      </c>
      <c r="D1688" s="626" t="s">
        <v>4894</v>
      </c>
      <c r="E1688" s="636">
        <v>1500</v>
      </c>
      <c r="F1688" s="637"/>
      <c r="G1688" s="626" t="s">
        <v>4893</v>
      </c>
      <c r="H1688" s="638"/>
      <c r="I1688" s="626"/>
      <c r="J1688" s="638"/>
      <c r="K1688" s="645">
        <v>1</v>
      </c>
      <c r="L1688" s="681" t="s">
        <v>26</v>
      </c>
      <c r="M1688" s="684">
        <v>1500</v>
      </c>
      <c r="N1688" s="654"/>
      <c r="O1688" s="685"/>
      <c r="P1688" s="643"/>
    </row>
    <row r="1689" spans="1:16" s="619" customFormat="1" ht="36" x14ac:dyDescent="0.2">
      <c r="A1689" s="626" t="s">
        <v>4789</v>
      </c>
      <c r="B1689" s="626" t="s">
        <v>2275</v>
      </c>
      <c r="C1689" s="638" t="s">
        <v>108</v>
      </c>
      <c r="D1689" s="626" t="s">
        <v>4906</v>
      </c>
      <c r="E1689" s="636">
        <v>2000</v>
      </c>
      <c r="F1689" s="637"/>
      <c r="G1689" s="626" t="s">
        <v>4907</v>
      </c>
      <c r="H1689" s="638"/>
      <c r="I1689" s="626"/>
      <c r="J1689" s="638"/>
      <c r="K1689" s="645">
        <v>1</v>
      </c>
      <c r="L1689" s="681" t="s">
        <v>26</v>
      </c>
      <c r="M1689" s="684">
        <v>2000</v>
      </c>
      <c r="N1689" s="654"/>
      <c r="O1689" s="685"/>
      <c r="P1689" s="643"/>
    </row>
    <row r="1690" spans="1:16" s="619" customFormat="1" ht="36" x14ac:dyDescent="0.2">
      <c r="A1690" s="626" t="s">
        <v>4789</v>
      </c>
      <c r="B1690" s="626" t="s">
        <v>2275</v>
      </c>
      <c r="C1690" s="638" t="s">
        <v>108</v>
      </c>
      <c r="D1690" s="626" t="s">
        <v>4890</v>
      </c>
      <c r="E1690" s="636">
        <v>1000</v>
      </c>
      <c r="F1690" s="637"/>
      <c r="G1690" s="626" t="s">
        <v>4891</v>
      </c>
      <c r="H1690" s="638"/>
      <c r="I1690" s="626"/>
      <c r="J1690" s="638"/>
      <c r="K1690" s="645">
        <v>1</v>
      </c>
      <c r="L1690" s="681" t="s">
        <v>26</v>
      </c>
      <c r="M1690" s="684">
        <v>1000</v>
      </c>
      <c r="N1690" s="654"/>
      <c r="O1690" s="685"/>
      <c r="P1690" s="643"/>
    </row>
    <row r="1691" spans="1:16" s="619" customFormat="1" ht="36" x14ac:dyDescent="0.2">
      <c r="A1691" s="626" t="s">
        <v>4789</v>
      </c>
      <c r="B1691" s="626" t="s">
        <v>2275</v>
      </c>
      <c r="C1691" s="638" t="s">
        <v>108</v>
      </c>
      <c r="D1691" s="626" t="s">
        <v>4878</v>
      </c>
      <c r="E1691" s="636">
        <v>786.2</v>
      </c>
      <c r="F1691" s="637"/>
      <c r="G1691" s="626" t="s">
        <v>4879</v>
      </c>
      <c r="H1691" s="638"/>
      <c r="I1691" s="626"/>
      <c r="J1691" s="638"/>
      <c r="K1691" s="645">
        <v>1</v>
      </c>
      <c r="L1691" s="681" t="s">
        <v>26</v>
      </c>
      <c r="M1691" s="684">
        <v>786.2</v>
      </c>
      <c r="N1691" s="654"/>
      <c r="O1691" s="685"/>
      <c r="P1691" s="643"/>
    </row>
    <row r="1692" spans="1:16" s="619" customFormat="1" ht="36" x14ac:dyDescent="0.2">
      <c r="A1692" s="626" t="s">
        <v>4789</v>
      </c>
      <c r="B1692" s="626" t="s">
        <v>2275</v>
      </c>
      <c r="C1692" s="638" t="s">
        <v>108</v>
      </c>
      <c r="D1692" s="626" t="s">
        <v>4890</v>
      </c>
      <c r="E1692" s="636">
        <v>2000</v>
      </c>
      <c r="F1692" s="637"/>
      <c r="G1692" s="626" t="s">
        <v>4891</v>
      </c>
      <c r="H1692" s="638"/>
      <c r="I1692" s="626"/>
      <c r="J1692" s="638"/>
      <c r="K1692" s="645">
        <v>1</v>
      </c>
      <c r="L1692" s="681" t="s">
        <v>26</v>
      </c>
      <c r="M1692" s="684">
        <v>2000</v>
      </c>
      <c r="N1692" s="654"/>
      <c r="O1692" s="685"/>
      <c r="P1692" s="643"/>
    </row>
    <row r="1693" spans="1:16" s="619" customFormat="1" ht="36" x14ac:dyDescent="0.2">
      <c r="A1693" s="626" t="s">
        <v>4789</v>
      </c>
      <c r="B1693" s="626" t="s">
        <v>2275</v>
      </c>
      <c r="C1693" s="638" t="s">
        <v>108</v>
      </c>
      <c r="D1693" s="626" t="s">
        <v>4908</v>
      </c>
      <c r="E1693" s="636">
        <v>1000</v>
      </c>
      <c r="F1693" s="637"/>
      <c r="G1693" s="626" t="s">
        <v>4909</v>
      </c>
      <c r="H1693" s="638"/>
      <c r="I1693" s="626"/>
      <c r="J1693" s="638"/>
      <c r="K1693" s="645">
        <v>1</v>
      </c>
      <c r="L1693" s="681" t="s">
        <v>26</v>
      </c>
      <c r="M1693" s="684">
        <v>1000</v>
      </c>
      <c r="N1693" s="654"/>
      <c r="O1693" s="685"/>
      <c r="P1693" s="643"/>
    </row>
    <row r="1694" spans="1:16" s="619" customFormat="1" ht="36" x14ac:dyDescent="0.2">
      <c r="A1694" s="626" t="s">
        <v>4789</v>
      </c>
      <c r="B1694" s="626" t="s">
        <v>2275</v>
      </c>
      <c r="C1694" s="638" t="s">
        <v>108</v>
      </c>
      <c r="D1694" s="626" t="s">
        <v>4910</v>
      </c>
      <c r="E1694" s="636">
        <v>1000</v>
      </c>
      <c r="F1694" s="637"/>
      <c r="G1694" s="626" t="s">
        <v>4911</v>
      </c>
      <c r="H1694" s="638"/>
      <c r="I1694" s="626"/>
      <c r="J1694" s="638"/>
      <c r="K1694" s="645">
        <v>1</v>
      </c>
      <c r="L1694" s="681" t="s">
        <v>26</v>
      </c>
      <c r="M1694" s="684">
        <v>1000</v>
      </c>
      <c r="N1694" s="654"/>
      <c r="O1694" s="685"/>
      <c r="P1694" s="643"/>
    </row>
    <row r="1695" spans="1:16" s="619" customFormat="1" ht="36" x14ac:dyDescent="0.2">
      <c r="A1695" s="626" t="s">
        <v>4789</v>
      </c>
      <c r="B1695" s="626" t="s">
        <v>2032</v>
      </c>
      <c r="C1695" s="638" t="s">
        <v>108</v>
      </c>
      <c r="D1695" s="626" t="s">
        <v>4912</v>
      </c>
      <c r="E1695" s="636">
        <v>1200</v>
      </c>
      <c r="F1695" s="637"/>
      <c r="G1695" s="626" t="s">
        <v>4844</v>
      </c>
      <c r="H1695" s="638"/>
      <c r="I1695" s="626"/>
      <c r="J1695" s="638"/>
      <c r="K1695" s="645">
        <v>1</v>
      </c>
      <c r="L1695" s="681" t="s">
        <v>0</v>
      </c>
      <c r="M1695" s="684">
        <v>1200</v>
      </c>
      <c r="N1695" s="654"/>
      <c r="O1695" s="685"/>
      <c r="P1695" s="643"/>
    </row>
    <row r="1696" spans="1:16" s="619" customFormat="1" ht="24" x14ac:dyDescent="0.2">
      <c r="A1696" s="626" t="s">
        <v>4789</v>
      </c>
      <c r="B1696" s="626" t="s">
        <v>2032</v>
      </c>
      <c r="C1696" s="638" t="s">
        <v>108</v>
      </c>
      <c r="D1696" s="626" t="s">
        <v>4910</v>
      </c>
      <c r="E1696" s="636">
        <v>533</v>
      </c>
      <c r="F1696" s="637"/>
      <c r="G1696" s="626" t="s">
        <v>4911</v>
      </c>
      <c r="H1696" s="638"/>
      <c r="I1696" s="626"/>
      <c r="J1696" s="638"/>
      <c r="K1696" s="645">
        <v>1</v>
      </c>
      <c r="L1696" s="681" t="s">
        <v>0</v>
      </c>
      <c r="M1696" s="684">
        <v>533</v>
      </c>
      <c r="N1696" s="654"/>
      <c r="O1696" s="685"/>
      <c r="P1696" s="643"/>
    </row>
    <row r="1697" spans="1:16" s="619" customFormat="1" ht="24" x14ac:dyDescent="0.2">
      <c r="A1697" s="626" t="s">
        <v>4789</v>
      </c>
      <c r="B1697" s="626" t="s">
        <v>2032</v>
      </c>
      <c r="C1697" s="638" t="s">
        <v>108</v>
      </c>
      <c r="D1697" s="626" t="s">
        <v>4913</v>
      </c>
      <c r="E1697" s="636">
        <v>1500</v>
      </c>
      <c r="F1697" s="637"/>
      <c r="G1697" s="626" t="s">
        <v>4850</v>
      </c>
      <c r="H1697" s="638"/>
      <c r="I1697" s="626"/>
      <c r="J1697" s="638"/>
      <c r="K1697" s="645">
        <v>1</v>
      </c>
      <c r="L1697" s="681" t="s">
        <v>0</v>
      </c>
      <c r="M1697" s="684">
        <v>1500</v>
      </c>
      <c r="N1697" s="654"/>
      <c r="O1697" s="685"/>
      <c r="P1697" s="643"/>
    </row>
    <row r="1698" spans="1:16" s="619" customFormat="1" ht="36" x14ac:dyDescent="0.2">
      <c r="A1698" s="626" t="s">
        <v>4789</v>
      </c>
      <c r="B1698" s="626" t="s">
        <v>2032</v>
      </c>
      <c r="C1698" s="638" t="s">
        <v>108</v>
      </c>
      <c r="D1698" s="626" t="s">
        <v>4868</v>
      </c>
      <c r="E1698" s="636">
        <v>1400</v>
      </c>
      <c r="F1698" s="637"/>
      <c r="G1698" s="626" t="s">
        <v>4871</v>
      </c>
      <c r="H1698" s="638"/>
      <c r="I1698" s="626"/>
      <c r="J1698" s="638"/>
      <c r="K1698" s="645">
        <v>1</v>
      </c>
      <c r="L1698" s="681" t="s">
        <v>0</v>
      </c>
      <c r="M1698" s="684">
        <v>1400</v>
      </c>
      <c r="N1698" s="654"/>
      <c r="O1698" s="685"/>
      <c r="P1698" s="643"/>
    </row>
    <row r="1699" spans="1:16" s="619" customFormat="1" ht="36" x14ac:dyDescent="0.2">
      <c r="A1699" s="626" t="s">
        <v>4789</v>
      </c>
      <c r="B1699" s="626" t="s">
        <v>2032</v>
      </c>
      <c r="C1699" s="638" t="s">
        <v>108</v>
      </c>
      <c r="D1699" s="626" t="s">
        <v>4868</v>
      </c>
      <c r="E1699" s="636">
        <v>1400</v>
      </c>
      <c r="F1699" s="637"/>
      <c r="G1699" s="626" t="s">
        <v>4869</v>
      </c>
      <c r="H1699" s="638"/>
      <c r="I1699" s="626"/>
      <c r="J1699" s="638"/>
      <c r="K1699" s="645">
        <v>1</v>
      </c>
      <c r="L1699" s="681" t="s">
        <v>0</v>
      </c>
      <c r="M1699" s="684">
        <v>1400</v>
      </c>
      <c r="N1699" s="654"/>
      <c r="O1699" s="685"/>
      <c r="P1699" s="643"/>
    </row>
    <row r="1700" spans="1:16" s="619" customFormat="1" ht="36" x14ac:dyDescent="0.2">
      <c r="A1700" s="626" t="s">
        <v>4789</v>
      </c>
      <c r="B1700" s="626" t="s">
        <v>2032</v>
      </c>
      <c r="C1700" s="638" t="s">
        <v>108</v>
      </c>
      <c r="D1700" s="626" t="s">
        <v>4914</v>
      </c>
      <c r="E1700" s="636">
        <v>1500</v>
      </c>
      <c r="F1700" s="637"/>
      <c r="G1700" s="626" t="s">
        <v>4856</v>
      </c>
      <c r="H1700" s="638"/>
      <c r="I1700" s="626"/>
      <c r="J1700" s="638"/>
      <c r="K1700" s="645">
        <v>1</v>
      </c>
      <c r="L1700" s="681" t="s">
        <v>0</v>
      </c>
      <c r="M1700" s="684">
        <v>1500</v>
      </c>
      <c r="N1700" s="654"/>
      <c r="O1700" s="685"/>
      <c r="P1700" s="643"/>
    </row>
    <row r="1701" spans="1:16" s="619" customFormat="1" ht="24" x14ac:dyDescent="0.2">
      <c r="A1701" s="626" t="s">
        <v>4789</v>
      </c>
      <c r="B1701" s="626" t="s">
        <v>2032</v>
      </c>
      <c r="C1701" s="638" t="s">
        <v>108</v>
      </c>
      <c r="D1701" s="626" t="s">
        <v>4915</v>
      </c>
      <c r="E1701" s="636">
        <v>1500</v>
      </c>
      <c r="F1701" s="637"/>
      <c r="G1701" s="626" t="s">
        <v>4848</v>
      </c>
      <c r="H1701" s="638"/>
      <c r="I1701" s="626"/>
      <c r="J1701" s="638"/>
      <c r="K1701" s="645">
        <v>1</v>
      </c>
      <c r="L1701" s="681" t="s">
        <v>0</v>
      </c>
      <c r="M1701" s="684">
        <v>1500</v>
      </c>
      <c r="N1701" s="654"/>
      <c r="O1701" s="685"/>
      <c r="P1701" s="643"/>
    </row>
    <row r="1702" spans="1:16" s="619" customFormat="1" ht="24" x14ac:dyDescent="0.2">
      <c r="A1702" s="626" t="s">
        <v>4789</v>
      </c>
      <c r="B1702" s="626" t="s">
        <v>2032</v>
      </c>
      <c r="C1702" s="638" t="s">
        <v>108</v>
      </c>
      <c r="D1702" s="626" t="s">
        <v>4916</v>
      </c>
      <c r="E1702" s="636">
        <v>1500</v>
      </c>
      <c r="F1702" s="637"/>
      <c r="G1702" s="626" t="s">
        <v>4845</v>
      </c>
      <c r="H1702" s="638"/>
      <c r="I1702" s="626"/>
      <c r="J1702" s="638"/>
      <c r="K1702" s="645">
        <v>1</v>
      </c>
      <c r="L1702" s="681" t="s">
        <v>0</v>
      </c>
      <c r="M1702" s="684">
        <v>1500</v>
      </c>
      <c r="N1702" s="654"/>
      <c r="O1702" s="685"/>
      <c r="P1702" s="643"/>
    </row>
    <row r="1703" spans="1:16" s="619" customFormat="1" ht="24" x14ac:dyDescent="0.2">
      <c r="A1703" s="626" t="s">
        <v>4789</v>
      </c>
      <c r="B1703" s="626" t="s">
        <v>2032</v>
      </c>
      <c r="C1703" s="638" t="s">
        <v>108</v>
      </c>
      <c r="D1703" s="626" t="s">
        <v>4862</v>
      </c>
      <c r="E1703" s="636">
        <v>2200</v>
      </c>
      <c r="F1703" s="637"/>
      <c r="G1703" s="626" t="s">
        <v>4863</v>
      </c>
      <c r="H1703" s="638"/>
      <c r="I1703" s="626"/>
      <c r="J1703" s="638"/>
      <c r="K1703" s="645">
        <v>1</v>
      </c>
      <c r="L1703" s="681" t="s">
        <v>0</v>
      </c>
      <c r="M1703" s="684">
        <v>2200</v>
      </c>
      <c r="N1703" s="654"/>
      <c r="O1703" s="685"/>
      <c r="P1703" s="643"/>
    </row>
    <row r="1704" spans="1:16" s="619" customFormat="1" ht="24" x14ac:dyDescent="0.2">
      <c r="A1704" s="626" t="s">
        <v>4789</v>
      </c>
      <c r="B1704" s="626" t="s">
        <v>2032</v>
      </c>
      <c r="C1704" s="638" t="s">
        <v>108</v>
      </c>
      <c r="D1704" s="626" t="s">
        <v>4917</v>
      </c>
      <c r="E1704" s="636">
        <v>1200</v>
      </c>
      <c r="F1704" s="637"/>
      <c r="G1704" s="626" t="s">
        <v>4859</v>
      </c>
      <c r="H1704" s="638"/>
      <c r="I1704" s="626"/>
      <c r="J1704" s="638"/>
      <c r="K1704" s="645">
        <v>1</v>
      </c>
      <c r="L1704" s="681" t="s">
        <v>0</v>
      </c>
      <c r="M1704" s="684">
        <v>1200</v>
      </c>
      <c r="N1704" s="654"/>
      <c r="O1704" s="685"/>
      <c r="P1704" s="643"/>
    </row>
    <row r="1705" spans="1:16" s="619" customFormat="1" ht="36" x14ac:dyDescent="0.2">
      <c r="A1705" s="626" t="s">
        <v>4789</v>
      </c>
      <c r="B1705" s="626" t="s">
        <v>2032</v>
      </c>
      <c r="C1705" s="638" t="s">
        <v>108</v>
      </c>
      <c r="D1705" s="626" t="s">
        <v>4857</v>
      </c>
      <c r="E1705" s="636">
        <v>1000</v>
      </c>
      <c r="F1705" s="637"/>
      <c r="G1705" s="626" t="s">
        <v>4858</v>
      </c>
      <c r="H1705" s="638"/>
      <c r="I1705" s="626"/>
      <c r="J1705" s="638"/>
      <c r="K1705" s="645">
        <v>1</v>
      </c>
      <c r="L1705" s="681" t="s">
        <v>0</v>
      </c>
      <c r="M1705" s="684">
        <v>1000</v>
      </c>
      <c r="N1705" s="654"/>
      <c r="O1705" s="685"/>
      <c r="P1705" s="643"/>
    </row>
    <row r="1706" spans="1:16" s="619" customFormat="1" ht="24" x14ac:dyDescent="0.2">
      <c r="A1706" s="626" t="s">
        <v>4789</v>
      </c>
      <c r="B1706" s="626" t="s">
        <v>2032</v>
      </c>
      <c r="C1706" s="638" t="s">
        <v>108</v>
      </c>
      <c r="D1706" s="626" t="s">
        <v>4918</v>
      </c>
      <c r="E1706" s="636">
        <v>1500</v>
      </c>
      <c r="F1706" s="637"/>
      <c r="G1706" s="626" t="s">
        <v>4865</v>
      </c>
      <c r="H1706" s="638"/>
      <c r="I1706" s="626"/>
      <c r="J1706" s="638"/>
      <c r="K1706" s="645">
        <v>1</v>
      </c>
      <c r="L1706" s="681" t="s">
        <v>0</v>
      </c>
      <c r="M1706" s="684">
        <v>1500</v>
      </c>
      <c r="N1706" s="654"/>
      <c r="O1706" s="685"/>
      <c r="P1706" s="643"/>
    </row>
    <row r="1707" spans="1:16" s="619" customFormat="1" ht="36" x14ac:dyDescent="0.2">
      <c r="A1707" s="626" t="s">
        <v>4789</v>
      </c>
      <c r="B1707" s="626" t="s">
        <v>2032</v>
      </c>
      <c r="C1707" s="638" t="s">
        <v>108</v>
      </c>
      <c r="D1707" s="626" t="s">
        <v>4919</v>
      </c>
      <c r="E1707" s="636">
        <v>2200</v>
      </c>
      <c r="F1707" s="637"/>
      <c r="G1707" s="626" t="s">
        <v>4920</v>
      </c>
      <c r="H1707" s="638"/>
      <c r="I1707" s="626"/>
      <c r="J1707" s="638"/>
      <c r="K1707" s="645">
        <v>1</v>
      </c>
      <c r="L1707" s="681" t="s">
        <v>0</v>
      </c>
      <c r="M1707" s="684">
        <v>2200</v>
      </c>
      <c r="N1707" s="654"/>
      <c r="O1707" s="685"/>
      <c r="P1707" s="643"/>
    </row>
    <row r="1708" spans="1:16" s="619" customFormat="1" ht="36" x14ac:dyDescent="0.2">
      <c r="A1708" s="626" t="s">
        <v>4789</v>
      </c>
      <c r="B1708" s="626" t="s">
        <v>2032</v>
      </c>
      <c r="C1708" s="638" t="s">
        <v>108</v>
      </c>
      <c r="D1708" s="626" t="s">
        <v>4876</v>
      </c>
      <c r="E1708" s="636">
        <v>2800</v>
      </c>
      <c r="F1708" s="637"/>
      <c r="G1708" s="626" t="s">
        <v>4877</v>
      </c>
      <c r="H1708" s="638"/>
      <c r="I1708" s="626"/>
      <c r="J1708" s="638"/>
      <c r="K1708" s="645">
        <v>1</v>
      </c>
      <c r="L1708" s="681" t="s">
        <v>0</v>
      </c>
      <c r="M1708" s="684">
        <v>2800</v>
      </c>
      <c r="N1708" s="654"/>
      <c r="O1708" s="685"/>
      <c r="P1708" s="643"/>
    </row>
    <row r="1709" spans="1:16" s="619" customFormat="1" ht="36" x14ac:dyDescent="0.2">
      <c r="A1709" s="626" t="s">
        <v>4789</v>
      </c>
      <c r="B1709" s="626" t="s">
        <v>2032</v>
      </c>
      <c r="C1709" s="638" t="s">
        <v>108</v>
      </c>
      <c r="D1709" s="626" t="s">
        <v>4880</v>
      </c>
      <c r="E1709" s="636">
        <v>1500</v>
      </c>
      <c r="F1709" s="637"/>
      <c r="G1709" s="626" t="s">
        <v>4881</v>
      </c>
      <c r="H1709" s="638"/>
      <c r="I1709" s="626"/>
      <c r="J1709" s="638"/>
      <c r="K1709" s="645">
        <v>1</v>
      </c>
      <c r="L1709" s="681" t="s">
        <v>0</v>
      </c>
      <c r="M1709" s="684">
        <v>1500</v>
      </c>
      <c r="N1709" s="654"/>
      <c r="O1709" s="685"/>
      <c r="P1709" s="643"/>
    </row>
    <row r="1710" spans="1:16" s="619" customFormat="1" ht="24" x14ac:dyDescent="0.2">
      <c r="A1710" s="626" t="s">
        <v>4789</v>
      </c>
      <c r="B1710" s="626" t="s">
        <v>2032</v>
      </c>
      <c r="C1710" s="638" t="s">
        <v>108</v>
      </c>
      <c r="D1710" s="626" t="s">
        <v>3973</v>
      </c>
      <c r="E1710" s="636">
        <v>1500</v>
      </c>
      <c r="F1710" s="637"/>
      <c r="G1710" s="626" t="s">
        <v>4874</v>
      </c>
      <c r="H1710" s="638"/>
      <c r="I1710" s="626"/>
      <c r="J1710" s="638"/>
      <c r="K1710" s="645">
        <v>1</v>
      </c>
      <c r="L1710" s="681" t="s">
        <v>0</v>
      </c>
      <c r="M1710" s="684">
        <v>1500</v>
      </c>
      <c r="N1710" s="654"/>
      <c r="O1710" s="685"/>
      <c r="P1710" s="643"/>
    </row>
    <row r="1711" spans="1:16" s="619" customFormat="1" ht="36" x14ac:dyDescent="0.2">
      <c r="A1711" s="626" t="s">
        <v>4789</v>
      </c>
      <c r="B1711" s="626" t="s">
        <v>2032</v>
      </c>
      <c r="C1711" s="638" t="s">
        <v>108</v>
      </c>
      <c r="D1711" s="626" t="s">
        <v>4882</v>
      </c>
      <c r="E1711" s="636">
        <v>2500</v>
      </c>
      <c r="F1711" s="637"/>
      <c r="G1711" s="626" t="s">
        <v>4883</v>
      </c>
      <c r="H1711" s="638"/>
      <c r="I1711" s="626"/>
      <c r="J1711" s="638"/>
      <c r="K1711" s="645">
        <v>1</v>
      </c>
      <c r="L1711" s="681" t="s">
        <v>0</v>
      </c>
      <c r="M1711" s="684">
        <v>2500</v>
      </c>
      <c r="N1711" s="654"/>
      <c r="O1711" s="685"/>
      <c r="P1711" s="643"/>
    </row>
    <row r="1712" spans="1:16" s="619" customFormat="1" ht="36" x14ac:dyDescent="0.2">
      <c r="A1712" s="626" t="s">
        <v>4789</v>
      </c>
      <c r="B1712" s="626" t="s">
        <v>2032</v>
      </c>
      <c r="C1712" s="638" t="s">
        <v>108</v>
      </c>
      <c r="D1712" s="626" t="s">
        <v>4898</v>
      </c>
      <c r="E1712" s="636">
        <v>3000</v>
      </c>
      <c r="F1712" s="637"/>
      <c r="G1712" s="626" t="s">
        <v>4899</v>
      </c>
      <c r="H1712" s="638"/>
      <c r="I1712" s="626"/>
      <c r="J1712" s="638"/>
      <c r="K1712" s="645">
        <v>1</v>
      </c>
      <c r="L1712" s="681" t="s">
        <v>0</v>
      </c>
      <c r="M1712" s="684">
        <v>3000</v>
      </c>
      <c r="N1712" s="654"/>
      <c r="O1712" s="685"/>
      <c r="P1712" s="643"/>
    </row>
    <row r="1713" spans="1:16" s="619" customFormat="1" ht="36" x14ac:dyDescent="0.2">
      <c r="A1713" s="626" t="s">
        <v>4789</v>
      </c>
      <c r="B1713" s="626" t="s">
        <v>2032</v>
      </c>
      <c r="C1713" s="638" t="s">
        <v>108</v>
      </c>
      <c r="D1713" s="626" t="s">
        <v>1917</v>
      </c>
      <c r="E1713" s="636">
        <v>1100</v>
      </c>
      <c r="F1713" s="637"/>
      <c r="G1713" s="626" t="s">
        <v>4846</v>
      </c>
      <c r="H1713" s="638"/>
      <c r="I1713" s="626"/>
      <c r="J1713" s="638"/>
      <c r="K1713" s="645">
        <v>1</v>
      </c>
      <c r="L1713" s="681" t="s">
        <v>0</v>
      </c>
      <c r="M1713" s="684">
        <v>1100</v>
      </c>
      <c r="N1713" s="654"/>
      <c r="O1713" s="685"/>
      <c r="P1713" s="643"/>
    </row>
    <row r="1714" spans="1:16" s="619" customFormat="1" ht="36" x14ac:dyDescent="0.2">
      <c r="A1714" s="626" t="s">
        <v>4789</v>
      </c>
      <c r="B1714" s="626" t="s">
        <v>2032</v>
      </c>
      <c r="C1714" s="638" t="s">
        <v>108</v>
      </c>
      <c r="D1714" s="626" t="s">
        <v>4921</v>
      </c>
      <c r="E1714" s="636">
        <v>1000</v>
      </c>
      <c r="F1714" s="637"/>
      <c r="G1714" s="626" t="s">
        <v>4867</v>
      </c>
      <c r="H1714" s="638"/>
      <c r="I1714" s="626"/>
      <c r="J1714" s="638"/>
      <c r="K1714" s="645">
        <v>1</v>
      </c>
      <c r="L1714" s="681" t="s">
        <v>0</v>
      </c>
      <c r="M1714" s="684">
        <v>1000</v>
      </c>
      <c r="N1714" s="654"/>
      <c r="O1714" s="685"/>
      <c r="P1714" s="643"/>
    </row>
    <row r="1715" spans="1:16" s="619" customFormat="1" ht="36" x14ac:dyDescent="0.2">
      <c r="A1715" s="626" t="s">
        <v>4789</v>
      </c>
      <c r="B1715" s="626" t="s">
        <v>2032</v>
      </c>
      <c r="C1715" s="638" t="s">
        <v>108</v>
      </c>
      <c r="D1715" s="626" t="s">
        <v>4922</v>
      </c>
      <c r="E1715" s="636">
        <v>866.7</v>
      </c>
      <c r="F1715" s="637"/>
      <c r="G1715" s="626" t="s">
        <v>4923</v>
      </c>
      <c r="H1715" s="638"/>
      <c r="I1715" s="626"/>
      <c r="J1715" s="638"/>
      <c r="K1715" s="645">
        <v>1</v>
      </c>
      <c r="L1715" s="681" t="s">
        <v>0</v>
      </c>
      <c r="M1715" s="684">
        <v>866.7</v>
      </c>
      <c r="N1715" s="654"/>
      <c r="O1715" s="685"/>
      <c r="P1715" s="643"/>
    </row>
    <row r="1716" spans="1:16" s="619" customFormat="1" ht="24" x14ac:dyDescent="0.2">
      <c r="A1716" s="626" t="s">
        <v>4789</v>
      </c>
      <c r="B1716" s="626" t="s">
        <v>2032</v>
      </c>
      <c r="C1716" s="638" t="s">
        <v>108</v>
      </c>
      <c r="D1716" s="626" t="s">
        <v>4924</v>
      </c>
      <c r="E1716" s="636">
        <v>586.70000000000005</v>
      </c>
      <c r="F1716" s="637"/>
      <c r="G1716" s="626" t="s">
        <v>4925</v>
      </c>
      <c r="H1716" s="638"/>
      <c r="I1716" s="626"/>
      <c r="J1716" s="638"/>
      <c r="K1716" s="645">
        <v>1</v>
      </c>
      <c r="L1716" s="681" t="s">
        <v>0</v>
      </c>
      <c r="M1716" s="684">
        <v>586.70000000000005</v>
      </c>
      <c r="N1716" s="654"/>
      <c r="O1716" s="685"/>
      <c r="P1716" s="643"/>
    </row>
    <row r="1717" spans="1:16" s="619" customFormat="1" ht="36" x14ac:dyDescent="0.2">
      <c r="A1717" s="626" t="s">
        <v>4789</v>
      </c>
      <c r="B1717" s="626" t="s">
        <v>2032</v>
      </c>
      <c r="C1717" s="638" t="s">
        <v>108</v>
      </c>
      <c r="D1717" s="626" t="s">
        <v>4926</v>
      </c>
      <c r="E1717" s="636">
        <v>1500</v>
      </c>
      <c r="F1717" s="637"/>
      <c r="G1717" s="626" t="s">
        <v>4861</v>
      </c>
      <c r="H1717" s="638"/>
      <c r="I1717" s="626"/>
      <c r="J1717" s="638"/>
      <c r="K1717" s="645">
        <v>1</v>
      </c>
      <c r="L1717" s="681" t="s">
        <v>0</v>
      </c>
      <c r="M1717" s="684">
        <v>1500</v>
      </c>
      <c r="N1717" s="654"/>
      <c r="O1717" s="685"/>
      <c r="P1717" s="643"/>
    </row>
    <row r="1718" spans="1:16" s="619" customFormat="1" ht="24" x14ac:dyDescent="0.2">
      <c r="A1718" s="626" t="s">
        <v>4789</v>
      </c>
      <c r="B1718" s="626" t="s">
        <v>2032</v>
      </c>
      <c r="C1718" s="638" t="s">
        <v>108</v>
      </c>
      <c r="D1718" s="626" t="s">
        <v>4927</v>
      </c>
      <c r="E1718" s="636">
        <v>650</v>
      </c>
      <c r="F1718" s="637"/>
      <c r="G1718" s="626" t="s">
        <v>2191</v>
      </c>
      <c r="H1718" s="638"/>
      <c r="I1718" s="626"/>
      <c r="J1718" s="638"/>
      <c r="K1718" s="645">
        <v>1</v>
      </c>
      <c r="L1718" s="681" t="s">
        <v>0</v>
      </c>
      <c r="M1718" s="684">
        <v>650</v>
      </c>
      <c r="N1718" s="654"/>
      <c r="O1718" s="685"/>
      <c r="P1718" s="643"/>
    </row>
    <row r="1719" spans="1:16" s="619" customFormat="1" ht="36" x14ac:dyDescent="0.2">
      <c r="A1719" s="626" t="s">
        <v>4789</v>
      </c>
      <c r="B1719" s="626" t="s">
        <v>2032</v>
      </c>
      <c r="C1719" s="638" t="s">
        <v>108</v>
      </c>
      <c r="D1719" s="626" t="s">
        <v>4894</v>
      </c>
      <c r="E1719" s="636">
        <v>1500</v>
      </c>
      <c r="F1719" s="637"/>
      <c r="G1719" s="626" t="s">
        <v>4903</v>
      </c>
      <c r="H1719" s="638"/>
      <c r="I1719" s="626"/>
      <c r="J1719" s="638"/>
      <c r="K1719" s="645">
        <v>1</v>
      </c>
      <c r="L1719" s="681" t="s">
        <v>0</v>
      </c>
      <c r="M1719" s="684">
        <v>1500</v>
      </c>
      <c r="N1719" s="654"/>
      <c r="O1719" s="685"/>
      <c r="P1719" s="643"/>
    </row>
    <row r="1720" spans="1:16" s="619" customFormat="1" ht="24" x14ac:dyDescent="0.2">
      <c r="A1720" s="626" t="s">
        <v>4789</v>
      </c>
      <c r="B1720" s="626" t="s">
        <v>2032</v>
      </c>
      <c r="C1720" s="638" t="s">
        <v>108</v>
      </c>
      <c r="D1720" s="626" t="s">
        <v>4928</v>
      </c>
      <c r="E1720" s="636">
        <v>1500</v>
      </c>
      <c r="F1720" s="637"/>
      <c r="G1720" s="626" t="s">
        <v>4929</v>
      </c>
      <c r="H1720" s="638"/>
      <c r="I1720" s="626"/>
      <c r="J1720" s="638"/>
      <c r="K1720" s="645">
        <v>1</v>
      </c>
      <c r="L1720" s="681" t="s">
        <v>0</v>
      </c>
      <c r="M1720" s="684">
        <v>1500</v>
      </c>
      <c r="N1720" s="654"/>
      <c r="O1720" s="685"/>
      <c r="P1720" s="643"/>
    </row>
    <row r="1721" spans="1:16" s="619" customFormat="1" ht="36" x14ac:dyDescent="0.2">
      <c r="A1721" s="626" t="s">
        <v>4789</v>
      </c>
      <c r="B1721" s="626" t="s">
        <v>2032</v>
      </c>
      <c r="C1721" s="638" t="s">
        <v>108</v>
      </c>
      <c r="D1721" s="626" t="s">
        <v>4930</v>
      </c>
      <c r="E1721" s="636">
        <v>1500</v>
      </c>
      <c r="F1721" s="637"/>
      <c r="G1721" s="626" t="s">
        <v>4855</v>
      </c>
      <c r="H1721" s="638"/>
      <c r="I1721" s="626"/>
      <c r="J1721" s="638"/>
      <c r="K1721" s="645">
        <v>1</v>
      </c>
      <c r="L1721" s="681" t="s">
        <v>0</v>
      </c>
      <c r="M1721" s="684">
        <v>1500</v>
      </c>
      <c r="N1721" s="654"/>
      <c r="O1721" s="685"/>
      <c r="P1721" s="643"/>
    </row>
    <row r="1722" spans="1:16" s="619" customFormat="1" ht="36" x14ac:dyDescent="0.2">
      <c r="A1722" s="626" t="s">
        <v>4789</v>
      </c>
      <c r="B1722" s="626" t="s">
        <v>2032</v>
      </c>
      <c r="C1722" s="638" t="s">
        <v>108</v>
      </c>
      <c r="D1722" s="626" t="s">
        <v>4931</v>
      </c>
      <c r="E1722" s="636">
        <v>1500</v>
      </c>
      <c r="F1722" s="637"/>
      <c r="G1722" s="626" t="s">
        <v>4932</v>
      </c>
      <c r="H1722" s="638"/>
      <c r="I1722" s="626"/>
      <c r="J1722" s="638"/>
      <c r="K1722" s="645">
        <v>1</v>
      </c>
      <c r="L1722" s="681" t="s">
        <v>0</v>
      </c>
      <c r="M1722" s="684">
        <v>1500</v>
      </c>
      <c r="N1722" s="654"/>
      <c r="O1722" s="685"/>
      <c r="P1722" s="643"/>
    </row>
    <row r="1723" spans="1:16" s="619" customFormat="1" ht="36" x14ac:dyDescent="0.2">
      <c r="A1723" s="626" t="s">
        <v>4789</v>
      </c>
      <c r="B1723" s="626" t="s">
        <v>2032</v>
      </c>
      <c r="C1723" s="638" t="s">
        <v>108</v>
      </c>
      <c r="D1723" s="626" t="s">
        <v>4933</v>
      </c>
      <c r="E1723" s="636">
        <v>2000</v>
      </c>
      <c r="F1723" s="637"/>
      <c r="G1723" s="626" t="s">
        <v>4907</v>
      </c>
      <c r="H1723" s="638"/>
      <c r="I1723" s="626"/>
      <c r="J1723" s="638"/>
      <c r="K1723" s="645">
        <v>1</v>
      </c>
      <c r="L1723" s="681" t="s">
        <v>0</v>
      </c>
      <c r="M1723" s="684">
        <v>2000</v>
      </c>
      <c r="N1723" s="654"/>
      <c r="O1723" s="685"/>
      <c r="P1723" s="643"/>
    </row>
    <row r="1724" spans="1:16" s="619" customFormat="1" ht="36" x14ac:dyDescent="0.2">
      <c r="A1724" s="626" t="s">
        <v>4789</v>
      </c>
      <c r="B1724" s="626" t="s">
        <v>2032</v>
      </c>
      <c r="C1724" s="638" t="s">
        <v>108</v>
      </c>
      <c r="D1724" s="626" t="s">
        <v>4934</v>
      </c>
      <c r="E1724" s="636">
        <v>1500</v>
      </c>
      <c r="F1724" s="637"/>
      <c r="G1724" s="626" t="s">
        <v>4935</v>
      </c>
      <c r="H1724" s="638"/>
      <c r="I1724" s="626"/>
      <c r="J1724" s="638"/>
      <c r="K1724" s="645">
        <v>1</v>
      </c>
      <c r="L1724" s="681" t="s">
        <v>0</v>
      </c>
      <c r="M1724" s="684">
        <v>1500</v>
      </c>
      <c r="N1724" s="654"/>
      <c r="O1724" s="685"/>
      <c r="P1724" s="643"/>
    </row>
    <row r="1725" spans="1:16" s="619" customFormat="1" ht="36" x14ac:dyDescent="0.2">
      <c r="A1725" s="626" t="s">
        <v>4789</v>
      </c>
      <c r="B1725" s="626" t="s">
        <v>2032</v>
      </c>
      <c r="C1725" s="638" t="s">
        <v>108</v>
      </c>
      <c r="D1725" s="626" t="s">
        <v>4936</v>
      </c>
      <c r="E1725" s="636">
        <v>1900</v>
      </c>
      <c r="F1725" s="637"/>
      <c r="G1725" s="626" t="s">
        <v>4937</v>
      </c>
      <c r="H1725" s="638"/>
      <c r="I1725" s="626"/>
      <c r="J1725" s="638"/>
      <c r="K1725" s="645">
        <v>1</v>
      </c>
      <c r="L1725" s="681" t="s">
        <v>0</v>
      </c>
      <c r="M1725" s="684">
        <v>1900</v>
      </c>
      <c r="N1725" s="654"/>
      <c r="O1725" s="685"/>
      <c r="P1725" s="643"/>
    </row>
    <row r="1726" spans="1:16" s="619" customFormat="1" ht="24" x14ac:dyDescent="0.2">
      <c r="A1726" s="626" t="s">
        <v>4789</v>
      </c>
      <c r="B1726" s="626" t="s">
        <v>2032</v>
      </c>
      <c r="C1726" s="638" t="s">
        <v>108</v>
      </c>
      <c r="D1726" s="626" t="s">
        <v>4938</v>
      </c>
      <c r="E1726" s="636">
        <v>2000</v>
      </c>
      <c r="F1726" s="637"/>
      <c r="G1726" s="626" t="s">
        <v>4905</v>
      </c>
      <c r="H1726" s="638"/>
      <c r="I1726" s="626"/>
      <c r="J1726" s="638"/>
      <c r="K1726" s="645">
        <v>1</v>
      </c>
      <c r="L1726" s="681" t="s">
        <v>0</v>
      </c>
      <c r="M1726" s="684">
        <v>2000</v>
      </c>
      <c r="N1726" s="654"/>
      <c r="O1726" s="685"/>
      <c r="P1726" s="643"/>
    </row>
    <row r="1727" spans="1:16" s="619" customFormat="1" ht="24" x14ac:dyDescent="0.2">
      <c r="A1727" s="626" t="s">
        <v>4789</v>
      </c>
      <c r="B1727" s="626" t="s">
        <v>2032</v>
      </c>
      <c r="C1727" s="638" t="s">
        <v>108</v>
      </c>
      <c r="D1727" s="626" t="s">
        <v>4939</v>
      </c>
      <c r="E1727" s="636">
        <v>1100</v>
      </c>
      <c r="F1727" s="637"/>
      <c r="G1727" s="626" t="s">
        <v>4885</v>
      </c>
      <c r="H1727" s="638"/>
      <c r="I1727" s="626"/>
      <c r="J1727" s="638"/>
      <c r="K1727" s="645">
        <v>1</v>
      </c>
      <c r="L1727" s="681" t="s">
        <v>0</v>
      </c>
      <c r="M1727" s="684">
        <v>1100</v>
      </c>
      <c r="N1727" s="654"/>
      <c r="O1727" s="685"/>
      <c r="P1727" s="643"/>
    </row>
    <row r="1728" spans="1:16" s="619" customFormat="1" ht="36" x14ac:dyDescent="0.2">
      <c r="A1728" s="626" t="s">
        <v>4789</v>
      </c>
      <c r="B1728" s="626" t="s">
        <v>2032</v>
      </c>
      <c r="C1728" s="638" t="s">
        <v>108</v>
      </c>
      <c r="D1728" s="626" t="s">
        <v>4940</v>
      </c>
      <c r="E1728" s="636">
        <v>2000</v>
      </c>
      <c r="F1728" s="637"/>
      <c r="G1728" s="626" t="s">
        <v>2816</v>
      </c>
      <c r="H1728" s="638"/>
      <c r="I1728" s="626"/>
      <c r="J1728" s="638"/>
      <c r="K1728" s="645">
        <v>1</v>
      </c>
      <c r="L1728" s="681" t="s">
        <v>0</v>
      </c>
      <c r="M1728" s="684">
        <v>2000</v>
      </c>
      <c r="N1728" s="654"/>
      <c r="O1728" s="685"/>
      <c r="P1728" s="643"/>
    </row>
    <row r="1729" spans="1:16" s="619" customFormat="1" ht="24" x14ac:dyDescent="0.2">
      <c r="A1729" s="626" t="s">
        <v>4789</v>
      </c>
      <c r="B1729" s="626" t="s">
        <v>2032</v>
      </c>
      <c r="C1729" s="638" t="s">
        <v>108</v>
      </c>
      <c r="D1729" s="626" t="s">
        <v>4938</v>
      </c>
      <c r="E1729" s="636">
        <v>2000</v>
      </c>
      <c r="F1729" s="637"/>
      <c r="G1729" s="626" t="s">
        <v>4887</v>
      </c>
      <c r="H1729" s="638"/>
      <c r="I1729" s="626"/>
      <c r="J1729" s="638"/>
      <c r="K1729" s="645">
        <v>1</v>
      </c>
      <c r="L1729" s="681" t="s">
        <v>0</v>
      </c>
      <c r="M1729" s="684">
        <v>2000</v>
      </c>
      <c r="N1729" s="654"/>
      <c r="O1729" s="685"/>
      <c r="P1729" s="643"/>
    </row>
    <row r="1730" spans="1:16" s="619" customFormat="1" ht="24" x14ac:dyDescent="0.2">
      <c r="A1730" s="626" t="s">
        <v>4789</v>
      </c>
      <c r="B1730" s="626" t="s">
        <v>2032</v>
      </c>
      <c r="C1730" s="638" t="s">
        <v>108</v>
      </c>
      <c r="D1730" s="626" t="s">
        <v>3776</v>
      </c>
      <c r="E1730" s="636">
        <v>1200</v>
      </c>
      <c r="F1730" s="637"/>
      <c r="G1730" s="626" t="s">
        <v>4852</v>
      </c>
      <c r="H1730" s="638"/>
      <c r="I1730" s="626"/>
      <c r="J1730" s="638"/>
      <c r="K1730" s="645">
        <v>1</v>
      </c>
      <c r="L1730" s="681" t="s">
        <v>0</v>
      </c>
      <c r="M1730" s="684">
        <v>1200</v>
      </c>
      <c r="N1730" s="654"/>
      <c r="O1730" s="685"/>
      <c r="P1730" s="643"/>
    </row>
    <row r="1731" spans="1:16" s="619" customFormat="1" ht="24" x14ac:dyDescent="0.2">
      <c r="A1731" s="626" t="s">
        <v>4789</v>
      </c>
      <c r="B1731" s="626" t="s">
        <v>2032</v>
      </c>
      <c r="C1731" s="638" t="s">
        <v>108</v>
      </c>
      <c r="D1731" s="626" t="s">
        <v>3776</v>
      </c>
      <c r="E1731" s="636">
        <v>1200</v>
      </c>
      <c r="F1731" s="637"/>
      <c r="G1731" s="626" t="s">
        <v>4851</v>
      </c>
      <c r="H1731" s="638"/>
      <c r="I1731" s="626"/>
      <c r="J1731" s="638"/>
      <c r="K1731" s="645">
        <v>1</v>
      </c>
      <c r="L1731" s="681" t="s">
        <v>0</v>
      </c>
      <c r="M1731" s="684">
        <v>1200</v>
      </c>
      <c r="N1731" s="654"/>
      <c r="O1731" s="685"/>
      <c r="P1731" s="643"/>
    </row>
    <row r="1732" spans="1:16" s="619" customFormat="1" ht="36" x14ac:dyDescent="0.2">
      <c r="A1732" s="626" t="s">
        <v>4789</v>
      </c>
      <c r="B1732" s="626" t="s">
        <v>2032</v>
      </c>
      <c r="C1732" s="638" t="s">
        <v>108</v>
      </c>
      <c r="D1732" s="626" t="s">
        <v>4941</v>
      </c>
      <c r="E1732" s="636">
        <v>1300</v>
      </c>
      <c r="F1732" s="637"/>
      <c r="G1732" s="626" t="s">
        <v>4901</v>
      </c>
      <c r="H1732" s="638"/>
      <c r="I1732" s="626"/>
      <c r="J1732" s="638"/>
      <c r="K1732" s="645">
        <v>1</v>
      </c>
      <c r="L1732" s="681" t="s">
        <v>0</v>
      </c>
      <c r="M1732" s="684">
        <v>1300</v>
      </c>
      <c r="N1732" s="654"/>
      <c r="O1732" s="685"/>
      <c r="P1732" s="643"/>
    </row>
    <row r="1733" spans="1:16" s="619" customFormat="1" ht="48" x14ac:dyDescent="0.2">
      <c r="A1733" s="626" t="s">
        <v>4789</v>
      </c>
      <c r="B1733" s="626" t="s">
        <v>2032</v>
      </c>
      <c r="C1733" s="638" t="s">
        <v>108</v>
      </c>
      <c r="D1733" s="626" t="s">
        <v>4894</v>
      </c>
      <c r="E1733" s="636">
        <v>1500</v>
      </c>
      <c r="F1733" s="637"/>
      <c r="G1733" s="626" t="s">
        <v>4895</v>
      </c>
      <c r="H1733" s="638"/>
      <c r="I1733" s="626"/>
      <c r="J1733" s="638"/>
      <c r="K1733" s="645">
        <v>1</v>
      </c>
      <c r="L1733" s="681" t="s">
        <v>0</v>
      </c>
      <c r="M1733" s="684">
        <v>1500</v>
      </c>
      <c r="N1733" s="654"/>
      <c r="O1733" s="685"/>
      <c r="P1733" s="643"/>
    </row>
    <row r="1734" spans="1:16" s="619" customFormat="1" ht="24" x14ac:dyDescent="0.2">
      <c r="A1734" s="626" t="s">
        <v>4789</v>
      </c>
      <c r="B1734" s="626" t="s">
        <v>2032</v>
      </c>
      <c r="C1734" s="638" t="s">
        <v>108</v>
      </c>
      <c r="D1734" s="626" t="s">
        <v>4942</v>
      </c>
      <c r="E1734" s="636">
        <v>1400</v>
      </c>
      <c r="F1734" s="637"/>
      <c r="G1734" s="626" t="s">
        <v>4872</v>
      </c>
      <c r="H1734" s="638"/>
      <c r="I1734" s="626"/>
      <c r="J1734" s="638"/>
      <c r="K1734" s="645">
        <v>1</v>
      </c>
      <c r="L1734" s="681" t="s">
        <v>0</v>
      </c>
      <c r="M1734" s="684">
        <v>1400</v>
      </c>
      <c r="N1734" s="654"/>
      <c r="O1734" s="685"/>
      <c r="P1734" s="643"/>
    </row>
    <row r="1735" spans="1:16" s="619" customFormat="1" ht="24" x14ac:dyDescent="0.2">
      <c r="A1735" s="626" t="s">
        <v>4789</v>
      </c>
      <c r="B1735" s="626" t="s">
        <v>2032</v>
      </c>
      <c r="C1735" s="638" t="s">
        <v>108</v>
      </c>
      <c r="D1735" s="626" t="s">
        <v>4908</v>
      </c>
      <c r="E1735" s="636">
        <v>300</v>
      </c>
      <c r="F1735" s="637"/>
      <c r="G1735" s="626" t="s">
        <v>4909</v>
      </c>
      <c r="H1735" s="638"/>
      <c r="I1735" s="626"/>
      <c r="J1735" s="638"/>
      <c r="K1735" s="645">
        <v>1</v>
      </c>
      <c r="L1735" s="681" t="s">
        <v>0</v>
      </c>
      <c r="M1735" s="684">
        <v>300</v>
      </c>
      <c r="N1735" s="654"/>
      <c r="O1735" s="685"/>
      <c r="P1735" s="643"/>
    </row>
    <row r="1736" spans="1:16" s="619" customFormat="1" ht="36" x14ac:dyDescent="0.2">
      <c r="A1736" s="626" t="s">
        <v>4789</v>
      </c>
      <c r="B1736" s="626" t="s">
        <v>2032</v>
      </c>
      <c r="C1736" s="638" t="s">
        <v>108</v>
      </c>
      <c r="D1736" s="626" t="s">
        <v>4875</v>
      </c>
      <c r="E1736" s="636">
        <v>2500</v>
      </c>
      <c r="F1736" s="637"/>
      <c r="G1736" s="626" t="s">
        <v>2741</v>
      </c>
      <c r="H1736" s="638"/>
      <c r="I1736" s="626"/>
      <c r="J1736" s="638"/>
      <c r="K1736" s="645">
        <v>1</v>
      </c>
      <c r="L1736" s="681" t="s">
        <v>0</v>
      </c>
      <c r="M1736" s="684">
        <v>2500</v>
      </c>
      <c r="N1736" s="654"/>
      <c r="O1736" s="685"/>
      <c r="P1736" s="643"/>
    </row>
    <row r="1737" spans="1:16" s="619" customFormat="1" ht="24" x14ac:dyDescent="0.2">
      <c r="A1737" s="626" t="s">
        <v>4789</v>
      </c>
      <c r="B1737" s="626" t="s">
        <v>2032</v>
      </c>
      <c r="C1737" s="638" t="s">
        <v>108</v>
      </c>
      <c r="D1737" s="626" t="s">
        <v>4943</v>
      </c>
      <c r="E1737" s="636">
        <v>1500</v>
      </c>
      <c r="F1737" s="637"/>
      <c r="G1737" s="626" t="s">
        <v>4854</v>
      </c>
      <c r="H1737" s="638"/>
      <c r="I1737" s="626"/>
      <c r="J1737" s="638"/>
      <c r="K1737" s="645">
        <v>1</v>
      </c>
      <c r="L1737" s="681" t="s">
        <v>0</v>
      </c>
      <c r="M1737" s="684">
        <v>1500</v>
      </c>
      <c r="N1737" s="654"/>
      <c r="O1737" s="685"/>
      <c r="P1737" s="643"/>
    </row>
    <row r="1738" spans="1:16" s="619" customFormat="1" ht="36" x14ac:dyDescent="0.2">
      <c r="A1738" s="626" t="s">
        <v>4789</v>
      </c>
      <c r="B1738" s="626" t="s">
        <v>2032</v>
      </c>
      <c r="C1738" s="638" t="s">
        <v>108</v>
      </c>
      <c r="D1738" s="626" t="s">
        <v>4944</v>
      </c>
      <c r="E1738" s="636">
        <v>1500</v>
      </c>
      <c r="F1738" s="637"/>
      <c r="G1738" s="626" t="s">
        <v>4945</v>
      </c>
      <c r="H1738" s="638"/>
      <c r="I1738" s="626"/>
      <c r="J1738" s="638"/>
      <c r="K1738" s="645">
        <v>1</v>
      </c>
      <c r="L1738" s="681" t="s">
        <v>0</v>
      </c>
      <c r="M1738" s="684">
        <v>1500</v>
      </c>
      <c r="N1738" s="654"/>
      <c r="O1738" s="685"/>
      <c r="P1738" s="643"/>
    </row>
    <row r="1739" spans="1:16" s="619" customFormat="1" ht="24" x14ac:dyDescent="0.2">
      <c r="A1739" s="626" t="s">
        <v>4789</v>
      </c>
      <c r="B1739" s="626" t="s">
        <v>2032</v>
      </c>
      <c r="C1739" s="638" t="s">
        <v>108</v>
      </c>
      <c r="D1739" s="626" t="s">
        <v>1917</v>
      </c>
      <c r="E1739" s="636">
        <v>1100</v>
      </c>
      <c r="F1739" s="637"/>
      <c r="G1739" s="626" t="s">
        <v>4946</v>
      </c>
      <c r="H1739" s="638"/>
      <c r="I1739" s="626"/>
      <c r="J1739" s="638"/>
      <c r="K1739" s="645">
        <v>1</v>
      </c>
      <c r="L1739" s="681" t="s">
        <v>0</v>
      </c>
      <c r="M1739" s="684">
        <v>1100</v>
      </c>
      <c r="N1739" s="654"/>
      <c r="O1739" s="685"/>
      <c r="P1739" s="643"/>
    </row>
    <row r="1740" spans="1:16" s="619" customFormat="1" ht="36" x14ac:dyDescent="0.2">
      <c r="A1740" s="626" t="s">
        <v>4789</v>
      </c>
      <c r="B1740" s="626" t="s">
        <v>2032</v>
      </c>
      <c r="C1740" s="638" t="s">
        <v>108</v>
      </c>
      <c r="D1740" s="626" t="s">
        <v>4942</v>
      </c>
      <c r="E1740" s="636">
        <v>1400</v>
      </c>
      <c r="F1740" s="637"/>
      <c r="G1740" s="626" t="s">
        <v>4870</v>
      </c>
      <c r="H1740" s="638"/>
      <c r="I1740" s="626"/>
      <c r="J1740" s="638"/>
      <c r="K1740" s="645">
        <v>1</v>
      </c>
      <c r="L1740" s="681" t="s">
        <v>0</v>
      </c>
      <c r="M1740" s="684">
        <v>1400</v>
      </c>
      <c r="N1740" s="654"/>
      <c r="O1740" s="685"/>
      <c r="P1740" s="643"/>
    </row>
    <row r="1741" spans="1:16" s="619" customFormat="1" ht="24" x14ac:dyDescent="0.2">
      <c r="A1741" s="626" t="s">
        <v>4789</v>
      </c>
      <c r="B1741" s="626" t="s">
        <v>2032</v>
      </c>
      <c r="C1741" s="638" t="s">
        <v>108</v>
      </c>
      <c r="D1741" s="626" t="s">
        <v>4927</v>
      </c>
      <c r="E1741" s="636">
        <v>1500</v>
      </c>
      <c r="F1741" s="637"/>
      <c r="G1741" s="626" t="s">
        <v>4865</v>
      </c>
      <c r="H1741" s="638"/>
      <c r="I1741" s="626"/>
      <c r="J1741" s="638"/>
      <c r="K1741" s="645">
        <v>1</v>
      </c>
      <c r="L1741" s="681" t="s">
        <v>0</v>
      </c>
      <c r="M1741" s="684">
        <v>1500</v>
      </c>
      <c r="N1741" s="654"/>
      <c r="O1741" s="685"/>
      <c r="P1741" s="643"/>
    </row>
    <row r="1742" spans="1:16" s="619" customFormat="1" ht="24" x14ac:dyDescent="0.2">
      <c r="A1742" s="626" t="s">
        <v>4789</v>
      </c>
      <c r="B1742" s="626" t="s">
        <v>2032</v>
      </c>
      <c r="C1742" s="638" t="s">
        <v>108</v>
      </c>
      <c r="D1742" s="626" t="s">
        <v>4927</v>
      </c>
      <c r="E1742" s="636">
        <v>1500</v>
      </c>
      <c r="F1742" s="637"/>
      <c r="G1742" s="626" t="s">
        <v>2191</v>
      </c>
      <c r="H1742" s="638"/>
      <c r="I1742" s="626"/>
      <c r="J1742" s="638"/>
      <c r="K1742" s="645">
        <v>1</v>
      </c>
      <c r="L1742" s="681" t="s">
        <v>0</v>
      </c>
      <c r="M1742" s="684">
        <v>1500</v>
      </c>
      <c r="N1742" s="654"/>
      <c r="O1742" s="685"/>
      <c r="P1742" s="643"/>
    </row>
    <row r="1743" spans="1:16" s="619" customFormat="1" ht="24" x14ac:dyDescent="0.2">
      <c r="A1743" s="626" t="s">
        <v>4789</v>
      </c>
      <c r="B1743" s="626" t="s">
        <v>2032</v>
      </c>
      <c r="C1743" s="638" t="s">
        <v>108</v>
      </c>
      <c r="D1743" s="626" t="s">
        <v>4913</v>
      </c>
      <c r="E1743" s="636">
        <v>1500</v>
      </c>
      <c r="F1743" s="637"/>
      <c r="G1743" s="626" t="s">
        <v>4850</v>
      </c>
      <c r="H1743" s="638"/>
      <c r="I1743" s="626"/>
      <c r="J1743" s="638"/>
      <c r="K1743" s="645">
        <v>1</v>
      </c>
      <c r="L1743" s="681" t="s">
        <v>0</v>
      </c>
      <c r="M1743" s="684">
        <v>1500</v>
      </c>
      <c r="N1743" s="654"/>
      <c r="O1743" s="685"/>
      <c r="P1743" s="643"/>
    </row>
    <row r="1744" spans="1:16" s="619" customFormat="1" ht="36" x14ac:dyDescent="0.2">
      <c r="A1744" s="626" t="s">
        <v>4789</v>
      </c>
      <c r="B1744" s="626" t="s">
        <v>2032</v>
      </c>
      <c r="C1744" s="638" t="s">
        <v>108</v>
      </c>
      <c r="D1744" s="626" t="s">
        <v>4947</v>
      </c>
      <c r="E1744" s="636">
        <v>1500</v>
      </c>
      <c r="F1744" s="637"/>
      <c r="G1744" s="626" t="s">
        <v>4948</v>
      </c>
      <c r="H1744" s="638"/>
      <c r="I1744" s="626"/>
      <c r="J1744" s="638"/>
      <c r="K1744" s="645">
        <v>1</v>
      </c>
      <c r="L1744" s="681" t="s">
        <v>0</v>
      </c>
      <c r="M1744" s="684">
        <v>1500</v>
      </c>
      <c r="N1744" s="654"/>
      <c r="O1744" s="685"/>
      <c r="P1744" s="643"/>
    </row>
    <row r="1745" spans="1:16" s="619" customFormat="1" ht="24" x14ac:dyDescent="0.2">
      <c r="A1745" s="626" t="s">
        <v>4789</v>
      </c>
      <c r="B1745" s="626" t="s">
        <v>2032</v>
      </c>
      <c r="C1745" s="638" t="s">
        <v>108</v>
      </c>
      <c r="D1745" s="626" t="s">
        <v>4949</v>
      </c>
      <c r="E1745" s="636">
        <v>1500</v>
      </c>
      <c r="F1745" s="637"/>
      <c r="G1745" s="626" t="s">
        <v>4848</v>
      </c>
      <c r="H1745" s="638"/>
      <c r="I1745" s="626"/>
      <c r="J1745" s="638"/>
      <c r="K1745" s="645">
        <v>1</v>
      </c>
      <c r="L1745" s="681" t="s">
        <v>0</v>
      </c>
      <c r="M1745" s="684">
        <v>1500</v>
      </c>
      <c r="N1745" s="654"/>
      <c r="O1745" s="685"/>
      <c r="P1745" s="643"/>
    </row>
    <row r="1746" spans="1:16" s="619" customFormat="1" ht="24" x14ac:dyDescent="0.2">
      <c r="A1746" s="626" t="s">
        <v>4789</v>
      </c>
      <c r="B1746" s="626" t="s">
        <v>2032</v>
      </c>
      <c r="C1746" s="638" t="s">
        <v>108</v>
      </c>
      <c r="D1746" s="626" t="s">
        <v>3776</v>
      </c>
      <c r="E1746" s="636">
        <v>1200</v>
      </c>
      <c r="F1746" s="637"/>
      <c r="G1746" s="626" t="s">
        <v>4852</v>
      </c>
      <c r="H1746" s="638"/>
      <c r="I1746" s="626"/>
      <c r="J1746" s="638"/>
      <c r="K1746" s="645">
        <v>1</v>
      </c>
      <c r="L1746" s="681" t="s">
        <v>0</v>
      </c>
      <c r="M1746" s="684">
        <v>1200</v>
      </c>
      <c r="N1746" s="654"/>
      <c r="O1746" s="685"/>
      <c r="P1746" s="643"/>
    </row>
    <row r="1747" spans="1:16" s="619" customFormat="1" ht="24" x14ac:dyDescent="0.2">
      <c r="A1747" s="626" t="s">
        <v>4789</v>
      </c>
      <c r="B1747" s="626" t="s">
        <v>2032</v>
      </c>
      <c r="C1747" s="638" t="s">
        <v>108</v>
      </c>
      <c r="D1747" s="626" t="s">
        <v>3776</v>
      </c>
      <c r="E1747" s="636">
        <v>1200</v>
      </c>
      <c r="F1747" s="637"/>
      <c r="G1747" s="626" t="s">
        <v>4851</v>
      </c>
      <c r="H1747" s="638"/>
      <c r="I1747" s="626"/>
      <c r="J1747" s="638"/>
      <c r="K1747" s="645">
        <v>1</v>
      </c>
      <c r="L1747" s="681" t="s">
        <v>0</v>
      </c>
      <c r="M1747" s="684">
        <v>1200</v>
      </c>
      <c r="N1747" s="654"/>
      <c r="O1747" s="685"/>
      <c r="P1747" s="643"/>
    </row>
    <row r="1748" spans="1:16" s="619" customFormat="1" ht="24" x14ac:dyDescent="0.2">
      <c r="A1748" s="626" t="s">
        <v>4789</v>
      </c>
      <c r="B1748" s="626" t="s">
        <v>2032</v>
      </c>
      <c r="C1748" s="638" t="s">
        <v>108</v>
      </c>
      <c r="D1748" s="626" t="s">
        <v>4853</v>
      </c>
      <c r="E1748" s="636">
        <v>1500</v>
      </c>
      <c r="F1748" s="637"/>
      <c r="G1748" s="626" t="s">
        <v>4854</v>
      </c>
      <c r="H1748" s="638"/>
      <c r="I1748" s="626"/>
      <c r="J1748" s="638"/>
      <c r="K1748" s="645">
        <v>1</v>
      </c>
      <c r="L1748" s="681" t="s">
        <v>0</v>
      </c>
      <c r="M1748" s="684">
        <v>1500</v>
      </c>
      <c r="N1748" s="654"/>
      <c r="O1748" s="685"/>
      <c r="P1748" s="643"/>
    </row>
    <row r="1749" spans="1:16" s="619" customFormat="1" ht="36" x14ac:dyDescent="0.2">
      <c r="A1749" s="626" t="s">
        <v>4789</v>
      </c>
      <c r="B1749" s="626" t="s">
        <v>2032</v>
      </c>
      <c r="C1749" s="638" t="s">
        <v>108</v>
      </c>
      <c r="D1749" s="626" t="s">
        <v>1917</v>
      </c>
      <c r="E1749" s="636">
        <v>1100</v>
      </c>
      <c r="F1749" s="637"/>
      <c r="G1749" s="626" t="s">
        <v>4846</v>
      </c>
      <c r="H1749" s="638"/>
      <c r="I1749" s="626"/>
      <c r="J1749" s="638"/>
      <c r="K1749" s="645">
        <v>1</v>
      </c>
      <c r="L1749" s="681" t="s">
        <v>0</v>
      </c>
      <c r="M1749" s="684">
        <v>1100</v>
      </c>
      <c r="N1749" s="654"/>
      <c r="O1749" s="685"/>
      <c r="P1749" s="643"/>
    </row>
    <row r="1750" spans="1:16" s="619" customFormat="1" ht="48" x14ac:dyDescent="0.2">
      <c r="A1750" s="626" t="s">
        <v>4789</v>
      </c>
      <c r="B1750" s="626" t="s">
        <v>2032</v>
      </c>
      <c r="C1750" s="638" t="s">
        <v>108</v>
      </c>
      <c r="D1750" s="626" t="s">
        <v>4894</v>
      </c>
      <c r="E1750" s="636">
        <v>1500</v>
      </c>
      <c r="F1750" s="637"/>
      <c r="G1750" s="626" t="s">
        <v>4895</v>
      </c>
      <c r="H1750" s="638"/>
      <c r="I1750" s="626"/>
      <c r="J1750" s="638"/>
      <c r="K1750" s="645">
        <v>1</v>
      </c>
      <c r="L1750" s="681" t="s">
        <v>0</v>
      </c>
      <c r="M1750" s="684">
        <v>1500</v>
      </c>
      <c r="N1750" s="654"/>
      <c r="O1750" s="685"/>
      <c r="P1750" s="643"/>
    </row>
    <row r="1751" spans="1:16" s="619" customFormat="1" ht="24" x14ac:dyDescent="0.2">
      <c r="A1751" s="626" t="s">
        <v>4789</v>
      </c>
      <c r="B1751" s="626" t="s">
        <v>2032</v>
      </c>
      <c r="C1751" s="638" t="s">
        <v>108</v>
      </c>
      <c r="D1751" s="626" t="s">
        <v>4950</v>
      </c>
      <c r="E1751" s="636">
        <v>1500</v>
      </c>
      <c r="F1751" s="637"/>
      <c r="G1751" s="626" t="s">
        <v>4845</v>
      </c>
      <c r="H1751" s="638"/>
      <c r="I1751" s="626"/>
      <c r="J1751" s="638"/>
      <c r="K1751" s="645">
        <v>1</v>
      </c>
      <c r="L1751" s="681" t="s">
        <v>0</v>
      </c>
      <c r="M1751" s="684">
        <v>1500</v>
      </c>
      <c r="N1751" s="654"/>
      <c r="O1751" s="685"/>
      <c r="P1751" s="643"/>
    </row>
    <row r="1752" spans="1:16" s="619" customFormat="1" ht="24" x14ac:dyDescent="0.2">
      <c r="A1752" s="626" t="s">
        <v>4789</v>
      </c>
      <c r="B1752" s="626" t="s">
        <v>2032</v>
      </c>
      <c r="C1752" s="638" t="s">
        <v>108</v>
      </c>
      <c r="D1752" s="626" t="s">
        <v>4939</v>
      </c>
      <c r="E1752" s="636">
        <v>1100</v>
      </c>
      <c r="F1752" s="637"/>
      <c r="G1752" s="626" t="s">
        <v>4885</v>
      </c>
      <c r="H1752" s="638"/>
      <c r="I1752" s="626"/>
      <c r="J1752" s="638"/>
      <c r="K1752" s="645">
        <v>1</v>
      </c>
      <c r="L1752" s="681" t="s">
        <v>0</v>
      </c>
      <c r="M1752" s="684">
        <v>1100</v>
      </c>
      <c r="N1752" s="654"/>
      <c r="O1752" s="685"/>
      <c r="P1752" s="643"/>
    </row>
    <row r="1753" spans="1:16" s="619" customFormat="1" ht="24" x14ac:dyDescent="0.2">
      <c r="A1753" s="626" t="s">
        <v>4789</v>
      </c>
      <c r="B1753" s="626" t="s">
        <v>2032</v>
      </c>
      <c r="C1753" s="638" t="s">
        <v>108</v>
      </c>
      <c r="D1753" s="626" t="s">
        <v>1917</v>
      </c>
      <c r="E1753" s="636">
        <v>1100</v>
      </c>
      <c r="F1753" s="637"/>
      <c r="G1753" s="626" t="s">
        <v>4946</v>
      </c>
      <c r="H1753" s="638"/>
      <c r="I1753" s="626"/>
      <c r="J1753" s="638"/>
      <c r="K1753" s="645">
        <v>1</v>
      </c>
      <c r="L1753" s="681" t="s">
        <v>0</v>
      </c>
      <c r="M1753" s="684">
        <v>1100</v>
      </c>
      <c r="N1753" s="654"/>
      <c r="O1753" s="685"/>
      <c r="P1753" s="643"/>
    </row>
    <row r="1754" spans="1:16" s="619" customFormat="1" ht="24" x14ac:dyDescent="0.2">
      <c r="A1754" s="626" t="s">
        <v>4789</v>
      </c>
      <c r="B1754" s="626" t="s">
        <v>2032</v>
      </c>
      <c r="C1754" s="638" t="s">
        <v>108</v>
      </c>
      <c r="D1754" s="626" t="s">
        <v>4886</v>
      </c>
      <c r="E1754" s="636">
        <v>2000</v>
      </c>
      <c r="F1754" s="637"/>
      <c r="G1754" s="626" t="s">
        <v>4887</v>
      </c>
      <c r="H1754" s="638"/>
      <c r="I1754" s="626"/>
      <c r="J1754" s="638"/>
      <c r="K1754" s="645">
        <v>1</v>
      </c>
      <c r="L1754" s="681" t="s">
        <v>0</v>
      </c>
      <c r="M1754" s="684">
        <v>2000</v>
      </c>
      <c r="N1754" s="654"/>
      <c r="O1754" s="685"/>
      <c r="P1754" s="643"/>
    </row>
    <row r="1755" spans="1:16" s="619" customFormat="1" ht="36" x14ac:dyDescent="0.2">
      <c r="A1755" s="626" t="s">
        <v>4789</v>
      </c>
      <c r="B1755" s="626" t="s">
        <v>2032</v>
      </c>
      <c r="C1755" s="638" t="s">
        <v>108</v>
      </c>
      <c r="D1755" s="626" t="s">
        <v>4936</v>
      </c>
      <c r="E1755" s="636">
        <v>1500</v>
      </c>
      <c r="F1755" s="637"/>
      <c r="G1755" s="626" t="s">
        <v>4937</v>
      </c>
      <c r="H1755" s="638"/>
      <c r="I1755" s="626"/>
      <c r="J1755" s="638"/>
      <c r="K1755" s="645">
        <v>1</v>
      </c>
      <c r="L1755" s="681" t="s">
        <v>0</v>
      </c>
      <c r="M1755" s="684">
        <v>1500</v>
      </c>
      <c r="N1755" s="654"/>
      <c r="O1755" s="685"/>
      <c r="P1755" s="643"/>
    </row>
    <row r="1756" spans="1:16" s="619" customFormat="1" ht="36" x14ac:dyDescent="0.2">
      <c r="A1756" s="626" t="s">
        <v>4789</v>
      </c>
      <c r="B1756" s="626" t="s">
        <v>2032</v>
      </c>
      <c r="C1756" s="638" t="s">
        <v>108</v>
      </c>
      <c r="D1756" s="626" t="s">
        <v>4951</v>
      </c>
      <c r="E1756" s="636">
        <v>1200</v>
      </c>
      <c r="F1756" s="637"/>
      <c r="G1756" s="626" t="s">
        <v>4952</v>
      </c>
      <c r="H1756" s="638"/>
      <c r="I1756" s="626"/>
      <c r="J1756" s="638"/>
      <c r="K1756" s="645">
        <v>1</v>
      </c>
      <c r="L1756" s="681" t="s">
        <v>0</v>
      </c>
      <c r="M1756" s="684">
        <v>1200</v>
      </c>
      <c r="N1756" s="654"/>
      <c r="O1756" s="685"/>
      <c r="P1756" s="643"/>
    </row>
    <row r="1757" spans="1:16" s="619" customFormat="1" ht="36" x14ac:dyDescent="0.2">
      <c r="A1757" s="626" t="s">
        <v>4789</v>
      </c>
      <c r="B1757" s="626" t="s">
        <v>2032</v>
      </c>
      <c r="C1757" s="638" t="s">
        <v>108</v>
      </c>
      <c r="D1757" s="626" t="s">
        <v>4953</v>
      </c>
      <c r="E1757" s="636">
        <v>2500</v>
      </c>
      <c r="F1757" s="637"/>
      <c r="G1757" s="626" t="s">
        <v>4883</v>
      </c>
      <c r="H1757" s="638"/>
      <c r="I1757" s="626"/>
      <c r="J1757" s="638"/>
      <c r="K1757" s="645">
        <v>1</v>
      </c>
      <c r="L1757" s="681" t="s">
        <v>0</v>
      </c>
      <c r="M1757" s="684">
        <v>2500</v>
      </c>
      <c r="N1757" s="654"/>
      <c r="O1757" s="685"/>
      <c r="P1757" s="643"/>
    </row>
    <row r="1758" spans="1:16" s="619" customFormat="1" ht="24" x14ac:dyDescent="0.2">
      <c r="A1758" s="626" t="s">
        <v>4789</v>
      </c>
      <c r="B1758" s="626" t="s">
        <v>2032</v>
      </c>
      <c r="C1758" s="638" t="s">
        <v>108</v>
      </c>
      <c r="D1758" s="626" t="s">
        <v>4954</v>
      </c>
      <c r="E1758" s="636">
        <v>1200</v>
      </c>
      <c r="F1758" s="637"/>
      <c r="G1758" s="626" t="s">
        <v>4859</v>
      </c>
      <c r="H1758" s="638"/>
      <c r="I1758" s="626"/>
      <c r="J1758" s="638"/>
      <c r="K1758" s="645">
        <v>1</v>
      </c>
      <c r="L1758" s="681" t="s">
        <v>0</v>
      </c>
      <c r="M1758" s="684">
        <v>1200</v>
      </c>
      <c r="N1758" s="654"/>
      <c r="O1758" s="685"/>
      <c r="P1758" s="643"/>
    </row>
    <row r="1759" spans="1:16" s="619" customFormat="1" ht="36" x14ac:dyDescent="0.2">
      <c r="A1759" s="626" t="s">
        <v>4789</v>
      </c>
      <c r="B1759" s="626" t="s">
        <v>2032</v>
      </c>
      <c r="C1759" s="638" t="s">
        <v>108</v>
      </c>
      <c r="D1759" s="626" t="s">
        <v>4868</v>
      </c>
      <c r="E1759" s="636">
        <v>1400</v>
      </c>
      <c r="F1759" s="637"/>
      <c r="G1759" s="626" t="s">
        <v>4869</v>
      </c>
      <c r="H1759" s="638"/>
      <c r="I1759" s="626"/>
      <c r="J1759" s="638"/>
      <c r="K1759" s="645">
        <v>1</v>
      </c>
      <c r="L1759" s="681" t="s">
        <v>0</v>
      </c>
      <c r="M1759" s="684">
        <v>1400</v>
      </c>
      <c r="N1759" s="654"/>
      <c r="O1759" s="685"/>
      <c r="P1759" s="643"/>
    </row>
    <row r="1760" spans="1:16" s="619" customFormat="1" ht="36" x14ac:dyDescent="0.2">
      <c r="A1760" s="626" t="s">
        <v>4789</v>
      </c>
      <c r="B1760" s="626" t="s">
        <v>2032</v>
      </c>
      <c r="C1760" s="638" t="s">
        <v>108</v>
      </c>
      <c r="D1760" s="626" t="s">
        <v>4898</v>
      </c>
      <c r="E1760" s="636">
        <v>3000</v>
      </c>
      <c r="F1760" s="637"/>
      <c r="G1760" s="626" t="s">
        <v>4899</v>
      </c>
      <c r="H1760" s="638"/>
      <c r="I1760" s="626"/>
      <c r="J1760" s="638"/>
      <c r="K1760" s="645">
        <v>1</v>
      </c>
      <c r="L1760" s="681" t="s">
        <v>0</v>
      </c>
      <c r="M1760" s="684">
        <v>3000</v>
      </c>
      <c r="N1760" s="654"/>
      <c r="O1760" s="685"/>
      <c r="P1760" s="643"/>
    </row>
    <row r="1761" spans="1:16" s="619" customFormat="1" ht="36" x14ac:dyDescent="0.2">
      <c r="A1761" s="626" t="s">
        <v>4789</v>
      </c>
      <c r="B1761" s="626" t="s">
        <v>2032</v>
      </c>
      <c r="C1761" s="638" t="s">
        <v>108</v>
      </c>
      <c r="D1761" s="626" t="s">
        <v>4906</v>
      </c>
      <c r="E1761" s="636">
        <v>2000</v>
      </c>
      <c r="F1761" s="637"/>
      <c r="G1761" s="626" t="s">
        <v>4907</v>
      </c>
      <c r="H1761" s="638"/>
      <c r="I1761" s="626"/>
      <c r="J1761" s="638"/>
      <c r="K1761" s="645">
        <v>1</v>
      </c>
      <c r="L1761" s="681" t="s">
        <v>0</v>
      </c>
      <c r="M1761" s="684">
        <v>2000</v>
      </c>
      <c r="N1761" s="654"/>
      <c r="O1761" s="685"/>
      <c r="P1761" s="643"/>
    </row>
    <row r="1762" spans="1:16" s="619" customFormat="1" ht="24" x14ac:dyDescent="0.2">
      <c r="A1762" s="626" t="s">
        <v>4789</v>
      </c>
      <c r="B1762" s="626" t="s">
        <v>2032</v>
      </c>
      <c r="C1762" s="638" t="s">
        <v>108</v>
      </c>
      <c r="D1762" s="626" t="s">
        <v>4868</v>
      </c>
      <c r="E1762" s="636">
        <v>1400</v>
      </c>
      <c r="F1762" s="637"/>
      <c r="G1762" s="626" t="s">
        <v>4872</v>
      </c>
      <c r="H1762" s="638"/>
      <c r="I1762" s="626"/>
      <c r="J1762" s="638"/>
      <c r="K1762" s="645">
        <v>1</v>
      </c>
      <c r="L1762" s="681" t="s">
        <v>0</v>
      </c>
      <c r="M1762" s="684">
        <v>1400</v>
      </c>
      <c r="N1762" s="654"/>
      <c r="O1762" s="685"/>
      <c r="P1762" s="643"/>
    </row>
    <row r="1763" spans="1:16" s="619" customFormat="1" ht="36" x14ac:dyDescent="0.2">
      <c r="A1763" s="626" t="s">
        <v>4789</v>
      </c>
      <c r="B1763" s="626" t="s">
        <v>2032</v>
      </c>
      <c r="C1763" s="638" t="s">
        <v>108</v>
      </c>
      <c r="D1763" s="626" t="s">
        <v>4955</v>
      </c>
      <c r="E1763" s="636">
        <v>2000</v>
      </c>
      <c r="F1763" s="637"/>
      <c r="G1763" s="626" t="s">
        <v>2816</v>
      </c>
      <c r="H1763" s="638"/>
      <c r="I1763" s="626"/>
      <c r="J1763" s="638"/>
      <c r="K1763" s="645">
        <v>1</v>
      </c>
      <c r="L1763" s="681" t="s">
        <v>0</v>
      </c>
      <c r="M1763" s="684">
        <v>2000</v>
      </c>
      <c r="N1763" s="654"/>
      <c r="O1763" s="685"/>
      <c r="P1763" s="643"/>
    </row>
    <row r="1764" spans="1:16" s="619" customFormat="1" ht="24" x14ac:dyDescent="0.2">
      <c r="A1764" s="626" t="s">
        <v>4789</v>
      </c>
      <c r="B1764" s="626" t="s">
        <v>2032</v>
      </c>
      <c r="C1764" s="638" t="s">
        <v>108</v>
      </c>
      <c r="D1764" s="626" t="s">
        <v>4896</v>
      </c>
      <c r="E1764" s="636">
        <v>1600</v>
      </c>
      <c r="F1764" s="637"/>
      <c r="G1764" s="626" t="s">
        <v>4897</v>
      </c>
      <c r="H1764" s="638"/>
      <c r="I1764" s="626"/>
      <c r="J1764" s="638"/>
      <c r="K1764" s="645">
        <v>1</v>
      </c>
      <c r="L1764" s="681" t="s">
        <v>0</v>
      </c>
      <c r="M1764" s="684">
        <v>1600</v>
      </c>
      <c r="N1764" s="654"/>
      <c r="O1764" s="685"/>
      <c r="P1764" s="643"/>
    </row>
    <row r="1765" spans="1:16" s="619" customFormat="1" ht="24" x14ac:dyDescent="0.2">
      <c r="A1765" s="626" t="s">
        <v>4789</v>
      </c>
      <c r="B1765" s="626" t="s">
        <v>2032</v>
      </c>
      <c r="C1765" s="638" t="s">
        <v>108</v>
      </c>
      <c r="D1765" s="626" t="s">
        <v>4886</v>
      </c>
      <c r="E1765" s="636">
        <v>2000</v>
      </c>
      <c r="F1765" s="637"/>
      <c r="G1765" s="626" t="s">
        <v>4905</v>
      </c>
      <c r="H1765" s="638"/>
      <c r="I1765" s="626"/>
      <c r="J1765" s="638"/>
      <c r="K1765" s="645">
        <v>1</v>
      </c>
      <c r="L1765" s="681" t="s">
        <v>0</v>
      </c>
      <c r="M1765" s="684">
        <v>2000</v>
      </c>
      <c r="N1765" s="654"/>
      <c r="O1765" s="685"/>
      <c r="P1765" s="643"/>
    </row>
    <row r="1766" spans="1:16" s="619" customFormat="1" ht="24" x14ac:dyDescent="0.2">
      <c r="A1766" s="626" t="s">
        <v>4789</v>
      </c>
      <c r="B1766" s="626" t="s">
        <v>2032</v>
      </c>
      <c r="C1766" s="638" t="s">
        <v>108</v>
      </c>
      <c r="D1766" s="626" t="s">
        <v>4890</v>
      </c>
      <c r="E1766" s="636">
        <v>2000</v>
      </c>
      <c r="F1766" s="637"/>
      <c r="G1766" s="626" t="s">
        <v>4891</v>
      </c>
      <c r="H1766" s="638"/>
      <c r="I1766" s="626"/>
      <c r="J1766" s="638"/>
      <c r="K1766" s="645">
        <v>1</v>
      </c>
      <c r="L1766" s="681" t="s">
        <v>0</v>
      </c>
      <c r="M1766" s="684">
        <v>2000</v>
      </c>
      <c r="N1766" s="654"/>
      <c r="O1766" s="685"/>
      <c r="P1766" s="643"/>
    </row>
    <row r="1767" spans="1:16" s="619" customFormat="1" ht="36" x14ac:dyDescent="0.2">
      <c r="A1767" s="626" t="s">
        <v>4789</v>
      </c>
      <c r="B1767" s="626" t="s">
        <v>2032</v>
      </c>
      <c r="C1767" s="638" t="s">
        <v>108</v>
      </c>
      <c r="D1767" s="626" t="s">
        <v>4922</v>
      </c>
      <c r="E1767" s="636">
        <v>1300</v>
      </c>
      <c r="F1767" s="637"/>
      <c r="G1767" s="626" t="s">
        <v>4923</v>
      </c>
      <c r="H1767" s="638"/>
      <c r="I1767" s="626"/>
      <c r="J1767" s="638"/>
      <c r="K1767" s="645">
        <v>1</v>
      </c>
      <c r="L1767" s="681" t="s">
        <v>0</v>
      </c>
      <c r="M1767" s="684">
        <v>1300</v>
      </c>
      <c r="N1767" s="654"/>
      <c r="O1767" s="685"/>
      <c r="P1767" s="643"/>
    </row>
    <row r="1768" spans="1:16" s="619" customFormat="1" ht="24" x14ac:dyDescent="0.2">
      <c r="A1768" s="626" t="s">
        <v>4789</v>
      </c>
      <c r="B1768" s="626" t="s">
        <v>2032</v>
      </c>
      <c r="C1768" s="638" t="s">
        <v>108</v>
      </c>
      <c r="D1768" s="626" t="s">
        <v>4860</v>
      </c>
      <c r="E1768" s="636">
        <v>1100</v>
      </c>
      <c r="F1768" s="637"/>
      <c r="G1768" s="626" t="s">
        <v>4925</v>
      </c>
      <c r="H1768" s="638"/>
      <c r="I1768" s="626"/>
      <c r="J1768" s="638"/>
      <c r="K1768" s="645">
        <v>1</v>
      </c>
      <c r="L1768" s="681" t="s">
        <v>0</v>
      </c>
      <c r="M1768" s="684">
        <v>1100</v>
      </c>
      <c r="N1768" s="654"/>
      <c r="O1768" s="685"/>
      <c r="P1768" s="643"/>
    </row>
    <row r="1769" spans="1:16" s="619" customFormat="1" ht="36" x14ac:dyDescent="0.2">
      <c r="A1769" s="626" t="s">
        <v>4789</v>
      </c>
      <c r="B1769" s="626" t="s">
        <v>2032</v>
      </c>
      <c r="C1769" s="638" t="s">
        <v>108</v>
      </c>
      <c r="D1769" s="626" t="s">
        <v>4944</v>
      </c>
      <c r="E1769" s="636">
        <v>1500</v>
      </c>
      <c r="F1769" s="637"/>
      <c r="G1769" s="626" t="s">
        <v>4945</v>
      </c>
      <c r="H1769" s="638"/>
      <c r="I1769" s="626"/>
      <c r="J1769" s="638"/>
      <c r="K1769" s="645">
        <v>1</v>
      </c>
      <c r="L1769" s="681" t="s">
        <v>0</v>
      </c>
      <c r="M1769" s="684">
        <v>1500</v>
      </c>
      <c r="N1769" s="654"/>
      <c r="O1769" s="685"/>
      <c r="P1769" s="643"/>
    </row>
    <row r="1770" spans="1:16" s="619" customFormat="1" ht="36" x14ac:dyDescent="0.2">
      <c r="A1770" s="626" t="s">
        <v>4789</v>
      </c>
      <c r="B1770" s="626" t="s">
        <v>2032</v>
      </c>
      <c r="C1770" s="638" t="s">
        <v>108</v>
      </c>
      <c r="D1770" s="626" t="s">
        <v>4956</v>
      </c>
      <c r="E1770" s="636">
        <v>1500</v>
      </c>
      <c r="F1770" s="637"/>
      <c r="G1770" s="626" t="s">
        <v>4861</v>
      </c>
      <c r="H1770" s="638"/>
      <c r="I1770" s="626"/>
      <c r="J1770" s="638"/>
      <c r="K1770" s="645">
        <v>1</v>
      </c>
      <c r="L1770" s="681" t="s">
        <v>0</v>
      </c>
      <c r="M1770" s="684">
        <v>1500</v>
      </c>
      <c r="N1770" s="654"/>
      <c r="O1770" s="685"/>
      <c r="P1770" s="643"/>
    </row>
    <row r="1771" spans="1:16" s="619" customFormat="1" ht="24" x14ac:dyDescent="0.2">
      <c r="A1771" s="626" t="s">
        <v>4789</v>
      </c>
      <c r="B1771" s="626" t="s">
        <v>2032</v>
      </c>
      <c r="C1771" s="638" t="s">
        <v>108</v>
      </c>
      <c r="D1771" s="626" t="s">
        <v>4928</v>
      </c>
      <c r="E1771" s="636">
        <v>1500</v>
      </c>
      <c r="F1771" s="637"/>
      <c r="G1771" s="626" t="s">
        <v>4929</v>
      </c>
      <c r="H1771" s="638"/>
      <c r="I1771" s="626"/>
      <c r="J1771" s="638"/>
      <c r="K1771" s="645">
        <v>1</v>
      </c>
      <c r="L1771" s="681" t="s">
        <v>0</v>
      </c>
      <c r="M1771" s="684">
        <v>1500</v>
      </c>
      <c r="N1771" s="654"/>
      <c r="O1771" s="685"/>
      <c r="P1771" s="643"/>
    </row>
    <row r="1772" spans="1:16" s="619" customFormat="1" ht="36" x14ac:dyDescent="0.2">
      <c r="A1772" s="626" t="s">
        <v>4789</v>
      </c>
      <c r="B1772" s="626" t="s">
        <v>2032</v>
      </c>
      <c r="C1772" s="638" t="s">
        <v>108</v>
      </c>
      <c r="D1772" s="626" t="s">
        <v>4957</v>
      </c>
      <c r="E1772" s="636">
        <v>1500</v>
      </c>
      <c r="F1772" s="637"/>
      <c r="G1772" s="626" t="s">
        <v>4935</v>
      </c>
      <c r="H1772" s="638"/>
      <c r="I1772" s="626"/>
      <c r="J1772" s="638"/>
      <c r="K1772" s="645">
        <v>1</v>
      </c>
      <c r="L1772" s="681" t="s">
        <v>0</v>
      </c>
      <c r="M1772" s="684">
        <v>1500</v>
      </c>
      <c r="N1772" s="654"/>
      <c r="O1772" s="685"/>
      <c r="P1772" s="643"/>
    </row>
    <row r="1773" spans="1:16" s="619" customFormat="1" ht="24" x14ac:dyDescent="0.2">
      <c r="A1773" s="626" t="s">
        <v>4789</v>
      </c>
      <c r="B1773" s="626" t="s">
        <v>2032</v>
      </c>
      <c r="C1773" s="638" t="s">
        <v>108</v>
      </c>
      <c r="D1773" s="626" t="s">
        <v>4886</v>
      </c>
      <c r="E1773" s="636">
        <v>2000</v>
      </c>
      <c r="F1773" s="637"/>
      <c r="G1773" s="626" t="s">
        <v>4905</v>
      </c>
      <c r="H1773" s="638"/>
      <c r="I1773" s="626"/>
      <c r="J1773" s="638"/>
      <c r="K1773" s="645">
        <v>1</v>
      </c>
      <c r="L1773" s="681" t="s">
        <v>0</v>
      </c>
      <c r="M1773" s="684">
        <v>2000</v>
      </c>
      <c r="N1773" s="654"/>
      <c r="O1773" s="685"/>
      <c r="P1773" s="643"/>
    </row>
    <row r="1774" spans="1:16" s="619" customFormat="1" ht="36" x14ac:dyDescent="0.2">
      <c r="A1774" s="626" t="s">
        <v>4789</v>
      </c>
      <c r="B1774" s="626" t="s">
        <v>2275</v>
      </c>
      <c r="C1774" s="638" t="s">
        <v>108</v>
      </c>
      <c r="D1774" s="626" t="s">
        <v>4894</v>
      </c>
      <c r="E1774" s="636">
        <v>1500</v>
      </c>
      <c r="F1774" s="637"/>
      <c r="G1774" s="626" t="s">
        <v>4893</v>
      </c>
      <c r="H1774" s="638"/>
      <c r="I1774" s="626"/>
      <c r="J1774" s="638"/>
      <c r="K1774" s="645">
        <v>1</v>
      </c>
      <c r="L1774" s="681" t="s">
        <v>0</v>
      </c>
      <c r="M1774" s="684">
        <v>1500</v>
      </c>
      <c r="N1774" s="654"/>
      <c r="O1774" s="685"/>
      <c r="P1774" s="643"/>
    </row>
    <row r="1775" spans="1:16" s="619" customFormat="1" ht="36" x14ac:dyDescent="0.2">
      <c r="A1775" s="626" t="s">
        <v>4789</v>
      </c>
      <c r="B1775" s="626" t="s">
        <v>2275</v>
      </c>
      <c r="C1775" s="638" t="s">
        <v>108</v>
      </c>
      <c r="D1775" s="626" t="s">
        <v>4958</v>
      </c>
      <c r="E1775" s="636">
        <v>1200</v>
      </c>
      <c r="F1775" s="637"/>
      <c r="G1775" s="626" t="s">
        <v>4959</v>
      </c>
      <c r="H1775" s="638"/>
      <c r="I1775" s="626"/>
      <c r="J1775" s="638"/>
      <c r="K1775" s="645">
        <v>1</v>
      </c>
      <c r="L1775" s="681" t="s">
        <v>0</v>
      </c>
      <c r="M1775" s="684">
        <v>1200</v>
      </c>
      <c r="N1775" s="654"/>
      <c r="O1775" s="685"/>
      <c r="P1775" s="643"/>
    </row>
    <row r="1776" spans="1:16" s="619" customFormat="1" ht="36" x14ac:dyDescent="0.2">
      <c r="A1776" s="626" t="s">
        <v>4789</v>
      </c>
      <c r="B1776" s="626" t="s">
        <v>2032</v>
      </c>
      <c r="C1776" s="638" t="s">
        <v>108</v>
      </c>
      <c r="D1776" s="626" t="s">
        <v>4921</v>
      </c>
      <c r="E1776" s="636">
        <v>1000</v>
      </c>
      <c r="F1776" s="637"/>
      <c r="G1776" s="626" t="s">
        <v>4867</v>
      </c>
      <c r="H1776" s="638"/>
      <c r="I1776" s="626"/>
      <c r="J1776" s="638"/>
      <c r="K1776" s="645">
        <v>1</v>
      </c>
      <c r="L1776" s="681" t="s">
        <v>0</v>
      </c>
      <c r="M1776" s="684">
        <v>1000</v>
      </c>
      <c r="N1776" s="654"/>
      <c r="O1776" s="685"/>
      <c r="P1776" s="643"/>
    </row>
    <row r="1777" spans="1:16" s="619" customFormat="1" ht="36" x14ac:dyDescent="0.2">
      <c r="A1777" s="626" t="s">
        <v>4789</v>
      </c>
      <c r="B1777" s="626" t="s">
        <v>2032</v>
      </c>
      <c r="C1777" s="638" t="s">
        <v>108</v>
      </c>
      <c r="D1777" s="626" t="s">
        <v>4960</v>
      </c>
      <c r="E1777" s="636">
        <v>1300</v>
      </c>
      <c r="F1777" s="637"/>
      <c r="G1777" s="626" t="s">
        <v>4901</v>
      </c>
      <c r="H1777" s="638"/>
      <c r="I1777" s="626"/>
      <c r="J1777" s="638"/>
      <c r="K1777" s="645">
        <v>1</v>
      </c>
      <c r="L1777" s="681" t="s">
        <v>0</v>
      </c>
      <c r="M1777" s="684">
        <v>1300</v>
      </c>
      <c r="N1777" s="654"/>
      <c r="O1777" s="685"/>
      <c r="P1777" s="643"/>
    </row>
    <row r="1778" spans="1:16" s="619" customFormat="1" ht="24" x14ac:dyDescent="0.2">
      <c r="A1778" s="626" t="s">
        <v>4789</v>
      </c>
      <c r="B1778" s="626" t="s">
        <v>2032</v>
      </c>
      <c r="C1778" s="638" t="s">
        <v>108</v>
      </c>
      <c r="D1778" s="626" t="s">
        <v>4896</v>
      </c>
      <c r="E1778" s="636">
        <v>1600</v>
      </c>
      <c r="F1778" s="637"/>
      <c r="G1778" s="626" t="s">
        <v>4897</v>
      </c>
      <c r="H1778" s="638"/>
      <c r="I1778" s="626"/>
      <c r="J1778" s="638"/>
      <c r="K1778" s="645">
        <v>1</v>
      </c>
      <c r="L1778" s="681" t="s">
        <v>0</v>
      </c>
      <c r="M1778" s="684">
        <v>1600</v>
      </c>
      <c r="N1778" s="654"/>
      <c r="O1778" s="685"/>
      <c r="P1778" s="643"/>
    </row>
    <row r="1779" spans="1:16" s="619" customFormat="1" ht="36" x14ac:dyDescent="0.2">
      <c r="A1779" s="626" t="s">
        <v>4789</v>
      </c>
      <c r="B1779" s="626" t="s">
        <v>2032</v>
      </c>
      <c r="C1779" s="638" t="s">
        <v>108</v>
      </c>
      <c r="D1779" s="626" t="s">
        <v>4919</v>
      </c>
      <c r="E1779" s="636">
        <v>2200</v>
      </c>
      <c r="F1779" s="637"/>
      <c r="G1779" s="626" t="s">
        <v>4920</v>
      </c>
      <c r="H1779" s="638"/>
      <c r="I1779" s="626"/>
      <c r="J1779" s="638"/>
      <c r="K1779" s="645">
        <v>1</v>
      </c>
      <c r="L1779" s="681" t="s">
        <v>0</v>
      </c>
      <c r="M1779" s="684">
        <v>2200</v>
      </c>
      <c r="N1779" s="654"/>
      <c r="O1779" s="685"/>
      <c r="P1779" s="643"/>
    </row>
    <row r="1780" spans="1:16" s="619" customFormat="1" ht="36" x14ac:dyDescent="0.2">
      <c r="A1780" s="626" t="s">
        <v>4789</v>
      </c>
      <c r="B1780" s="626" t="s">
        <v>2032</v>
      </c>
      <c r="C1780" s="638" t="s">
        <v>108</v>
      </c>
      <c r="D1780" s="626" t="s">
        <v>4857</v>
      </c>
      <c r="E1780" s="636">
        <v>2000</v>
      </c>
      <c r="F1780" s="637"/>
      <c r="G1780" s="626" t="s">
        <v>4858</v>
      </c>
      <c r="H1780" s="638"/>
      <c r="I1780" s="626"/>
      <c r="J1780" s="638"/>
      <c r="K1780" s="645">
        <v>1</v>
      </c>
      <c r="L1780" s="681" t="s">
        <v>0</v>
      </c>
      <c r="M1780" s="684">
        <v>2000</v>
      </c>
      <c r="N1780" s="654"/>
      <c r="O1780" s="685"/>
      <c r="P1780" s="643"/>
    </row>
    <row r="1781" spans="1:16" s="619" customFormat="1" ht="36" x14ac:dyDescent="0.2">
      <c r="A1781" s="626" t="s">
        <v>4789</v>
      </c>
      <c r="B1781" s="626" t="s">
        <v>2275</v>
      </c>
      <c r="C1781" s="638" t="s">
        <v>108</v>
      </c>
      <c r="D1781" s="626" t="s">
        <v>4961</v>
      </c>
      <c r="E1781" s="636">
        <v>1300</v>
      </c>
      <c r="F1781" s="637"/>
      <c r="G1781" s="626" t="s">
        <v>4962</v>
      </c>
      <c r="H1781" s="638"/>
      <c r="I1781" s="626"/>
      <c r="J1781" s="638"/>
      <c r="K1781" s="645">
        <v>1</v>
      </c>
      <c r="L1781" s="681" t="s">
        <v>0</v>
      </c>
      <c r="M1781" s="684">
        <v>1300</v>
      </c>
      <c r="N1781" s="654"/>
      <c r="O1781" s="685"/>
      <c r="P1781" s="643"/>
    </row>
    <row r="1782" spans="1:16" s="619" customFormat="1" ht="36" x14ac:dyDescent="0.2">
      <c r="A1782" s="626" t="s">
        <v>4789</v>
      </c>
      <c r="B1782" s="626" t="s">
        <v>2032</v>
      </c>
      <c r="C1782" s="638" t="s">
        <v>108</v>
      </c>
      <c r="D1782" s="626" t="s">
        <v>4931</v>
      </c>
      <c r="E1782" s="636">
        <v>1500</v>
      </c>
      <c r="F1782" s="637"/>
      <c r="G1782" s="626" t="s">
        <v>4932</v>
      </c>
      <c r="H1782" s="638"/>
      <c r="I1782" s="626"/>
      <c r="J1782" s="638"/>
      <c r="K1782" s="645">
        <v>1</v>
      </c>
      <c r="L1782" s="681" t="s">
        <v>0</v>
      </c>
      <c r="M1782" s="684">
        <v>1500</v>
      </c>
      <c r="N1782" s="654"/>
      <c r="O1782" s="685"/>
      <c r="P1782" s="643"/>
    </row>
    <row r="1783" spans="1:16" s="619" customFormat="1" ht="36" x14ac:dyDescent="0.2">
      <c r="A1783" s="626" t="s">
        <v>4789</v>
      </c>
      <c r="B1783" s="626" t="s">
        <v>2032</v>
      </c>
      <c r="C1783" s="638" t="s">
        <v>108</v>
      </c>
      <c r="D1783" s="626" t="s">
        <v>4963</v>
      </c>
      <c r="E1783" s="636">
        <v>1500</v>
      </c>
      <c r="F1783" s="637"/>
      <c r="G1783" s="626" t="s">
        <v>4903</v>
      </c>
      <c r="H1783" s="638"/>
      <c r="I1783" s="626"/>
      <c r="J1783" s="638"/>
      <c r="K1783" s="645">
        <v>1</v>
      </c>
      <c r="L1783" s="681" t="s">
        <v>0</v>
      </c>
      <c r="M1783" s="684">
        <v>1500</v>
      </c>
      <c r="N1783" s="654"/>
      <c r="O1783" s="685"/>
      <c r="P1783" s="643"/>
    </row>
    <row r="1784" spans="1:16" s="619" customFormat="1" ht="36" x14ac:dyDescent="0.2">
      <c r="A1784" s="626" t="s">
        <v>4789</v>
      </c>
      <c r="B1784" s="626" t="s">
        <v>2032</v>
      </c>
      <c r="C1784" s="638" t="s">
        <v>108</v>
      </c>
      <c r="D1784" s="626" t="s">
        <v>4875</v>
      </c>
      <c r="E1784" s="636">
        <v>2500</v>
      </c>
      <c r="F1784" s="637"/>
      <c r="G1784" s="626" t="s">
        <v>2741</v>
      </c>
      <c r="H1784" s="638"/>
      <c r="I1784" s="626"/>
      <c r="J1784" s="638"/>
      <c r="K1784" s="645">
        <v>1</v>
      </c>
      <c r="L1784" s="681" t="s">
        <v>0</v>
      </c>
      <c r="M1784" s="684">
        <v>2500</v>
      </c>
      <c r="N1784" s="654"/>
      <c r="O1784" s="685"/>
      <c r="P1784" s="643"/>
    </row>
    <row r="1785" spans="1:16" s="619" customFormat="1" ht="24" x14ac:dyDescent="0.2">
      <c r="A1785" s="626" t="s">
        <v>4789</v>
      </c>
      <c r="B1785" s="626" t="s">
        <v>2032</v>
      </c>
      <c r="C1785" s="638" t="s">
        <v>108</v>
      </c>
      <c r="D1785" s="626" t="s">
        <v>3973</v>
      </c>
      <c r="E1785" s="636">
        <v>1500</v>
      </c>
      <c r="F1785" s="637"/>
      <c r="G1785" s="626" t="s">
        <v>4874</v>
      </c>
      <c r="H1785" s="638"/>
      <c r="I1785" s="626"/>
      <c r="J1785" s="638"/>
      <c r="K1785" s="645">
        <v>1</v>
      </c>
      <c r="L1785" s="681" t="s">
        <v>0</v>
      </c>
      <c r="M1785" s="684">
        <v>1500</v>
      </c>
      <c r="N1785" s="654"/>
      <c r="O1785" s="685"/>
      <c r="P1785" s="643"/>
    </row>
    <row r="1786" spans="1:16" s="619" customFormat="1" ht="36" x14ac:dyDescent="0.2">
      <c r="A1786" s="626" t="s">
        <v>4789</v>
      </c>
      <c r="B1786" s="626" t="s">
        <v>2032</v>
      </c>
      <c r="C1786" s="638" t="s">
        <v>108</v>
      </c>
      <c r="D1786" s="626" t="s">
        <v>4964</v>
      </c>
      <c r="E1786" s="636">
        <v>1500</v>
      </c>
      <c r="F1786" s="637"/>
      <c r="G1786" s="626" t="s">
        <v>4856</v>
      </c>
      <c r="H1786" s="638"/>
      <c r="I1786" s="626"/>
      <c r="J1786" s="638"/>
      <c r="K1786" s="645">
        <v>1</v>
      </c>
      <c r="L1786" s="681" t="s">
        <v>0</v>
      </c>
      <c r="M1786" s="684">
        <v>1500</v>
      </c>
      <c r="N1786" s="654"/>
      <c r="O1786" s="685"/>
      <c r="P1786" s="643"/>
    </row>
    <row r="1787" spans="1:16" s="619" customFormat="1" ht="24" x14ac:dyDescent="0.2">
      <c r="A1787" s="626" t="s">
        <v>4789</v>
      </c>
      <c r="B1787" s="626" t="s">
        <v>2032</v>
      </c>
      <c r="C1787" s="638" t="s">
        <v>108</v>
      </c>
      <c r="D1787" s="626" t="s">
        <v>4908</v>
      </c>
      <c r="E1787" s="636">
        <v>1000</v>
      </c>
      <c r="F1787" s="637"/>
      <c r="G1787" s="626" t="s">
        <v>4909</v>
      </c>
      <c r="H1787" s="638"/>
      <c r="I1787" s="626"/>
      <c r="J1787" s="638"/>
      <c r="K1787" s="645">
        <v>1</v>
      </c>
      <c r="L1787" s="681" t="s">
        <v>0</v>
      </c>
      <c r="M1787" s="684">
        <v>1000</v>
      </c>
      <c r="N1787" s="654"/>
      <c r="O1787" s="685"/>
      <c r="P1787" s="643"/>
    </row>
    <row r="1788" spans="1:16" s="619" customFormat="1" ht="36" x14ac:dyDescent="0.2">
      <c r="A1788" s="626" t="s">
        <v>4789</v>
      </c>
      <c r="B1788" s="626" t="s">
        <v>2032</v>
      </c>
      <c r="C1788" s="638" t="s">
        <v>108</v>
      </c>
      <c r="D1788" s="626" t="s">
        <v>4876</v>
      </c>
      <c r="E1788" s="636">
        <v>2800</v>
      </c>
      <c r="F1788" s="637"/>
      <c r="G1788" s="626" t="s">
        <v>4877</v>
      </c>
      <c r="H1788" s="638"/>
      <c r="I1788" s="626"/>
      <c r="J1788" s="638"/>
      <c r="K1788" s="645">
        <v>1</v>
      </c>
      <c r="L1788" s="681" t="s">
        <v>0</v>
      </c>
      <c r="M1788" s="684">
        <v>2800</v>
      </c>
      <c r="N1788" s="654"/>
      <c r="O1788" s="685"/>
      <c r="P1788" s="643"/>
    </row>
    <row r="1789" spans="1:16" s="619" customFormat="1" ht="36" x14ac:dyDescent="0.2">
      <c r="A1789" s="626" t="s">
        <v>4789</v>
      </c>
      <c r="B1789" s="626" t="s">
        <v>2275</v>
      </c>
      <c r="C1789" s="638" t="s">
        <v>108</v>
      </c>
      <c r="D1789" s="626" t="s">
        <v>4864</v>
      </c>
      <c r="E1789" s="636">
        <v>1500</v>
      </c>
      <c r="F1789" s="637"/>
      <c r="G1789" s="626" t="s">
        <v>4865</v>
      </c>
      <c r="H1789" s="638"/>
      <c r="I1789" s="626"/>
      <c r="J1789" s="638"/>
      <c r="K1789" s="645">
        <v>1</v>
      </c>
      <c r="L1789" s="681" t="s">
        <v>27</v>
      </c>
      <c r="M1789" s="684">
        <v>1500</v>
      </c>
      <c r="N1789" s="654"/>
      <c r="O1789" s="685"/>
      <c r="P1789" s="643"/>
    </row>
    <row r="1790" spans="1:16" s="619" customFormat="1" ht="36" x14ac:dyDescent="0.2">
      <c r="A1790" s="626" t="s">
        <v>4789</v>
      </c>
      <c r="B1790" s="626" t="s">
        <v>2275</v>
      </c>
      <c r="C1790" s="638" t="s">
        <v>108</v>
      </c>
      <c r="D1790" s="626" t="s">
        <v>4965</v>
      </c>
      <c r="E1790" s="636">
        <v>833.3</v>
      </c>
      <c r="F1790" s="637"/>
      <c r="G1790" s="626" t="s">
        <v>4901</v>
      </c>
      <c r="H1790" s="638"/>
      <c r="I1790" s="626"/>
      <c r="J1790" s="638"/>
      <c r="K1790" s="645">
        <v>1</v>
      </c>
      <c r="L1790" s="681" t="s">
        <v>27</v>
      </c>
      <c r="M1790" s="684">
        <v>833.3</v>
      </c>
      <c r="N1790" s="654"/>
      <c r="O1790" s="685"/>
      <c r="P1790" s="643"/>
    </row>
    <row r="1791" spans="1:16" s="619" customFormat="1" ht="36" x14ac:dyDescent="0.2">
      <c r="A1791" s="626" t="s">
        <v>4789</v>
      </c>
      <c r="B1791" s="626" t="s">
        <v>2275</v>
      </c>
      <c r="C1791" s="638" t="s">
        <v>108</v>
      </c>
      <c r="D1791" s="626" t="s">
        <v>4966</v>
      </c>
      <c r="E1791" s="636">
        <v>1000</v>
      </c>
      <c r="F1791" s="637"/>
      <c r="G1791" s="626" t="s">
        <v>4874</v>
      </c>
      <c r="H1791" s="638"/>
      <c r="I1791" s="626"/>
      <c r="J1791" s="638"/>
      <c r="K1791" s="645">
        <v>1</v>
      </c>
      <c r="L1791" s="681" t="s">
        <v>27</v>
      </c>
      <c r="M1791" s="684">
        <v>1000</v>
      </c>
      <c r="N1791" s="654"/>
      <c r="O1791" s="685"/>
      <c r="P1791" s="643"/>
    </row>
    <row r="1792" spans="1:16" s="619" customFormat="1" ht="36" x14ac:dyDescent="0.2">
      <c r="A1792" s="626" t="s">
        <v>4789</v>
      </c>
      <c r="B1792" s="626" t="s">
        <v>2275</v>
      </c>
      <c r="C1792" s="638" t="s">
        <v>108</v>
      </c>
      <c r="D1792" s="626" t="s">
        <v>4878</v>
      </c>
      <c r="E1792" s="636">
        <v>1200</v>
      </c>
      <c r="F1792" s="637"/>
      <c r="G1792" s="626" t="s">
        <v>4959</v>
      </c>
      <c r="H1792" s="638"/>
      <c r="I1792" s="626"/>
      <c r="J1792" s="638"/>
      <c r="K1792" s="645">
        <v>1</v>
      </c>
      <c r="L1792" s="681" t="s">
        <v>27</v>
      </c>
      <c r="M1792" s="684">
        <v>1200</v>
      </c>
      <c r="N1792" s="654"/>
      <c r="O1792" s="685"/>
      <c r="P1792" s="643"/>
    </row>
    <row r="1793" spans="1:16" s="619" customFormat="1" ht="36" x14ac:dyDescent="0.2">
      <c r="A1793" s="626" t="s">
        <v>4789</v>
      </c>
      <c r="B1793" s="626" t="s">
        <v>2275</v>
      </c>
      <c r="C1793" s="638" t="s">
        <v>108</v>
      </c>
      <c r="D1793" s="626" t="s">
        <v>4938</v>
      </c>
      <c r="E1793" s="636">
        <v>1250</v>
      </c>
      <c r="F1793" s="637"/>
      <c r="G1793" s="626" t="s">
        <v>4905</v>
      </c>
      <c r="H1793" s="638"/>
      <c r="I1793" s="626"/>
      <c r="J1793" s="638"/>
      <c r="K1793" s="645">
        <v>1</v>
      </c>
      <c r="L1793" s="681" t="s">
        <v>27</v>
      </c>
      <c r="M1793" s="684">
        <v>1250</v>
      </c>
      <c r="N1793" s="654"/>
      <c r="O1793" s="685"/>
      <c r="P1793" s="643"/>
    </row>
    <row r="1794" spans="1:16" s="619" customFormat="1" ht="36" x14ac:dyDescent="0.2">
      <c r="A1794" s="626" t="s">
        <v>4789</v>
      </c>
      <c r="B1794" s="626" t="s">
        <v>2275</v>
      </c>
      <c r="C1794" s="638" t="s">
        <v>108</v>
      </c>
      <c r="D1794" s="626" t="s">
        <v>4919</v>
      </c>
      <c r="E1794" s="636">
        <v>2200</v>
      </c>
      <c r="F1794" s="637"/>
      <c r="G1794" s="626" t="s">
        <v>4920</v>
      </c>
      <c r="H1794" s="638"/>
      <c r="I1794" s="626"/>
      <c r="J1794" s="638"/>
      <c r="K1794" s="645">
        <v>1</v>
      </c>
      <c r="L1794" s="681" t="s">
        <v>27</v>
      </c>
      <c r="M1794" s="684">
        <v>2200</v>
      </c>
      <c r="N1794" s="654"/>
      <c r="O1794" s="685"/>
      <c r="P1794" s="643"/>
    </row>
    <row r="1795" spans="1:16" s="619" customFormat="1" ht="36" x14ac:dyDescent="0.2">
      <c r="A1795" s="626" t="s">
        <v>4789</v>
      </c>
      <c r="B1795" s="626" t="s">
        <v>2275</v>
      </c>
      <c r="C1795" s="638" t="s">
        <v>108</v>
      </c>
      <c r="D1795" s="626" t="s">
        <v>1917</v>
      </c>
      <c r="E1795" s="636">
        <v>1100</v>
      </c>
      <c r="F1795" s="637"/>
      <c r="G1795" s="626" t="s">
        <v>4846</v>
      </c>
      <c r="H1795" s="638"/>
      <c r="I1795" s="626"/>
      <c r="J1795" s="638"/>
      <c r="K1795" s="645">
        <v>1</v>
      </c>
      <c r="L1795" s="681" t="s">
        <v>27</v>
      </c>
      <c r="M1795" s="684">
        <v>1100</v>
      </c>
      <c r="N1795" s="654"/>
      <c r="O1795" s="685"/>
      <c r="P1795" s="643"/>
    </row>
    <row r="1796" spans="1:16" s="619" customFormat="1" ht="36" x14ac:dyDescent="0.2">
      <c r="A1796" s="626" t="s">
        <v>4789</v>
      </c>
      <c r="B1796" s="626" t="s">
        <v>2275</v>
      </c>
      <c r="C1796" s="638" t="s">
        <v>108</v>
      </c>
      <c r="D1796" s="626" t="s">
        <v>1917</v>
      </c>
      <c r="E1796" s="636">
        <v>1100</v>
      </c>
      <c r="F1796" s="637"/>
      <c r="G1796" s="626" t="s">
        <v>4946</v>
      </c>
      <c r="H1796" s="638"/>
      <c r="I1796" s="626"/>
      <c r="J1796" s="638"/>
      <c r="K1796" s="645">
        <v>1</v>
      </c>
      <c r="L1796" s="681" t="s">
        <v>27</v>
      </c>
      <c r="M1796" s="684">
        <v>1100</v>
      </c>
      <c r="N1796" s="654"/>
      <c r="O1796" s="685"/>
      <c r="P1796" s="643"/>
    </row>
    <row r="1797" spans="1:16" s="619" customFormat="1" ht="36" x14ac:dyDescent="0.2">
      <c r="A1797" s="626" t="s">
        <v>4789</v>
      </c>
      <c r="B1797" s="626" t="s">
        <v>2275</v>
      </c>
      <c r="C1797" s="638" t="s">
        <v>108</v>
      </c>
      <c r="D1797" s="626" t="s">
        <v>4876</v>
      </c>
      <c r="E1797" s="636">
        <v>2800</v>
      </c>
      <c r="F1797" s="637"/>
      <c r="G1797" s="626" t="s">
        <v>4877</v>
      </c>
      <c r="H1797" s="638"/>
      <c r="I1797" s="626"/>
      <c r="J1797" s="638"/>
      <c r="K1797" s="645">
        <v>1</v>
      </c>
      <c r="L1797" s="681" t="s">
        <v>27</v>
      </c>
      <c r="M1797" s="684">
        <v>2800</v>
      </c>
      <c r="N1797" s="654"/>
      <c r="O1797" s="685"/>
      <c r="P1797" s="643"/>
    </row>
    <row r="1798" spans="1:16" s="619" customFormat="1" ht="48" x14ac:dyDescent="0.2">
      <c r="A1798" s="626" t="s">
        <v>4789</v>
      </c>
      <c r="B1798" s="626" t="s">
        <v>2275</v>
      </c>
      <c r="C1798" s="638" t="s">
        <v>108</v>
      </c>
      <c r="D1798" s="626" t="s">
        <v>4967</v>
      </c>
      <c r="E1798" s="636">
        <v>1500</v>
      </c>
      <c r="F1798" s="637"/>
      <c r="G1798" s="626" t="s">
        <v>4895</v>
      </c>
      <c r="H1798" s="638"/>
      <c r="I1798" s="626"/>
      <c r="J1798" s="638"/>
      <c r="K1798" s="645">
        <v>1</v>
      </c>
      <c r="L1798" s="681" t="s">
        <v>27</v>
      </c>
      <c r="M1798" s="684">
        <v>1500</v>
      </c>
      <c r="N1798" s="654"/>
      <c r="O1798" s="685"/>
      <c r="P1798" s="643"/>
    </row>
    <row r="1799" spans="1:16" s="619" customFormat="1" ht="36" x14ac:dyDescent="0.2">
      <c r="A1799" s="626" t="s">
        <v>4789</v>
      </c>
      <c r="B1799" s="626" t="s">
        <v>2275</v>
      </c>
      <c r="C1799" s="638" t="s">
        <v>108</v>
      </c>
      <c r="D1799" s="626" t="s">
        <v>4866</v>
      </c>
      <c r="E1799" s="636">
        <v>1250</v>
      </c>
      <c r="F1799" s="637"/>
      <c r="G1799" s="626" t="s">
        <v>4932</v>
      </c>
      <c r="H1799" s="638"/>
      <c r="I1799" s="626"/>
      <c r="J1799" s="638"/>
      <c r="K1799" s="645">
        <v>1</v>
      </c>
      <c r="L1799" s="681" t="s">
        <v>27</v>
      </c>
      <c r="M1799" s="684">
        <v>1250</v>
      </c>
      <c r="N1799" s="654"/>
      <c r="O1799" s="685"/>
      <c r="P1799" s="643"/>
    </row>
    <row r="1800" spans="1:16" s="619" customFormat="1" ht="36" x14ac:dyDescent="0.2">
      <c r="A1800" s="626" t="s">
        <v>4789</v>
      </c>
      <c r="B1800" s="626" t="s">
        <v>2275</v>
      </c>
      <c r="C1800" s="638" t="s">
        <v>108</v>
      </c>
      <c r="D1800" s="626" t="s">
        <v>4934</v>
      </c>
      <c r="E1800" s="636">
        <v>1250</v>
      </c>
      <c r="F1800" s="637"/>
      <c r="G1800" s="626" t="s">
        <v>4935</v>
      </c>
      <c r="H1800" s="638"/>
      <c r="I1800" s="626"/>
      <c r="J1800" s="638"/>
      <c r="K1800" s="645">
        <v>1</v>
      </c>
      <c r="L1800" s="681" t="s">
        <v>27</v>
      </c>
      <c r="M1800" s="684">
        <v>1250</v>
      </c>
      <c r="N1800" s="654"/>
      <c r="O1800" s="685"/>
      <c r="P1800" s="643"/>
    </row>
    <row r="1801" spans="1:16" s="619" customFormat="1" ht="36" x14ac:dyDescent="0.2">
      <c r="A1801" s="626" t="s">
        <v>4789</v>
      </c>
      <c r="B1801" s="626" t="s">
        <v>2275</v>
      </c>
      <c r="C1801" s="638" t="s">
        <v>108</v>
      </c>
      <c r="D1801" s="626" t="s">
        <v>4921</v>
      </c>
      <c r="E1801" s="636">
        <v>1000</v>
      </c>
      <c r="F1801" s="637"/>
      <c r="G1801" s="626" t="s">
        <v>4867</v>
      </c>
      <c r="H1801" s="638"/>
      <c r="I1801" s="626"/>
      <c r="J1801" s="638"/>
      <c r="K1801" s="645">
        <v>1</v>
      </c>
      <c r="L1801" s="681" t="s">
        <v>27</v>
      </c>
      <c r="M1801" s="684">
        <v>1000</v>
      </c>
      <c r="N1801" s="654"/>
      <c r="O1801" s="685"/>
      <c r="P1801" s="643"/>
    </row>
    <row r="1802" spans="1:16" s="619" customFormat="1" ht="36" x14ac:dyDescent="0.2">
      <c r="A1802" s="626" t="s">
        <v>4789</v>
      </c>
      <c r="B1802" s="626" t="s">
        <v>2275</v>
      </c>
      <c r="C1802" s="638" t="s">
        <v>108</v>
      </c>
      <c r="D1802" s="626" t="s">
        <v>3776</v>
      </c>
      <c r="E1802" s="636">
        <v>1000</v>
      </c>
      <c r="F1802" s="637"/>
      <c r="G1802" s="626" t="s">
        <v>4852</v>
      </c>
      <c r="H1802" s="638"/>
      <c r="I1802" s="626"/>
      <c r="J1802" s="638"/>
      <c r="K1802" s="645">
        <v>1</v>
      </c>
      <c r="L1802" s="681" t="s">
        <v>27</v>
      </c>
      <c r="M1802" s="684">
        <v>1000</v>
      </c>
      <c r="N1802" s="654"/>
      <c r="O1802" s="685"/>
      <c r="P1802" s="643"/>
    </row>
    <row r="1803" spans="1:16" s="619" customFormat="1" ht="36" x14ac:dyDescent="0.2">
      <c r="A1803" s="626" t="s">
        <v>4789</v>
      </c>
      <c r="B1803" s="626" t="s">
        <v>2275</v>
      </c>
      <c r="C1803" s="638" t="s">
        <v>108</v>
      </c>
      <c r="D1803" s="626" t="s">
        <v>4853</v>
      </c>
      <c r="E1803" s="636">
        <v>1500</v>
      </c>
      <c r="F1803" s="637"/>
      <c r="G1803" s="626" t="s">
        <v>4854</v>
      </c>
      <c r="H1803" s="638"/>
      <c r="I1803" s="626"/>
      <c r="J1803" s="638"/>
      <c r="K1803" s="645">
        <v>1</v>
      </c>
      <c r="L1803" s="681" t="s">
        <v>27</v>
      </c>
      <c r="M1803" s="684">
        <v>1500</v>
      </c>
      <c r="N1803" s="654"/>
      <c r="O1803" s="685"/>
      <c r="P1803" s="643"/>
    </row>
    <row r="1804" spans="1:16" s="619" customFormat="1" ht="36" x14ac:dyDescent="0.2">
      <c r="A1804" s="626" t="s">
        <v>4789</v>
      </c>
      <c r="B1804" s="626" t="s">
        <v>2032</v>
      </c>
      <c r="C1804" s="638" t="s">
        <v>108</v>
      </c>
      <c r="D1804" s="626" t="s">
        <v>4880</v>
      </c>
      <c r="E1804" s="636">
        <v>1500</v>
      </c>
      <c r="F1804" s="637"/>
      <c r="G1804" s="626" t="s">
        <v>4881</v>
      </c>
      <c r="H1804" s="638"/>
      <c r="I1804" s="626"/>
      <c r="J1804" s="638"/>
      <c r="K1804" s="645">
        <v>1</v>
      </c>
      <c r="L1804" s="681" t="s">
        <v>27</v>
      </c>
      <c r="M1804" s="684">
        <v>1500</v>
      </c>
      <c r="N1804" s="654"/>
      <c r="O1804" s="685"/>
      <c r="P1804" s="643"/>
    </row>
    <row r="1805" spans="1:16" s="619" customFormat="1" ht="36" x14ac:dyDescent="0.2">
      <c r="A1805" s="626" t="s">
        <v>4789</v>
      </c>
      <c r="B1805" s="626" t="s">
        <v>2275</v>
      </c>
      <c r="C1805" s="638" t="s">
        <v>108</v>
      </c>
      <c r="D1805" s="626" t="s">
        <v>4968</v>
      </c>
      <c r="E1805" s="636">
        <v>500</v>
      </c>
      <c r="F1805" s="637"/>
      <c r="G1805" s="626" t="s">
        <v>4859</v>
      </c>
      <c r="H1805" s="638"/>
      <c r="I1805" s="626"/>
      <c r="J1805" s="638"/>
      <c r="K1805" s="645">
        <v>1</v>
      </c>
      <c r="L1805" s="681" t="s">
        <v>27</v>
      </c>
      <c r="M1805" s="684">
        <v>500</v>
      </c>
      <c r="N1805" s="654"/>
      <c r="O1805" s="685"/>
      <c r="P1805" s="643"/>
    </row>
    <row r="1806" spans="1:16" s="619" customFormat="1" ht="36" x14ac:dyDescent="0.2">
      <c r="A1806" s="626" t="s">
        <v>4789</v>
      </c>
      <c r="B1806" s="626" t="s">
        <v>2275</v>
      </c>
      <c r="C1806" s="638" t="s">
        <v>108</v>
      </c>
      <c r="D1806" s="626" t="s">
        <v>4969</v>
      </c>
      <c r="E1806" s="636">
        <v>750</v>
      </c>
      <c r="F1806" s="637"/>
      <c r="G1806" s="626" t="s">
        <v>4903</v>
      </c>
      <c r="H1806" s="638"/>
      <c r="I1806" s="626"/>
      <c r="J1806" s="638"/>
      <c r="K1806" s="645">
        <v>1</v>
      </c>
      <c r="L1806" s="681" t="s">
        <v>27</v>
      </c>
      <c r="M1806" s="684">
        <v>750</v>
      </c>
      <c r="N1806" s="654"/>
      <c r="O1806" s="685"/>
      <c r="P1806" s="643"/>
    </row>
    <row r="1807" spans="1:16" s="619" customFormat="1" ht="36" x14ac:dyDescent="0.2">
      <c r="A1807" s="626" t="s">
        <v>4789</v>
      </c>
      <c r="B1807" s="626" t="s">
        <v>2275</v>
      </c>
      <c r="C1807" s="638" t="s">
        <v>108</v>
      </c>
      <c r="D1807" s="626" t="s">
        <v>4892</v>
      </c>
      <c r="E1807" s="636">
        <v>750</v>
      </c>
      <c r="F1807" s="637"/>
      <c r="G1807" s="626" t="s">
        <v>4893</v>
      </c>
      <c r="H1807" s="638"/>
      <c r="I1807" s="626"/>
      <c r="J1807" s="638"/>
      <c r="K1807" s="645">
        <v>1</v>
      </c>
      <c r="L1807" s="681" t="s">
        <v>27</v>
      </c>
      <c r="M1807" s="684">
        <v>750</v>
      </c>
      <c r="N1807" s="654"/>
      <c r="O1807" s="685"/>
      <c r="P1807" s="643"/>
    </row>
    <row r="1808" spans="1:16" s="619" customFormat="1" ht="36" x14ac:dyDescent="0.2">
      <c r="A1808" s="626" t="s">
        <v>4789</v>
      </c>
      <c r="B1808" s="626" t="s">
        <v>2275</v>
      </c>
      <c r="C1808" s="638" t="s">
        <v>108</v>
      </c>
      <c r="D1808" s="626" t="s">
        <v>4970</v>
      </c>
      <c r="E1808" s="636">
        <v>1200</v>
      </c>
      <c r="F1808" s="637"/>
      <c r="G1808" s="626" t="s">
        <v>4959</v>
      </c>
      <c r="H1808" s="638"/>
      <c r="I1808" s="626"/>
      <c r="J1808" s="638"/>
      <c r="K1808" s="645">
        <v>1</v>
      </c>
      <c r="L1808" s="681" t="s">
        <v>1</v>
      </c>
      <c r="M1808" s="684">
        <v>1200</v>
      </c>
      <c r="N1808" s="654"/>
      <c r="O1808" s="685"/>
      <c r="P1808" s="643"/>
    </row>
    <row r="1809" spans="1:16" s="619" customFormat="1" ht="36" x14ac:dyDescent="0.2">
      <c r="A1809" s="626" t="s">
        <v>4789</v>
      </c>
      <c r="B1809" s="626" t="s">
        <v>2032</v>
      </c>
      <c r="C1809" s="638" t="s">
        <v>108</v>
      </c>
      <c r="D1809" s="626" t="s">
        <v>4970</v>
      </c>
      <c r="E1809" s="636">
        <v>440</v>
      </c>
      <c r="F1809" s="637"/>
      <c r="G1809" s="626" t="s">
        <v>4959</v>
      </c>
      <c r="H1809" s="638"/>
      <c r="I1809" s="626"/>
      <c r="J1809" s="638"/>
      <c r="K1809" s="645">
        <v>1</v>
      </c>
      <c r="L1809" s="681" t="s">
        <v>1</v>
      </c>
      <c r="M1809" s="684">
        <v>440</v>
      </c>
      <c r="N1809" s="654"/>
      <c r="O1809" s="685"/>
      <c r="P1809" s="643"/>
    </row>
    <row r="1810" spans="1:16" s="619" customFormat="1" ht="36" x14ac:dyDescent="0.2">
      <c r="A1810" s="626" t="s">
        <v>4789</v>
      </c>
      <c r="B1810" s="626" t="s">
        <v>2032</v>
      </c>
      <c r="C1810" s="638" t="s">
        <v>108</v>
      </c>
      <c r="D1810" s="626" t="s">
        <v>4971</v>
      </c>
      <c r="E1810" s="636">
        <v>1500</v>
      </c>
      <c r="F1810" s="637"/>
      <c r="G1810" s="626" t="s">
        <v>4932</v>
      </c>
      <c r="H1810" s="638"/>
      <c r="I1810" s="626"/>
      <c r="J1810" s="638"/>
      <c r="K1810" s="645">
        <v>1</v>
      </c>
      <c r="L1810" s="681" t="s">
        <v>1</v>
      </c>
      <c r="M1810" s="684">
        <v>1500</v>
      </c>
      <c r="N1810" s="654"/>
      <c r="O1810" s="685"/>
      <c r="P1810" s="643"/>
    </row>
    <row r="1811" spans="1:16" s="619" customFormat="1" ht="36" x14ac:dyDescent="0.2">
      <c r="A1811" s="626" t="s">
        <v>4789</v>
      </c>
      <c r="B1811" s="626" t="s">
        <v>2032</v>
      </c>
      <c r="C1811" s="638" t="s">
        <v>108</v>
      </c>
      <c r="D1811" s="626" t="s">
        <v>4934</v>
      </c>
      <c r="E1811" s="636">
        <v>1500</v>
      </c>
      <c r="F1811" s="637"/>
      <c r="G1811" s="626" t="s">
        <v>4935</v>
      </c>
      <c r="H1811" s="638"/>
      <c r="I1811" s="626"/>
      <c r="J1811" s="638"/>
      <c r="K1811" s="645">
        <v>1</v>
      </c>
      <c r="L1811" s="681" t="s">
        <v>1</v>
      </c>
      <c r="M1811" s="684">
        <v>1500</v>
      </c>
      <c r="N1811" s="654"/>
      <c r="O1811" s="685"/>
      <c r="P1811" s="643"/>
    </row>
    <row r="1812" spans="1:16" s="619" customFormat="1" ht="24" x14ac:dyDescent="0.2">
      <c r="A1812" s="626" t="s">
        <v>4789</v>
      </c>
      <c r="B1812" s="626" t="s">
        <v>2032</v>
      </c>
      <c r="C1812" s="638" t="s">
        <v>108</v>
      </c>
      <c r="D1812" s="626" t="s">
        <v>4938</v>
      </c>
      <c r="E1812" s="636">
        <v>1500</v>
      </c>
      <c r="F1812" s="637"/>
      <c r="G1812" s="626" t="s">
        <v>4905</v>
      </c>
      <c r="H1812" s="638"/>
      <c r="I1812" s="626"/>
      <c r="J1812" s="638"/>
      <c r="K1812" s="645">
        <v>1</v>
      </c>
      <c r="L1812" s="681" t="s">
        <v>1</v>
      </c>
      <c r="M1812" s="684">
        <v>1500</v>
      </c>
      <c r="N1812" s="654"/>
      <c r="O1812" s="685"/>
      <c r="P1812" s="643"/>
    </row>
    <row r="1813" spans="1:16" s="619" customFormat="1" ht="36" x14ac:dyDescent="0.2">
      <c r="A1813" s="626" t="s">
        <v>4789</v>
      </c>
      <c r="B1813" s="626" t="s">
        <v>2032</v>
      </c>
      <c r="C1813" s="638" t="s">
        <v>108</v>
      </c>
      <c r="D1813" s="626" t="s">
        <v>4876</v>
      </c>
      <c r="E1813" s="636">
        <v>2800</v>
      </c>
      <c r="F1813" s="637"/>
      <c r="G1813" s="626" t="s">
        <v>4877</v>
      </c>
      <c r="H1813" s="638"/>
      <c r="I1813" s="626"/>
      <c r="J1813" s="638"/>
      <c r="K1813" s="645">
        <v>1</v>
      </c>
      <c r="L1813" s="681" t="s">
        <v>1</v>
      </c>
      <c r="M1813" s="684">
        <v>2800</v>
      </c>
      <c r="N1813" s="654"/>
      <c r="O1813" s="685"/>
      <c r="P1813" s="643"/>
    </row>
    <row r="1814" spans="1:16" s="619" customFormat="1" ht="36" x14ac:dyDescent="0.2">
      <c r="A1814" s="626" t="s">
        <v>4789</v>
      </c>
      <c r="B1814" s="626" t="s">
        <v>2032</v>
      </c>
      <c r="C1814" s="638" t="s">
        <v>108</v>
      </c>
      <c r="D1814" s="626" t="s">
        <v>1917</v>
      </c>
      <c r="E1814" s="636">
        <v>1100</v>
      </c>
      <c r="F1814" s="637"/>
      <c r="G1814" s="626" t="s">
        <v>4846</v>
      </c>
      <c r="H1814" s="638"/>
      <c r="I1814" s="626"/>
      <c r="J1814" s="638"/>
      <c r="K1814" s="645">
        <v>1</v>
      </c>
      <c r="L1814" s="681" t="s">
        <v>1</v>
      </c>
      <c r="M1814" s="684">
        <v>1100</v>
      </c>
      <c r="N1814" s="654"/>
      <c r="O1814" s="685"/>
      <c r="P1814" s="643"/>
    </row>
    <row r="1815" spans="1:16" s="619" customFormat="1" ht="24" x14ac:dyDescent="0.2">
      <c r="A1815" s="626" t="s">
        <v>4789</v>
      </c>
      <c r="B1815" s="626" t="s">
        <v>2032</v>
      </c>
      <c r="C1815" s="638" t="s">
        <v>108</v>
      </c>
      <c r="D1815" s="626" t="s">
        <v>4972</v>
      </c>
      <c r="E1815" s="636">
        <v>1500</v>
      </c>
      <c r="F1815" s="637"/>
      <c r="G1815" s="626" t="s">
        <v>4874</v>
      </c>
      <c r="H1815" s="638"/>
      <c r="I1815" s="626"/>
      <c r="J1815" s="638"/>
      <c r="K1815" s="645">
        <v>1</v>
      </c>
      <c r="L1815" s="681" t="s">
        <v>1</v>
      </c>
      <c r="M1815" s="684">
        <v>1500</v>
      </c>
      <c r="N1815" s="654"/>
      <c r="O1815" s="685"/>
      <c r="P1815" s="643"/>
    </row>
    <row r="1816" spans="1:16" s="619" customFormat="1" ht="36" x14ac:dyDescent="0.2">
      <c r="A1816" s="626" t="s">
        <v>4789</v>
      </c>
      <c r="B1816" s="626" t="s">
        <v>2032</v>
      </c>
      <c r="C1816" s="638" t="s">
        <v>108</v>
      </c>
      <c r="D1816" s="626" t="s">
        <v>4892</v>
      </c>
      <c r="E1816" s="636">
        <v>1750</v>
      </c>
      <c r="F1816" s="637"/>
      <c r="G1816" s="626" t="s">
        <v>4893</v>
      </c>
      <c r="H1816" s="638"/>
      <c r="I1816" s="626"/>
      <c r="J1816" s="638"/>
      <c r="K1816" s="645">
        <v>1</v>
      </c>
      <c r="L1816" s="681" t="s">
        <v>1</v>
      </c>
      <c r="M1816" s="684">
        <v>1750</v>
      </c>
      <c r="N1816" s="654"/>
      <c r="O1816" s="685"/>
      <c r="P1816" s="643"/>
    </row>
    <row r="1817" spans="1:16" s="619" customFormat="1" ht="36" x14ac:dyDescent="0.2">
      <c r="A1817" s="626" t="s">
        <v>4789</v>
      </c>
      <c r="B1817" s="626" t="s">
        <v>2032</v>
      </c>
      <c r="C1817" s="638" t="s">
        <v>108</v>
      </c>
      <c r="D1817" s="626" t="s">
        <v>4973</v>
      </c>
      <c r="E1817" s="636">
        <v>1000</v>
      </c>
      <c r="F1817" s="637"/>
      <c r="G1817" s="626" t="s">
        <v>4901</v>
      </c>
      <c r="H1817" s="638"/>
      <c r="I1817" s="626"/>
      <c r="J1817" s="638"/>
      <c r="K1817" s="645">
        <v>1</v>
      </c>
      <c r="L1817" s="681" t="s">
        <v>1</v>
      </c>
      <c r="M1817" s="684">
        <v>1000</v>
      </c>
      <c r="N1817" s="654"/>
      <c r="O1817" s="685"/>
      <c r="P1817" s="643"/>
    </row>
    <row r="1818" spans="1:16" s="619" customFormat="1" ht="24" x14ac:dyDescent="0.2">
      <c r="A1818" s="626" t="s">
        <v>4789</v>
      </c>
      <c r="B1818" s="626" t="s">
        <v>2032</v>
      </c>
      <c r="C1818" s="638" t="s">
        <v>108</v>
      </c>
      <c r="D1818" s="626" t="s">
        <v>4974</v>
      </c>
      <c r="E1818" s="636">
        <v>1500</v>
      </c>
      <c r="F1818" s="637"/>
      <c r="G1818" s="626" t="s">
        <v>4865</v>
      </c>
      <c r="H1818" s="638"/>
      <c r="I1818" s="626"/>
      <c r="J1818" s="638"/>
      <c r="K1818" s="645">
        <v>1</v>
      </c>
      <c r="L1818" s="681" t="s">
        <v>1</v>
      </c>
      <c r="M1818" s="684">
        <v>1500</v>
      </c>
      <c r="N1818" s="654"/>
      <c r="O1818" s="685"/>
      <c r="P1818" s="643"/>
    </row>
    <row r="1819" spans="1:16" s="619" customFormat="1" ht="36" x14ac:dyDescent="0.2">
      <c r="A1819" s="626" t="s">
        <v>4789</v>
      </c>
      <c r="B1819" s="626" t="s">
        <v>2032</v>
      </c>
      <c r="C1819" s="638" t="s">
        <v>108</v>
      </c>
      <c r="D1819" s="626" t="s">
        <v>4921</v>
      </c>
      <c r="E1819" s="636">
        <v>1000</v>
      </c>
      <c r="F1819" s="637"/>
      <c r="G1819" s="626" t="s">
        <v>4867</v>
      </c>
      <c r="H1819" s="638"/>
      <c r="I1819" s="626"/>
      <c r="J1819" s="638"/>
      <c r="K1819" s="645">
        <v>1</v>
      </c>
      <c r="L1819" s="681" t="s">
        <v>1</v>
      </c>
      <c r="M1819" s="684">
        <v>1000</v>
      </c>
      <c r="N1819" s="654"/>
      <c r="O1819" s="685"/>
      <c r="P1819" s="643"/>
    </row>
    <row r="1820" spans="1:16" s="619" customFormat="1" ht="24" x14ac:dyDescent="0.2">
      <c r="A1820" s="626" t="s">
        <v>4789</v>
      </c>
      <c r="B1820" s="626" t="s">
        <v>2032</v>
      </c>
      <c r="C1820" s="638" t="s">
        <v>108</v>
      </c>
      <c r="D1820" s="626" t="s">
        <v>4862</v>
      </c>
      <c r="E1820" s="636">
        <v>1000</v>
      </c>
      <c r="F1820" s="637"/>
      <c r="G1820" s="626" t="s">
        <v>4859</v>
      </c>
      <c r="H1820" s="638"/>
      <c r="I1820" s="626"/>
      <c r="J1820" s="638"/>
      <c r="K1820" s="645">
        <v>1</v>
      </c>
      <c r="L1820" s="681" t="s">
        <v>1</v>
      </c>
      <c r="M1820" s="684">
        <v>1000</v>
      </c>
      <c r="N1820" s="654"/>
      <c r="O1820" s="685"/>
      <c r="P1820" s="643"/>
    </row>
    <row r="1821" spans="1:16" s="619" customFormat="1" ht="36" x14ac:dyDescent="0.2">
      <c r="A1821" s="626" t="s">
        <v>4789</v>
      </c>
      <c r="B1821" s="626" t="s">
        <v>2032</v>
      </c>
      <c r="C1821" s="638" t="s">
        <v>108</v>
      </c>
      <c r="D1821" s="626" t="s">
        <v>4919</v>
      </c>
      <c r="E1821" s="636">
        <v>2200</v>
      </c>
      <c r="F1821" s="637"/>
      <c r="G1821" s="626" t="s">
        <v>4920</v>
      </c>
      <c r="H1821" s="638"/>
      <c r="I1821" s="626"/>
      <c r="J1821" s="638"/>
      <c r="K1821" s="645">
        <v>1</v>
      </c>
      <c r="L1821" s="681" t="s">
        <v>1</v>
      </c>
      <c r="M1821" s="684">
        <v>2200</v>
      </c>
      <c r="N1821" s="654"/>
      <c r="O1821" s="685"/>
      <c r="P1821" s="643"/>
    </row>
    <row r="1822" spans="1:16" s="619" customFormat="1" ht="24" x14ac:dyDescent="0.2">
      <c r="A1822" s="626" t="s">
        <v>4789</v>
      </c>
      <c r="B1822" s="626" t="s">
        <v>2032</v>
      </c>
      <c r="C1822" s="638" t="s">
        <v>108</v>
      </c>
      <c r="D1822" s="626" t="s">
        <v>3776</v>
      </c>
      <c r="E1822" s="636">
        <v>1000</v>
      </c>
      <c r="F1822" s="637"/>
      <c r="G1822" s="626" t="s">
        <v>4852</v>
      </c>
      <c r="H1822" s="638"/>
      <c r="I1822" s="626"/>
      <c r="J1822" s="638"/>
      <c r="K1822" s="645">
        <v>1</v>
      </c>
      <c r="L1822" s="681" t="s">
        <v>1</v>
      </c>
      <c r="M1822" s="684">
        <v>1000</v>
      </c>
      <c r="N1822" s="654"/>
      <c r="O1822" s="685"/>
      <c r="P1822" s="643"/>
    </row>
    <row r="1823" spans="1:16" s="619" customFormat="1" ht="36" x14ac:dyDescent="0.2">
      <c r="A1823" s="626" t="s">
        <v>4789</v>
      </c>
      <c r="B1823" s="626" t="s">
        <v>2032</v>
      </c>
      <c r="C1823" s="638" t="s">
        <v>108</v>
      </c>
      <c r="D1823" s="626" t="s">
        <v>4969</v>
      </c>
      <c r="E1823" s="636">
        <v>1750</v>
      </c>
      <c r="F1823" s="637"/>
      <c r="G1823" s="626" t="s">
        <v>4903</v>
      </c>
      <c r="H1823" s="638"/>
      <c r="I1823" s="626"/>
      <c r="J1823" s="638"/>
      <c r="K1823" s="645">
        <v>1</v>
      </c>
      <c r="L1823" s="681" t="s">
        <v>1</v>
      </c>
      <c r="M1823" s="684">
        <v>1750</v>
      </c>
      <c r="N1823" s="654"/>
      <c r="O1823" s="685"/>
      <c r="P1823" s="643"/>
    </row>
    <row r="1824" spans="1:16" s="619" customFormat="1" ht="24" x14ac:dyDescent="0.2">
      <c r="A1824" s="626" t="s">
        <v>4789</v>
      </c>
      <c r="B1824" s="626" t="s">
        <v>2032</v>
      </c>
      <c r="C1824" s="638" t="s">
        <v>108</v>
      </c>
      <c r="D1824" s="626" t="s">
        <v>4967</v>
      </c>
      <c r="E1824" s="636">
        <v>1950</v>
      </c>
      <c r="F1824" s="637"/>
      <c r="G1824" s="626" t="s">
        <v>4975</v>
      </c>
      <c r="H1824" s="638"/>
      <c r="I1824" s="626"/>
      <c r="J1824" s="638"/>
      <c r="K1824" s="645">
        <v>1</v>
      </c>
      <c r="L1824" s="681" t="s">
        <v>1</v>
      </c>
      <c r="M1824" s="684">
        <v>1950</v>
      </c>
      <c r="N1824" s="654"/>
      <c r="O1824" s="685"/>
      <c r="P1824" s="643"/>
    </row>
    <row r="1825" spans="1:16" s="619" customFormat="1" ht="36" x14ac:dyDescent="0.2">
      <c r="A1825" s="626" t="s">
        <v>4789</v>
      </c>
      <c r="B1825" s="626" t="s">
        <v>2032</v>
      </c>
      <c r="C1825" s="638" t="s">
        <v>108</v>
      </c>
      <c r="D1825" s="626" t="s">
        <v>4976</v>
      </c>
      <c r="E1825" s="636">
        <v>566.33000000000004</v>
      </c>
      <c r="F1825" s="637"/>
      <c r="G1825" s="626" t="s">
        <v>4945</v>
      </c>
      <c r="H1825" s="638"/>
      <c r="I1825" s="626"/>
      <c r="J1825" s="638"/>
      <c r="K1825" s="645">
        <v>1</v>
      </c>
      <c r="L1825" s="681" t="s">
        <v>1</v>
      </c>
      <c r="M1825" s="684">
        <v>566.33000000000004</v>
      </c>
      <c r="N1825" s="654"/>
      <c r="O1825" s="685"/>
      <c r="P1825" s="643"/>
    </row>
    <row r="1826" spans="1:16" s="619" customFormat="1" ht="24" x14ac:dyDescent="0.2">
      <c r="A1826" s="626" t="s">
        <v>4789</v>
      </c>
      <c r="B1826" s="626" t="s">
        <v>2032</v>
      </c>
      <c r="C1826" s="638" t="s">
        <v>108</v>
      </c>
      <c r="D1826" s="626" t="s">
        <v>4853</v>
      </c>
      <c r="E1826" s="636">
        <v>1500</v>
      </c>
      <c r="F1826" s="637"/>
      <c r="G1826" s="626" t="s">
        <v>4854</v>
      </c>
      <c r="H1826" s="638"/>
      <c r="I1826" s="626"/>
      <c r="J1826" s="638"/>
      <c r="K1826" s="645">
        <v>1</v>
      </c>
      <c r="L1826" s="681" t="s">
        <v>1</v>
      </c>
      <c r="M1826" s="684">
        <v>1500</v>
      </c>
      <c r="N1826" s="654"/>
      <c r="O1826" s="685"/>
      <c r="P1826" s="643"/>
    </row>
    <row r="1827" spans="1:16" s="619" customFormat="1" ht="24" x14ac:dyDescent="0.2">
      <c r="A1827" s="626" t="s">
        <v>4789</v>
      </c>
      <c r="B1827" s="626" t="s">
        <v>2032</v>
      </c>
      <c r="C1827" s="638" t="s">
        <v>108</v>
      </c>
      <c r="D1827" s="626" t="s">
        <v>4977</v>
      </c>
      <c r="E1827" s="636">
        <v>680</v>
      </c>
      <c r="F1827" s="637"/>
      <c r="G1827" s="626" t="s">
        <v>4978</v>
      </c>
      <c r="H1827" s="638"/>
      <c r="I1827" s="626"/>
      <c r="J1827" s="638"/>
      <c r="K1827" s="645">
        <v>1</v>
      </c>
      <c r="L1827" s="681" t="s">
        <v>1</v>
      </c>
      <c r="M1827" s="684">
        <v>680</v>
      </c>
      <c r="N1827" s="654"/>
      <c r="O1827" s="685"/>
      <c r="P1827" s="643"/>
    </row>
    <row r="1828" spans="1:16" s="619" customFormat="1" ht="36" x14ac:dyDescent="0.2">
      <c r="A1828" s="626" t="s">
        <v>4789</v>
      </c>
      <c r="B1828" s="626" t="s">
        <v>2032</v>
      </c>
      <c r="C1828" s="638" t="s">
        <v>108</v>
      </c>
      <c r="D1828" s="626" t="s">
        <v>1917</v>
      </c>
      <c r="E1828" s="636">
        <v>1200</v>
      </c>
      <c r="F1828" s="637"/>
      <c r="G1828" s="626" t="s">
        <v>4979</v>
      </c>
      <c r="H1828" s="638"/>
      <c r="I1828" s="626"/>
      <c r="J1828" s="638"/>
      <c r="K1828" s="645">
        <v>1</v>
      </c>
      <c r="L1828" s="681" t="s">
        <v>28</v>
      </c>
      <c r="M1828" s="684">
        <v>1200</v>
      </c>
      <c r="N1828" s="654"/>
      <c r="O1828" s="685"/>
      <c r="P1828" s="643"/>
    </row>
    <row r="1829" spans="1:16" s="619" customFormat="1" ht="36" x14ac:dyDescent="0.2">
      <c r="A1829" s="626" t="s">
        <v>4789</v>
      </c>
      <c r="B1829" s="626" t="s">
        <v>2275</v>
      </c>
      <c r="C1829" s="638" t="s">
        <v>108</v>
      </c>
      <c r="D1829" s="626" t="s">
        <v>4980</v>
      </c>
      <c r="E1829" s="636">
        <v>1466.7</v>
      </c>
      <c r="F1829" s="637"/>
      <c r="G1829" s="626" t="s">
        <v>4981</v>
      </c>
      <c r="H1829" s="638"/>
      <c r="I1829" s="626"/>
      <c r="J1829" s="638"/>
      <c r="K1829" s="645">
        <v>1</v>
      </c>
      <c r="L1829" s="681" t="s">
        <v>28</v>
      </c>
      <c r="M1829" s="684">
        <v>1466.7</v>
      </c>
      <c r="N1829" s="654"/>
      <c r="O1829" s="685"/>
      <c r="P1829" s="643"/>
    </row>
    <row r="1830" spans="1:16" s="619" customFormat="1" ht="36" x14ac:dyDescent="0.2">
      <c r="A1830" s="626" t="s">
        <v>4789</v>
      </c>
      <c r="B1830" s="626" t="s">
        <v>2275</v>
      </c>
      <c r="C1830" s="638" t="s">
        <v>108</v>
      </c>
      <c r="D1830" s="626" t="s">
        <v>4982</v>
      </c>
      <c r="E1830" s="636">
        <v>303.33</v>
      </c>
      <c r="F1830" s="637"/>
      <c r="G1830" s="626" t="s">
        <v>4983</v>
      </c>
      <c r="H1830" s="638"/>
      <c r="I1830" s="626"/>
      <c r="J1830" s="638"/>
      <c r="K1830" s="645">
        <v>1</v>
      </c>
      <c r="L1830" s="681" t="s">
        <v>28</v>
      </c>
      <c r="M1830" s="684">
        <v>303.33</v>
      </c>
      <c r="N1830" s="654"/>
      <c r="O1830" s="685"/>
      <c r="P1830" s="643"/>
    </row>
    <row r="1831" spans="1:16" s="619" customFormat="1" ht="24" x14ac:dyDescent="0.2">
      <c r="A1831" s="626" t="s">
        <v>4789</v>
      </c>
      <c r="B1831" s="626" t="s">
        <v>2032</v>
      </c>
      <c r="C1831" s="638" t="s">
        <v>108</v>
      </c>
      <c r="D1831" s="626" t="s">
        <v>4982</v>
      </c>
      <c r="E1831" s="636">
        <v>563.33000000000004</v>
      </c>
      <c r="F1831" s="637"/>
      <c r="G1831" s="626" t="s">
        <v>4983</v>
      </c>
      <c r="H1831" s="638"/>
      <c r="I1831" s="626"/>
      <c r="J1831" s="638"/>
      <c r="K1831" s="645">
        <v>1</v>
      </c>
      <c r="L1831" s="681" t="s">
        <v>28</v>
      </c>
      <c r="M1831" s="684">
        <v>563.33000000000004</v>
      </c>
      <c r="N1831" s="654"/>
      <c r="O1831" s="685"/>
      <c r="P1831" s="643"/>
    </row>
    <row r="1832" spans="1:16" s="619" customFormat="1" ht="36" x14ac:dyDescent="0.2">
      <c r="A1832" s="626" t="s">
        <v>4789</v>
      </c>
      <c r="B1832" s="626" t="s">
        <v>2032</v>
      </c>
      <c r="C1832" s="638" t="s">
        <v>108</v>
      </c>
      <c r="D1832" s="626" t="s">
        <v>4930</v>
      </c>
      <c r="E1832" s="636">
        <v>1500</v>
      </c>
      <c r="F1832" s="637"/>
      <c r="G1832" s="626" t="s">
        <v>4855</v>
      </c>
      <c r="H1832" s="638"/>
      <c r="I1832" s="626"/>
      <c r="J1832" s="638"/>
      <c r="K1832" s="645">
        <v>1</v>
      </c>
      <c r="L1832" s="681" t="s">
        <v>28</v>
      </c>
      <c r="M1832" s="684">
        <v>1500</v>
      </c>
      <c r="N1832" s="654"/>
      <c r="O1832" s="685"/>
      <c r="P1832" s="643"/>
    </row>
    <row r="1833" spans="1:16" s="619" customFormat="1" ht="36" x14ac:dyDescent="0.2">
      <c r="A1833" s="626" t="s">
        <v>4789</v>
      </c>
      <c r="B1833" s="626" t="s">
        <v>2275</v>
      </c>
      <c r="C1833" s="638" t="s">
        <v>108</v>
      </c>
      <c r="D1833" s="626" t="s">
        <v>4984</v>
      </c>
      <c r="E1833" s="636">
        <v>2000</v>
      </c>
      <c r="F1833" s="637"/>
      <c r="G1833" s="626" t="s">
        <v>4905</v>
      </c>
      <c r="H1833" s="638"/>
      <c r="I1833" s="626"/>
      <c r="J1833" s="638"/>
      <c r="K1833" s="645">
        <v>1</v>
      </c>
      <c r="L1833" s="681" t="s">
        <v>28</v>
      </c>
      <c r="M1833" s="684">
        <v>2000</v>
      </c>
      <c r="N1833" s="654"/>
      <c r="O1833" s="685"/>
      <c r="P1833" s="643"/>
    </row>
    <row r="1834" spans="1:16" s="619" customFormat="1" ht="36" x14ac:dyDescent="0.2">
      <c r="A1834" s="626" t="s">
        <v>4789</v>
      </c>
      <c r="B1834" s="626" t="s">
        <v>2275</v>
      </c>
      <c r="C1834" s="638" t="s">
        <v>108</v>
      </c>
      <c r="D1834" s="626" t="s">
        <v>4892</v>
      </c>
      <c r="E1834" s="636">
        <v>1750</v>
      </c>
      <c r="F1834" s="637"/>
      <c r="G1834" s="626" t="s">
        <v>4893</v>
      </c>
      <c r="H1834" s="638"/>
      <c r="I1834" s="626"/>
      <c r="J1834" s="638"/>
      <c r="K1834" s="645">
        <v>1</v>
      </c>
      <c r="L1834" s="681" t="s">
        <v>28</v>
      </c>
      <c r="M1834" s="684">
        <v>1750</v>
      </c>
      <c r="N1834" s="654"/>
      <c r="O1834" s="685"/>
      <c r="P1834" s="643"/>
    </row>
    <row r="1835" spans="1:16" s="619" customFormat="1" ht="36" x14ac:dyDescent="0.2">
      <c r="A1835" s="626" t="s">
        <v>4789</v>
      </c>
      <c r="B1835" s="626" t="s">
        <v>2275</v>
      </c>
      <c r="C1835" s="638" t="s">
        <v>108</v>
      </c>
      <c r="D1835" s="626" t="s">
        <v>4876</v>
      </c>
      <c r="E1835" s="636">
        <v>2800</v>
      </c>
      <c r="F1835" s="637"/>
      <c r="G1835" s="626" t="s">
        <v>4877</v>
      </c>
      <c r="H1835" s="638"/>
      <c r="I1835" s="626"/>
      <c r="J1835" s="638"/>
      <c r="K1835" s="645">
        <v>1</v>
      </c>
      <c r="L1835" s="681" t="s">
        <v>28</v>
      </c>
      <c r="M1835" s="684">
        <v>2800</v>
      </c>
      <c r="N1835" s="654"/>
      <c r="O1835" s="685"/>
      <c r="P1835" s="643"/>
    </row>
    <row r="1836" spans="1:16" s="619" customFormat="1" ht="36" x14ac:dyDescent="0.2">
      <c r="A1836" s="626" t="s">
        <v>4789</v>
      </c>
      <c r="B1836" s="626" t="s">
        <v>2032</v>
      </c>
      <c r="C1836" s="638" t="s">
        <v>108</v>
      </c>
      <c r="D1836" s="626" t="s">
        <v>4878</v>
      </c>
      <c r="E1836" s="636">
        <v>1400</v>
      </c>
      <c r="F1836" s="637"/>
      <c r="G1836" s="626" t="s">
        <v>4959</v>
      </c>
      <c r="H1836" s="638"/>
      <c r="I1836" s="626"/>
      <c r="J1836" s="638"/>
      <c r="K1836" s="645">
        <v>1</v>
      </c>
      <c r="L1836" s="681" t="s">
        <v>28</v>
      </c>
      <c r="M1836" s="684">
        <v>1400</v>
      </c>
      <c r="N1836" s="654"/>
      <c r="O1836" s="685"/>
      <c r="P1836" s="643"/>
    </row>
    <row r="1837" spans="1:16" s="619" customFormat="1" ht="36" x14ac:dyDescent="0.2">
      <c r="A1837" s="626" t="s">
        <v>4789</v>
      </c>
      <c r="B1837" s="626" t="s">
        <v>2275</v>
      </c>
      <c r="C1837" s="638" t="s">
        <v>108</v>
      </c>
      <c r="D1837" s="626" t="s">
        <v>4934</v>
      </c>
      <c r="E1837" s="636">
        <v>1500</v>
      </c>
      <c r="F1837" s="637"/>
      <c r="G1837" s="626" t="s">
        <v>4935</v>
      </c>
      <c r="H1837" s="638"/>
      <c r="I1837" s="626"/>
      <c r="J1837" s="638"/>
      <c r="K1837" s="645">
        <v>1</v>
      </c>
      <c r="L1837" s="681" t="s">
        <v>28</v>
      </c>
      <c r="M1837" s="684">
        <v>1500</v>
      </c>
      <c r="N1837" s="654"/>
      <c r="O1837" s="685"/>
      <c r="P1837" s="643"/>
    </row>
    <row r="1838" spans="1:16" s="619" customFormat="1" ht="36" x14ac:dyDescent="0.2">
      <c r="A1838" s="626" t="s">
        <v>4789</v>
      </c>
      <c r="B1838" s="626" t="s">
        <v>2275</v>
      </c>
      <c r="C1838" s="638" t="s">
        <v>108</v>
      </c>
      <c r="D1838" s="626" t="s">
        <v>4976</v>
      </c>
      <c r="E1838" s="636">
        <v>1300</v>
      </c>
      <c r="F1838" s="637"/>
      <c r="G1838" s="626" t="s">
        <v>4945</v>
      </c>
      <c r="H1838" s="638"/>
      <c r="I1838" s="626"/>
      <c r="J1838" s="638"/>
      <c r="K1838" s="645">
        <v>1</v>
      </c>
      <c r="L1838" s="681" t="s">
        <v>28</v>
      </c>
      <c r="M1838" s="684">
        <v>1300</v>
      </c>
      <c r="N1838" s="654"/>
      <c r="O1838" s="685"/>
      <c r="P1838" s="643"/>
    </row>
    <row r="1839" spans="1:16" s="619" customFormat="1" ht="36" x14ac:dyDescent="0.2">
      <c r="A1839" s="626" t="s">
        <v>4789</v>
      </c>
      <c r="B1839" s="626" t="s">
        <v>2275</v>
      </c>
      <c r="C1839" s="638" t="s">
        <v>108</v>
      </c>
      <c r="D1839" s="626" t="s">
        <v>4965</v>
      </c>
      <c r="E1839" s="636">
        <v>1200</v>
      </c>
      <c r="F1839" s="637"/>
      <c r="G1839" s="626" t="s">
        <v>4901</v>
      </c>
      <c r="H1839" s="638"/>
      <c r="I1839" s="626"/>
      <c r="J1839" s="638"/>
      <c r="K1839" s="645">
        <v>1</v>
      </c>
      <c r="L1839" s="681" t="s">
        <v>28</v>
      </c>
      <c r="M1839" s="684">
        <v>1200</v>
      </c>
      <c r="N1839" s="654"/>
      <c r="O1839" s="685"/>
      <c r="P1839" s="643"/>
    </row>
    <row r="1840" spans="1:16" s="619" customFormat="1" ht="36" x14ac:dyDescent="0.2">
      <c r="A1840" s="626" t="s">
        <v>4789</v>
      </c>
      <c r="B1840" s="626" t="s">
        <v>2275</v>
      </c>
      <c r="C1840" s="638" t="s">
        <v>108</v>
      </c>
      <c r="D1840" s="626" t="s">
        <v>3973</v>
      </c>
      <c r="E1840" s="636">
        <v>1500</v>
      </c>
      <c r="F1840" s="637"/>
      <c r="G1840" s="626" t="s">
        <v>4874</v>
      </c>
      <c r="H1840" s="638"/>
      <c r="I1840" s="626"/>
      <c r="J1840" s="638"/>
      <c r="K1840" s="645">
        <v>1</v>
      </c>
      <c r="L1840" s="681" t="s">
        <v>28</v>
      </c>
      <c r="M1840" s="684">
        <v>1500</v>
      </c>
      <c r="N1840" s="654"/>
      <c r="O1840" s="685"/>
      <c r="P1840" s="643"/>
    </row>
    <row r="1841" spans="1:16" s="619" customFormat="1" ht="36" x14ac:dyDescent="0.2">
      <c r="A1841" s="626" t="s">
        <v>4789</v>
      </c>
      <c r="B1841" s="626" t="s">
        <v>2275</v>
      </c>
      <c r="C1841" s="638" t="s">
        <v>108</v>
      </c>
      <c r="D1841" s="626" t="s">
        <v>3776</v>
      </c>
      <c r="E1841" s="636">
        <v>1000</v>
      </c>
      <c r="F1841" s="637"/>
      <c r="G1841" s="626" t="s">
        <v>4852</v>
      </c>
      <c r="H1841" s="638"/>
      <c r="I1841" s="626"/>
      <c r="J1841" s="638"/>
      <c r="K1841" s="645">
        <v>1</v>
      </c>
      <c r="L1841" s="681" t="s">
        <v>28</v>
      </c>
      <c r="M1841" s="684">
        <v>1000</v>
      </c>
      <c r="N1841" s="654"/>
      <c r="O1841" s="685"/>
      <c r="P1841" s="643"/>
    </row>
    <row r="1842" spans="1:16" s="619" customFormat="1" ht="36" x14ac:dyDescent="0.2">
      <c r="A1842" s="626" t="s">
        <v>4789</v>
      </c>
      <c r="B1842" s="626" t="s">
        <v>2275</v>
      </c>
      <c r="C1842" s="638" t="s">
        <v>108</v>
      </c>
      <c r="D1842" s="626" t="s">
        <v>4919</v>
      </c>
      <c r="E1842" s="636">
        <v>2200</v>
      </c>
      <c r="F1842" s="637"/>
      <c r="G1842" s="626" t="s">
        <v>4920</v>
      </c>
      <c r="H1842" s="638"/>
      <c r="I1842" s="626"/>
      <c r="J1842" s="638"/>
      <c r="K1842" s="645">
        <v>1</v>
      </c>
      <c r="L1842" s="681" t="s">
        <v>28</v>
      </c>
      <c r="M1842" s="684">
        <v>2200</v>
      </c>
      <c r="N1842" s="654"/>
      <c r="O1842" s="685"/>
      <c r="P1842" s="643"/>
    </row>
    <row r="1843" spans="1:16" s="619" customFormat="1" ht="36" x14ac:dyDescent="0.2">
      <c r="A1843" s="626" t="s">
        <v>4789</v>
      </c>
      <c r="B1843" s="626" t="s">
        <v>2275</v>
      </c>
      <c r="C1843" s="638" t="s">
        <v>108</v>
      </c>
      <c r="D1843" s="626" t="s">
        <v>4971</v>
      </c>
      <c r="E1843" s="636">
        <v>1500</v>
      </c>
      <c r="F1843" s="637"/>
      <c r="G1843" s="626" t="s">
        <v>4932</v>
      </c>
      <c r="H1843" s="638"/>
      <c r="I1843" s="626"/>
      <c r="J1843" s="638"/>
      <c r="K1843" s="645">
        <v>1</v>
      </c>
      <c r="L1843" s="681" t="s">
        <v>28</v>
      </c>
      <c r="M1843" s="684">
        <v>1500</v>
      </c>
      <c r="N1843" s="654"/>
      <c r="O1843" s="685"/>
      <c r="P1843" s="643"/>
    </row>
    <row r="1844" spans="1:16" s="619" customFormat="1" ht="36" x14ac:dyDescent="0.2">
      <c r="A1844" s="626" t="s">
        <v>4789</v>
      </c>
      <c r="B1844" s="626" t="s">
        <v>2275</v>
      </c>
      <c r="C1844" s="638" t="s">
        <v>108</v>
      </c>
      <c r="D1844" s="626" t="s">
        <v>4969</v>
      </c>
      <c r="E1844" s="636">
        <v>1750</v>
      </c>
      <c r="F1844" s="637"/>
      <c r="G1844" s="626" t="s">
        <v>4903</v>
      </c>
      <c r="H1844" s="638"/>
      <c r="I1844" s="626"/>
      <c r="J1844" s="638"/>
      <c r="K1844" s="645">
        <v>1</v>
      </c>
      <c r="L1844" s="681" t="s">
        <v>28</v>
      </c>
      <c r="M1844" s="684">
        <v>1750</v>
      </c>
      <c r="N1844" s="654"/>
      <c r="O1844" s="685"/>
      <c r="P1844" s="643"/>
    </row>
    <row r="1845" spans="1:16" s="619" customFormat="1" ht="36" x14ac:dyDescent="0.2">
      <c r="A1845" s="626" t="s">
        <v>4789</v>
      </c>
      <c r="B1845" s="626" t="s">
        <v>2275</v>
      </c>
      <c r="C1845" s="638" t="s">
        <v>108</v>
      </c>
      <c r="D1845" s="626" t="s">
        <v>4985</v>
      </c>
      <c r="E1845" s="636">
        <v>1750</v>
      </c>
      <c r="F1845" s="637"/>
      <c r="G1845" s="626" t="s">
        <v>4975</v>
      </c>
      <c r="H1845" s="638"/>
      <c r="I1845" s="626"/>
      <c r="J1845" s="638"/>
      <c r="K1845" s="645">
        <v>1</v>
      </c>
      <c r="L1845" s="681" t="s">
        <v>28</v>
      </c>
      <c r="M1845" s="684">
        <v>1750</v>
      </c>
      <c r="N1845" s="654"/>
      <c r="O1845" s="685"/>
      <c r="P1845" s="643"/>
    </row>
    <row r="1846" spans="1:16" s="619" customFormat="1" ht="36" x14ac:dyDescent="0.2">
      <c r="A1846" s="626" t="s">
        <v>4789</v>
      </c>
      <c r="B1846" s="626" t="s">
        <v>2275</v>
      </c>
      <c r="C1846" s="638" t="s">
        <v>108</v>
      </c>
      <c r="D1846" s="626" t="s">
        <v>4980</v>
      </c>
      <c r="E1846" s="636">
        <v>2200</v>
      </c>
      <c r="F1846" s="637"/>
      <c r="G1846" s="626" t="s">
        <v>4981</v>
      </c>
      <c r="H1846" s="638"/>
      <c r="I1846" s="626"/>
      <c r="J1846" s="638"/>
      <c r="K1846" s="645">
        <v>1</v>
      </c>
      <c r="L1846" s="681" t="s">
        <v>28</v>
      </c>
      <c r="M1846" s="684">
        <v>2200</v>
      </c>
      <c r="N1846" s="654"/>
      <c r="O1846" s="685"/>
      <c r="P1846" s="643"/>
    </row>
    <row r="1847" spans="1:16" s="619" customFormat="1" ht="36" x14ac:dyDescent="0.2">
      <c r="A1847" s="626" t="s">
        <v>4789</v>
      </c>
      <c r="B1847" s="626" t="s">
        <v>2275</v>
      </c>
      <c r="C1847" s="638" t="s">
        <v>108</v>
      </c>
      <c r="D1847" s="626" t="s">
        <v>4921</v>
      </c>
      <c r="E1847" s="636">
        <v>1000</v>
      </c>
      <c r="F1847" s="637"/>
      <c r="G1847" s="626" t="s">
        <v>4867</v>
      </c>
      <c r="H1847" s="638"/>
      <c r="I1847" s="626"/>
      <c r="J1847" s="638"/>
      <c r="K1847" s="645">
        <v>1</v>
      </c>
      <c r="L1847" s="681" t="s">
        <v>28</v>
      </c>
      <c r="M1847" s="684">
        <v>1000</v>
      </c>
      <c r="N1847" s="654"/>
      <c r="O1847" s="685"/>
      <c r="P1847" s="643"/>
    </row>
    <row r="1848" spans="1:16" s="619" customFormat="1" ht="36" x14ac:dyDescent="0.2">
      <c r="A1848" s="626" t="s">
        <v>4789</v>
      </c>
      <c r="B1848" s="626" t="s">
        <v>2275</v>
      </c>
      <c r="C1848" s="638" t="s">
        <v>108</v>
      </c>
      <c r="D1848" s="626" t="s">
        <v>4986</v>
      </c>
      <c r="E1848" s="636">
        <v>1300</v>
      </c>
      <c r="F1848" s="637"/>
      <c r="G1848" s="626" t="s">
        <v>4983</v>
      </c>
      <c r="H1848" s="638"/>
      <c r="I1848" s="626"/>
      <c r="J1848" s="638"/>
      <c r="K1848" s="645">
        <v>1</v>
      </c>
      <c r="L1848" s="681" t="s">
        <v>28</v>
      </c>
      <c r="M1848" s="684">
        <v>1300</v>
      </c>
      <c r="N1848" s="654"/>
      <c r="O1848" s="685"/>
      <c r="P1848" s="643"/>
    </row>
    <row r="1849" spans="1:16" s="619" customFormat="1" ht="36" x14ac:dyDescent="0.2">
      <c r="A1849" s="626" t="s">
        <v>4789</v>
      </c>
      <c r="B1849" s="626" t="s">
        <v>2275</v>
      </c>
      <c r="C1849" s="638" t="s">
        <v>108</v>
      </c>
      <c r="D1849" s="626" t="s">
        <v>4853</v>
      </c>
      <c r="E1849" s="636">
        <v>1500</v>
      </c>
      <c r="F1849" s="637"/>
      <c r="G1849" s="626" t="s">
        <v>4854</v>
      </c>
      <c r="H1849" s="638"/>
      <c r="I1849" s="626"/>
      <c r="J1849" s="638"/>
      <c r="K1849" s="645">
        <v>1</v>
      </c>
      <c r="L1849" s="681" t="s">
        <v>28</v>
      </c>
      <c r="M1849" s="684">
        <v>1500</v>
      </c>
      <c r="N1849" s="654"/>
      <c r="O1849" s="685"/>
      <c r="P1849" s="643"/>
    </row>
    <row r="1850" spans="1:16" s="619" customFormat="1" ht="36" x14ac:dyDescent="0.2">
      <c r="A1850" s="626" t="s">
        <v>4789</v>
      </c>
      <c r="B1850" s="626" t="s">
        <v>2275</v>
      </c>
      <c r="C1850" s="638" t="s">
        <v>108</v>
      </c>
      <c r="D1850" s="626" t="s">
        <v>4974</v>
      </c>
      <c r="E1850" s="636">
        <v>1500</v>
      </c>
      <c r="F1850" s="637"/>
      <c r="G1850" s="626" t="s">
        <v>4865</v>
      </c>
      <c r="H1850" s="638"/>
      <c r="I1850" s="626"/>
      <c r="J1850" s="638"/>
      <c r="K1850" s="645">
        <v>1</v>
      </c>
      <c r="L1850" s="681" t="s">
        <v>28</v>
      </c>
      <c r="M1850" s="684">
        <v>1500</v>
      </c>
      <c r="N1850" s="654"/>
      <c r="O1850" s="685"/>
      <c r="P1850" s="643"/>
    </row>
    <row r="1851" spans="1:16" s="619" customFormat="1" ht="36" x14ac:dyDescent="0.2">
      <c r="A1851" s="626" t="s">
        <v>4789</v>
      </c>
      <c r="B1851" s="626" t="s">
        <v>2275</v>
      </c>
      <c r="C1851" s="638" t="s">
        <v>108</v>
      </c>
      <c r="D1851" s="626" t="s">
        <v>1917</v>
      </c>
      <c r="E1851" s="636">
        <v>1100</v>
      </c>
      <c r="F1851" s="637"/>
      <c r="G1851" s="626" t="s">
        <v>4846</v>
      </c>
      <c r="H1851" s="638"/>
      <c r="I1851" s="626"/>
      <c r="J1851" s="638"/>
      <c r="K1851" s="645">
        <v>1</v>
      </c>
      <c r="L1851" s="681" t="s">
        <v>28</v>
      </c>
      <c r="M1851" s="684">
        <v>1100</v>
      </c>
      <c r="N1851" s="654"/>
      <c r="O1851" s="685"/>
      <c r="P1851" s="643"/>
    </row>
    <row r="1852" spans="1:16" s="619" customFormat="1" ht="36" x14ac:dyDescent="0.2">
      <c r="A1852" s="626" t="s">
        <v>4789</v>
      </c>
      <c r="B1852" s="626" t="s">
        <v>2275</v>
      </c>
      <c r="C1852" s="638" t="s">
        <v>108</v>
      </c>
      <c r="D1852" s="626" t="s">
        <v>4987</v>
      </c>
      <c r="E1852" s="636">
        <v>1200</v>
      </c>
      <c r="F1852" s="637"/>
      <c r="G1852" s="626" t="s">
        <v>4978</v>
      </c>
      <c r="H1852" s="638"/>
      <c r="I1852" s="626"/>
      <c r="J1852" s="638"/>
      <c r="K1852" s="645">
        <v>1</v>
      </c>
      <c r="L1852" s="681" t="s">
        <v>28</v>
      </c>
      <c r="M1852" s="684">
        <v>1200</v>
      </c>
      <c r="N1852" s="654"/>
      <c r="O1852" s="685"/>
      <c r="P1852" s="643"/>
    </row>
    <row r="1853" spans="1:16" s="619" customFormat="1" ht="36" x14ac:dyDescent="0.2">
      <c r="A1853" s="626" t="s">
        <v>4789</v>
      </c>
      <c r="B1853" s="626" t="s">
        <v>2275</v>
      </c>
      <c r="C1853" s="638" t="s">
        <v>108</v>
      </c>
      <c r="D1853" s="626" t="s">
        <v>1917</v>
      </c>
      <c r="E1853" s="636">
        <v>1100</v>
      </c>
      <c r="F1853" s="637"/>
      <c r="G1853" s="626" t="s">
        <v>4979</v>
      </c>
      <c r="H1853" s="638"/>
      <c r="I1853" s="626"/>
      <c r="J1853" s="638"/>
      <c r="K1853" s="645">
        <v>1</v>
      </c>
      <c r="L1853" s="681" t="s">
        <v>28</v>
      </c>
      <c r="M1853" s="684">
        <v>1100</v>
      </c>
      <c r="N1853" s="654"/>
      <c r="O1853" s="685"/>
      <c r="P1853" s="643"/>
    </row>
    <row r="1854" spans="1:16" s="619" customFormat="1" ht="36" x14ac:dyDescent="0.2">
      <c r="A1854" s="626" t="s">
        <v>4789</v>
      </c>
      <c r="B1854" s="626" t="s">
        <v>2275</v>
      </c>
      <c r="C1854" s="638" t="s">
        <v>108</v>
      </c>
      <c r="D1854" s="626" t="s">
        <v>4862</v>
      </c>
      <c r="E1854" s="636">
        <v>1000</v>
      </c>
      <c r="F1854" s="637"/>
      <c r="G1854" s="626" t="s">
        <v>4859</v>
      </c>
      <c r="H1854" s="638"/>
      <c r="I1854" s="626"/>
      <c r="J1854" s="638"/>
      <c r="K1854" s="645">
        <v>1</v>
      </c>
      <c r="L1854" s="681" t="s">
        <v>28</v>
      </c>
      <c r="M1854" s="684">
        <v>1000</v>
      </c>
      <c r="N1854" s="654"/>
      <c r="O1854" s="685"/>
      <c r="P1854" s="643"/>
    </row>
    <row r="1855" spans="1:16" s="619" customFormat="1" ht="36" x14ac:dyDescent="0.2">
      <c r="A1855" s="626" t="s">
        <v>4789</v>
      </c>
      <c r="B1855" s="626" t="s">
        <v>1908</v>
      </c>
      <c r="C1855" s="638" t="s">
        <v>108</v>
      </c>
      <c r="D1855" s="626" t="s">
        <v>4880</v>
      </c>
      <c r="E1855" s="636">
        <v>390</v>
      </c>
      <c r="F1855" s="637"/>
      <c r="G1855" s="626" t="s">
        <v>4881</v>
      </c>
      <c r="H1855" s="638"/>
      <c r="I1855" s="626"/>
      <c r="J1855" s="638"/>
      <c r="K1855" s="645">
        <v>1</v>
      </c>
      <c r="L1855" s="681" t="s">
        <v>29</v>
      </c>
      <c r="M1855" s="684">
        <v>390</v>
      </c>
      <c r="N1855" s="654"/>
      <c r="O1855" s="685"/>
      <c r="P1855" s="643"/>
    </row>
    <row r="1856" spans="1:16" s="619" customFormat="1" ht="36" x14ac:dyDescent="0.2">
      <c r="A1856" s="626" t="s">
        <v>4789</v>
      </c>
      <c r="B1856" s="626" t="s">
        <v>2275</v>
      </c>
      <c r="C1856" s="638" t="s">
        <v>108</v>
      </c>
      <c r="D1856" s="626" t="s">
        <v>4987</v>
      </c>
      <c r="E1856" s="636">
        <v>1200</v>
      </c>
      <c r="F1856" s="637"/>
      <c r="G1856" s="626" t="s">
        <v>4978</v>
      </c>
      <c r="H1856" s="638"/>
      <c r="I1856" s="626"/>
      <c r="J1856" s="638"/>
      <c r="K1856" s="645">
        <v>1</v>
      </c>
      <c r="L1856" s="681" t="s">
        <v>29</v>
      </c>
      <c r="M1856" s="684">
        <v>1200</v>
      </c>
      <c r="N1856" s="654"/>
      <c r="O1856" s="685"/>
      <c r="P1856" s="643"/>
    </row>
    <row r="1857" spans="1:16" s="619" customFormat="1" ht="36" x14ac:dyDescent="0.2">
      <c r="A1857" s="626" t="s">
        <v>4789</v>
      </c>
      <c r="B1857" s="626" t="s">
        <v>2275</v>
      </c>
      <c r="C1857" s="638" t="s">
        <v>108</v>
      </c>
      <c r="D1857" s="626" t="s">
        <v>4988</v>
      </c>
      <c r="E1857" s="636">
        <v>1532.26</v>
      </c>
      <c r="F1857" s="637"/>
      <c r="G1857" s="626" t="s">
        <v>4989</v>
      </c>
      <c r="H1857" s="638"/>
      <c r="I1857" s="626"/>
      <c r="J1857" s="638"/>
      <c r="K1857" s="645">
        <v>1</v>
      </c>
      <c r="L1857" s="681" t="s">
        <v>29</v>
      </c>
      <c r="M1857" s="684">
        <v>1532.26</v>
      </c>
      <c r="N1857" s="654"/>
      <c r="O1857" s="685"/>
      <c r="P1857" s="643"/>
    </row>
    <row r="1858" spans="1:16" s="619" customFormat="1" ht="36" x14ac:dyDescent="0.2">
      <c r="A1858" s="626" t="s">
        <v>4789</v>
      </c>
      <c r="B1858" s="626" t="s">
        <v>2275</v>
      </c>
      <c r="C1858" s="638" t="s">
        <v>108</v>
      </c>
      <c r="D1858" s="626" t="s">
        <v>1917</v>
      </c>
      <c r="E1858" s="636">
        <v>1100</v>
      </c>
      <c r="F1858" s="637"/>
      <c r="G1858" s="626" t="s">
        <v>4979</v>
      </c>
      <c r="H1858" s="638"/>
      <c r="I1858" s="626"/>
      <c r="J1858" s="638"/>
      <c r="K1858" s="645">
        <v>1</v>
      </c>
      <c r="L1858" s="681" t="s">
        <v>29</v>
      </c>
      <c r="M1858" s="684">
        <v>1100</v>
      </c>
      <c r="N1858" s="654"/>
      <c r="O1858" s="685"/>
      <c r="P1858" s="643"/>
    </row>
    <row r="1859" spans="1:16" s="619" customFormat="1" ht="36" x14ac:dyDescent="0.2">
      <c r="A1859" s="626" t="s">
        <v>4789</v>
      </c>
      <c r="B1859" s="626" t="s">
        <v>2275</v>
      </c>
      <c r="C1859" s="638" t="s">
        <v>108</v>
      </c>
      <c r="D1859" s="626" t="s">
        <v>1917</v>
      </c>
      <c r="E1859" s="636">
        <v>1100</v>
      </c>
      <c r="F1859" s="637"/>
      <c r="G1859" s="626" t="s">
        <v>4846</v>
      </c>
      <c r="H1859" s="638"/>
      <c r="I1859" s="626"/>
      <c r="J1859" s="638"/>
      <c r="K1859" s="645">
        <v>1</v>
      </c>
      <c r="L1859" s="681" t="s">
        <v>29</v>
      </c>
      <c r="M1859" s="684">
        <v>1100</v>
      </c>
      <c r="N1859" s="654"/>
      <c r="O1859" s="685"/>
      <c r="P1859" s="643"/>
    </row>
    <row r="1860" spans="1:16" s="619" customFormat="1" ht="36" x14ac:dyDescent="0.2">
      <c r="A1860" s="626" t="s">
        <v>4789</v>
      </c>
      <c r="B1860" s="626" t="s">
        <v>2275</v>
      </c>
      <c r="C1860" s="638" t="s">
        <v>108</v>
      </c>
      <c r="D1860" s="626" t="s">
        <v>4892</v>
      </c>
      <c r="E1860" s="636">
        <v>1750</v>
      </c>
      <c r="F1860" s="637"/>
      <c r="G1860" s="626" t="s">
        <v>4893</v>
      </c>
      <c r="H1860" s="638"/>
      <c r="I1860" s="626"/>
      <c r="J1860" s="638"/>
      <c r="K1860" s="645">
        <v>1</v>
      </c>
      <c r="L1860" s="681" t="s">
        <v>29</v>
      </c>
      <c r="M1860" s="684">
        <v>1750</v>
      </c>
      <c r="N1860" s="654"/>
      <c r="O1860" s="685"/>
      <c r="P1860" s="643"/>
    </row>
    <row r="1861" spans="1:16" s="619" customFormat="1" ht="36" x14ac:dyDescent="0.2">
      <c r="A1861" s="626" t="s">
        <v>4789</v>
      </c>
      <c r="B1861" s="626" t="s">
        <v>2275</v>
      </c>
      <c r="C1861" s="638" t="s">
        <v>108</v>
      </c>
      <c r="D1861" s="626" t="s">
        <v>4969</v>
      </c>
      <c r="E1861" s="636">
        <v>1750</v>
      </c>
      <c r="F1861" s="637"/>
      <c r="G1861" s="626" t="s">
        <v>4903</v>
      </c>
      <c r="H1861" s="638"/>
      <c r="I1861" s="626"/>
      <c r="J1861" s="638"/>
      <c r="K1861" s="645">
        <v>1</v>
      </c>
      <c r="L1861" s="681" t="s">
        <v>29</v>
      </c>
      <c r="M1861" s="684">
        <v>1750</v>
      </c>
      <c r="N1861" s="654"/>
      <c r="O1861" s="685"/>
      <c r="P1861" s="643"/>
    </row>
    <row r="1862" spans="1:16" s="619" customFormat="1" ht="24" x14ac:dyDescent="0.2">
      <c r="A1862" s="626" t="s">
        <v>4789</v>
      </c>
      <c r="B1862" s="626" t="s">
        <v>2032</v>
      </c>
      <c r="C1862" s="638" t="s">
        <v>108</v>
      </c>
      <c r="D1862" s="626" t="s">
        <v>4894</v>
      </c>
      <c r="E1862" s="636">
        <v>1750</v>
      </c>
      <c r="F1862" s="637"/>
      <c r="G1862" s="626" t="s">
        <v>4975</v>
      </c>
      <c r="H1862" s="638"/>
      <c r="I1862" s="626"/>
      <c r="J1862" s="638"/>
      <c r="K1862" s="645">
        <v>1</v>
      </c>
      <c r="L1862" s="681" t="s">
        <v>29</v>
      </c>
      <c r="M1862" s="684">
        <v>1750</v>
      </c>
      <c r="N1862" s="654"/>
      <c r="O1862" s="685"/>
      <c r="P1862" s="643"/>
    </row>
    <row r="1863" spans="1:16" s="619" customFormat="1" ht="36" x14ac:dyDescent="0.2">
      <c r="A1863" s="626" t="s">
        <v>4789</v>
      </c>
      <c r="B1863" s="626" t="s">
        <v>2275</v>
      </c>
      <c r="C1863" s="638" t="s">
        <v>108</v>
      </c>
      <c r="D1863" s="626" t="s">
        <v>4919</v>
      </c>
      <c r="E1863" s="636">
        <v>1100</v>
      </c>
      <c r="F1863" s="637"/>
      <c r="G1863" s="626" t="s">
        <v>4920</v>
      </c>
      <c r="H1863" s="638"/>
      <c r="I1863" s="626"/>
      <c r="J1863" s="638"/>
      <c r="K1863" s="645">
        <v>1</v>
      </c>
      <c r="L1863" s="681" t="s">
        <v>29</v>
      </c>
      <c r="M1863" s="684">
        <v>1100</v>
      </c>
      <c r="N1863" s="654"/>
      <c r="O1863" s="685"/>
      <c r="P1863" s="643"/>
    </row>
    <row r="1864" spans="1:16" s="619" customFormat="1" ht="36" x14ac:dyDescent="0.2">
      <c r="A1864" s="626" t="s">
        <v>4789</v>
      </c>
      <c r="B1864" s="626" t="s">
        <v>2275</v>
      </c>
      <c r="C1864" s="638" t="s">
        <v>108</v>
      </c>
      <c r="D1864" s="626" t="s">
        <v>4919</v>
      </c>
      <c r="E1864" s="636">
        <v>850</v>
      </c>
      <c r="F1864" s="637"/>
      <c r="G1864" s="626" t="s">
        <v>4858</v>
      </c>
      <c r="H1864" s="638"/>
      <c r="I1864" s="626"/>
      <c r="J1864" s="638"/>
      <c r="K1864" s="645">
        <v>1</v>
      </c>
      <c r="L1864" s="681" t="s">
        <v>29</v>
      </c>
      <c r="M1864" s="684">
        <v>850</v>
      </c>
      <c r="N1864" s="654"/>
      <c r="O1864" s="685"/>
      <c r="P1864" s="643"/>
    </row>
    <row r="1865" spans="1:16" s="619" customFormat="1" ht="24" x14ac:dyDescent="0.2">
      <c r="A1865" s="626" t="s">
        <v>4789</v>
      </c>
      <c r="B1865" s="626" t="s">
        <v>2032</v>
      </c>
      <c r="C1865" s="638" t="s">
        <v>108</v>
      </c>
      <c r="D1865" s="626" t="s">
        <v>4990</v>
      </c>
      <c r="E1865" s="636">
        <v>1300</v>
      </c>
      <c r="F1865" s="637"/>
      <c r="G1865" s="626" t="s">
        <v>4983</v>
      </c>
      <c r="H1865" s="638"/>
      <c r="I1865" s="626"/>
      <c r="J1865" s="638"/>
      <c r="K1865" s="645">
        <v>1</v>
      </c>
      <c r="L1865" s="681" t="s">
        <v>29</v>
      </c>
      <c r="M1865" s="684">
        <v>1300</v>
      </c>
      <c r="N1865" s="654"/>
      <c r="O1865" s="685"/>
      <c r="P1865" s="643"/>
    </row>
    <row r="1866" spans="1:16" s="619" customFormat="1" ht="36" x14ac:dyDescent="0.2">
      <c r="A1866" s="626" t="s">
        <v>4789</v>
      </c>
      <c r="B1866" s="626" t="s">
        <v>2032</v>
      </c>
      <c r="C1866" s="638" t="s">
        <v>108</v>
      </c>
      <c r="D1866" s="626" t="s">
        <v>4953</v>
      </c>
      <c r="E1866" s="636">
        <v>2000</v>
      </c>
      <c r="F1866" s="637"/>
      <c r="G1866" s="626" t="s">
        <v>4883</v>
      </c>
      <c r="H1866" s="638"/>
      <c r="I1866" s="626"/>
      <c r="J1866" s="638"/>
      <c r="K1866" s="645">
        <v>1</v>
      </c>
      <c r="L1866" s="681" t="s">
        <v>29</v>
      </c>
      <c r="M1866" s="684">
        <v>2000</v>
      </c>
      <c r="N1866" s="654"/>
      <c r="O1866" s="685"/>
      <c r="P1866" s="643"/>
    </row>
    <row r="1867" spans="1:16" s="619" customFormat="1" ht="36" x14ac:dyDescent="0.2">
      <c r="A1867" s="626" t="s">
        <v>4789</v>
      </c>
      <c r="B1867" s="626" t="s">
        <v>2032</v>
      </c>
      <c r="C1867" s="638" t="s">
        <v>108</v>
      </c>
      <c r="D1867" s="626" t="s">
        <v>4953</v>
      </c>
      <c r="E1867" s="636">
        <v>400</v>
      </c>
      <c r="F1867" s="637"/>
      <c r="G1867" s="626" t="s">
        <v>4883</v>
      </c>
      <c r="H1867" s="638"/>
      <c r="I1867" s="626"/>
      <c r="J1867" s="638"/>
      <c r="K1867" s="645">
        <v>1</v>
      </c>
      <c r="L1867" s="681" t="s">
        <v>29</v>
      </c>
      <c r="M1867" s="684">
        <v>400</v>
      </c>
      <c r="N1867" s="654"/>
      <c r="O1867" s="685"/>
      <c r="P1867" s="643"/>
    </row>
    <row r="1868" spans="1:16" s="619" customFormat="1" ht="24" x14ac:dyDescent="0.2">
      <c r="A1868" s="626" t="s">
        <v>4789</v>
      </c>
      <c r="B1868" s="626" t="s">
        <v>2032</v>
      </c>
      <c r="C1868" s="638" t="s">
        <v>108</v>
      </c>
      <c r="D1868" s="626" t="s">
        <v>4991</v>
      </c>
      <c r="E1868" s="636">
        <v>1300</v>
      </c>
      <c r="F1868" s="637"/>
      <c r="G1868" s="626" t="s">
        <v>4848</v>
      </c>
      <c r="H1868" s="638"/>
      <c r="I1868" s="626"/>
      <c r="J1868" s="638"/>
      <c r="K1868" s="645">
        <v>1</v>
      </c>
      <c r="L1868" s="681" t="s">
        <v>29</v>
      </c>
      <c r="M1868" s="684">
        <v>1300</v>
      </c>
      <c r="N1868" s="654"/>
      <c r="O1868" s="685"/>
      <c r="P1868" s="643"/>
    </row>
    <row r="1869" spans="1:16" s="619" customFormat="1" ht="36" x14ac:dyDescent="0.2">
      <c r="A1869" s="626" t="s">
        <v>4789</v>
      </c>
      <c r="B1869" s="626" t="s">
        <v>2032</v>
      </c>
      <c r="C1869" s="638" t="s">
        <v>108</v>
      </c>
      <c r="D1869" s="626" t="s">
        <v>4976</v>
      </c>
      <c r="E1869" s="636">
        <v>1300</v>
      </c>
      <c r="F1869" s="637"/>
      <c r="G1869" s="626" t="s">
        <v>4945</v>
      </c>
      <c r="H1869" s="638"/>
      <c r="I1869" s="626"/>
      <c r="J1869" s="638"/>
      <c r="K1869" s="645">
        <v>1</v>
      </c>
      <c r="L1869" s="681" t="s">
        <v>29</v>
      </c>
      <c r="M1869" s="684">
        <v>1300</v>
      </c>
      <c r="N1869" s="654"/>
      <c r="O1869" s="685"/>
      <c r="P1869" s="643"/>
    </row>
    <row r="1870" spans="1:16" s="619" customFormat="1" ht="24" x14ac:dyDescent="0.2">
      <c r="A1870" s="626" t="s">
        <v>4789</v>
      </c>
      <c r="B1870" s="626" t="s">
        <v>2032</v>
      </c>
      <c r="C1870" s="638" t="s">
        <v>108</v>
      </c>
      <c r="D1870" s="626" t="s">
        <v>4992</v>
      </c>
      <c r="E1870" s="636">
        <v>1300</v>
      </c>
      <c r="F1870" s="637"/>
      <c r="G1870" s="626" t="s">
        <v>4925</v>
      </c>
      <c r="H1870" s="638"/>
      <c r="I1870" s="626"/>
      <c r="J1870" s="638"/>
      <c r="K1870" s="645">
        <v>1</v>
      </c>
      <c r="L1870" s="681" t="s">
        <v>29</v>
      </c>
      <c r="M1870" s="684">
        <v>1300</v>
      </c>
      <c r="N1870" s="654"/>
      <c r="O1870" s="685"/>
      <c r="P1870" s="643"/>
    </row>
    <row r="1871" spans="1:16" s="619" customFormat="1" ht="36" x14ac:dyDescent="0.2">
      <c r="A1871" s="626" t="s">
        <v>4789</v>
      </c>
      <c r="B1871" s="626" t="s">
        <v>2032</v>
      </c>
      <c r="C1871" s="638" t="s">
        <v>108</v>
      </c>
      <c r="D1871" s="626" t="s">
        <v>4880</v>
      </c>
      <c r="E1871" s="636">
        <v>1300</v>
      </c>
      <c r="F1871" s="637"/>
      <c r="G1871" s="626" t="s">
        <v>4881</v>
      </c>
      <c r="H1871" s="638"/>
      <c r="I1871" s="626"/>
      <c r="J1871" s="638"/>
      <c r="K1871" s="645">
        <v>1</v>
      </c>
      <c r="L1871" s="681" t="s">
        <v>29</v>
      </c>
      <c r="M1871" s="684">
        <v>1300</v>
      </c>
      <c r="N1871" s="654"/>
      <c r="O1871" s="685"/>
      <c r="P1871" s="643"/>
    </row>
    <row r="1872" spans="1:16" s="619" customFormat="1" ht="36" x14ac:dyDescent="0.2">
      <c r="A1872" s="626" t="s">
        <v>4789</v>
      </c>
      <c r="B1872" s="626" t="s">
        <v>2032</v>
      </c>
      <c r="C1872" s="638" t="s">
        <v>108</v>
      </c>
      <c r="D1872" s="626" t="s">
        <v>4934</v>
      </c>
      <c r="E1872" s="636">
        <v>1500</v>
      </c>
      <c r="F1872" s="637"/>
      <c r="G1872" s="626" t="s">
        <v>4935</v>
      </c>
      <c r="H1872" s="638"/>
      <c r="I1872" s="626"/>
      <c r="J1872" s="638"/>
      <c r="K1872" s="645">
        <v>1</v>
      </c>
      <c r="L1872" s="681" t="s">
        <v>29</v>
      </c>
      <c r="M1872" s="684">
        <v>1500</v>
      </c>
      <c r="N1872" s="654"/>
      <c r="O1872" s="685"/>
      <c r="P1872" s="643"/>
    </row>
    <row r="1873" spans="1:16" s="619" customFormat="1" ht="24" x14ac:dyDescent="0.2">
      <c r="A1873" s="626" t="s">
        <v>4789</v>
      </c>
      <c r="B1873" s="626" t="s">
        <v>2032</v>
      </c>
      <c r="C1873" s="638" t="s">
        <v>108</v>
      </c>
      <c r="D1873" s="626" t="s">
        <v>4886</v>
      </c>
      <c r="E1873" s="636">
        <v>2000</v>
      </c>
      <c r="F1873" s="637"/>
      <c r="G1873" s="626" t="s">
        <v>4905</v>
      </c>
      <c r="H1873" s="638"/>
      <c r="I1873" s="626"/>
      <c r="J1873" s="638"/>
      <c r="K1873" s="645">
        <v>1</v>
      </c>
      <c r="L1873" s="681" t="s">
        <v>29</v>
      </c>
      <c r="M1873" s="684">
        <v>2000</v>
      </c>
      <c r="N1873" s="654"/>
      <c r="O1873" s="685"/>
      <c r="P1873" s="643"/>
    </row>
    <row r="1874" spans="1:16" s="619" customFormat="1" ht="36" x14ac:dyDescent="0.2">
      <c r="A1874" s="626" t="s">
        <v>4789</v>
      </c>
      <c r="B1874" s="626" t="s">
        <v>2275</v>
      </c>
      <c r="C1874" s="638" t="s">
        <v>108</v>
      </c>
      <c r="D1874" s="626" t="s">
        <v>4993</v>
      </c>
      <c r="E1874" s="636">
        <v>1500</v>
      </c>
      <c r="F1874" s="637"/>
      <c r="G1874" s="626" t="s">
        <v>4932</v>
      </c>
      <c r="H1874" s="638"/>
      <c r="I1874" s="626"/>
      <c r="J1874" s="638"/>
      <c r="K1874" s="645">
        <v>1</v>
      </c>
      <c r="L1874" s="681" t="s">
        <v>29</v>
      </c>
      <c r="M1874" s="684">
        <v>1500</v>
      </c>
      <c r="N1874" s="654"/>
      <c r="O1874" s="685"/>
      <c r="P1874" s="643"/>
    </row>
    <row r="1875" spans="1:16" s="619" customFormat="1" ht="24" x14ac:dyDescent="0.2">
      <c r="A1875" s="626" t="s">
        <v>4789</v>
      </c>
      <c r="B1875" s="626" t="s">
        <v>2032</v>
      </c>
      <c r="C1875" s="638" t="s">
        <v>108</v>
      </c>
      <c r="D1875" s="626" t="s">
        <v>4980</v>
      </c>
      <c r="E1875" s="636">
        <v>1500</v>
      </c>
      <c r="F1875" s="637"/>
      <c r="G1875" s="626" t="s">
        <v>4981</v>
      </c>
      <c r="H1875" s="638"/>
      <c r="I1875" s="626"/>
      <c r="J1875" s="638"/>
      <c r="K1875" s="645">
        <v>1</v>
      </c>
      <c r="L1875" s="681" t="s">
        <v>29</v>
      </c>
      <c r="M1875" s="684">
        <v>1500</v>
      </c>
      <c r="N1875" s="654"/>
      <c r="O1875" s="685"/>
      <c r="P1875" s="643"/>
    </row>
    <row r="1876" spans="1:16" s="619" customFormat="1" ht="36" x14ac:dyDescent="0.2">
      <c r="A1876" s="626" t="s">
        <v>4789</v>
      </c>
      <c r="B1876" s="626" t="s">
        <v>2032</v>
      </c>
      <c r="C1876" s="638" t="s">
        <v>108</v>
      </c>
      <c r="D1876" s="626" t="s">
        <v>4965</v>
      </c>
      <c r="E1876" s="636">
        <v>1300</v>
      </c>
      <c r="F1876" s="637"/>
      <c r="G1876" s="626" t="s">
        <v>4901</v>
      </c>
      <c r="H1876" s="638"/>
      <c r="I1876" s="626"/>
      <c r="J1876" s="638"/>
      <c r="K1876" s="645">
        <v>1</v>
      </c>
      <c r="L1876" s="681" t="s">
        <v>29</v>
      </c>
      <c r="M1876" s="684">
        <v>1300</v>
      </c>
      <c r="N1876" s="654"/>
      <c r="O1876" s="685"/>
      <c r="P1876" s="643"/>
    </row>
    <row r="1877" spans="1:16" s="619" customFormat="1" ht="36" x14ac:dyDescent="0.2">
      <c r="A1877" s="626" t="s">
        <v>4789</v>
      </c>
      <c r="B1877" s="626" t="s">
        <v>2032</v>
      </c>
      <c r="C1877" s="638" t="s">
        <v>108</v>
      </c>
      <c r="D1877" s="626" t="s">
        <v>4994</v>
      </c>
      <c r="E1877" s="636">
        <v>1039.2</v>
      </c>
      <c r="F1877" s="637"/>
      <c r="G1877" s="626" t="s">
        <v>4856</v>
      </c>
      <c r="H1877" s="638"/>
      <c r="I1877" s="626"/>
      <c r="J1877" s="638"/>
      <c r="K1877" s="645">
        <v>1</v>
      </c>
      <c r="L1877" s="681" t="s">
        <v>29</v>
      </c>
      <c r="M1877" s="684">
        <v>1039.2</v>
      </c>
      <c r="N1877" s="654"/>
      <c r="O1877" s="685"/>
      <c r="P1877" s="643"/>
    </row>
    <row r="1878" spans="1:16" s="619" customFormat="1" ht="24" x14ac:dyDescent="0.2">
      <c r="A1878" s="626" t="s">
        <v>4789</v>
      </c>
      <c r="B1878" s="626" t="s">
        <v>2032</v>
      </c>
      <c r="C1878" s="638" t="s">
        <v>108</v>
      </c>
      <c r="D1878" s="626" t="s">
        <v>4995</v>
      </c>
      <c r="E1878" s="636">
        <v>1500</v>
      </c>
      <c r="F1878" s="637"/>
      <c r="G1878" s="626" t="s">
        <v>4874</v>
      </c>
      <c r="H1878" s="638"/>
      <c r="I1878" s="626"/>
      <c r="J1878" s="638"/>
      <c r="K1878" s="645">
        <v>1</v>
      </c>
      <c r="L1878" s="681" t="s">
        <v>29</v>
      </c>
      <c r="M1878" s="684">
        <v>1500</v>
      </c>
      <c r="N1878" s="654"/>
      <c r="O1878" s="685"/>
      <c r="P1878" s="643"/>
    </row>
    <row r="1879" spans="1:16" s="619" customFormat="1" ht="36" x14ac:dyDescent="0.2">
      <c r="A1879" s="626" t="s">
        <v>4789</v>
      </c>
      <c r="B1879" s="626" t="s">
        <v>2032</v>
      </c>
      <c r="C1879" s="638" t="s">
        <v>108</v>
      </c>
      <c r="D1879" s="626" t="s">
        <v>4996</v>
      </c>
      <c r="E1879" s="636">
        <v>2800</v>
      </c>
      <c r="F1879" s="637"/>
      <c r="G1879" s="626" t="s">
        <v>4877</v>
      </c>
      <c r="H1879" s="638"/>
      <c r="I1879" s="626"/>
      <c r="J1879" s="638"/>
      <c r="K1879" s="645">
        <v>1</v>
      </c>
      <c r="L1879" s="681" t="s">
        <v>29</v>
      </c>
      <c r="M1879" s="684">
        <v>2800</v>
      </c>
      <c r="N1879" s="654"/>
      <c r="O1879" s="685"/>
      <c r="P1879" s="643"/>
    </row>
    <row r="1880" spans="1:16" s="619" customFormat="1" ht="36" x14ac:dyDescent="0.2">
      <c r="A1880" s="626" t="s">
        <v>4789</v>
      </c>
      <c r="B1880" s="626" t="s">
        <v>2032</v>
      </c>
      <c r="C1880" s="638" t="s">
        <v>108</v>
      </c>
      <c r="D1880" s="626" t="s">
        <v>4997</v>
      </c>
      <c r="E1880" s="636">
        <v>2050</v>
      </c>
      <c r="F1880" s="637"/>
      <c r="G1880" s="626" t="s">
        <v>4998</v>
      </c>
      <c r="H1880" s="638"/>
      <c r="I1880" s="626"/>
      <c r="J1880" s="638"/>
      <c r="K1880" s="645">
        <v>1</v>
      </c>
      <c r="L1880" s="681" t="s">
        <v>29</v>
      </c>
      <c r="M1880" s="684">
        <v>2050</v>
      </c>
      <c r="N1880" s="654"/>
      <c r="O1880" s="685"/>
      <c r="P1880" s="643"/>
    </row>
    <row r="1881" spans="1:16" s="619" customFormat="1" ht="24" x14ac:dyDescent="0.2">
      <c r="A1881" s="626" t="s">
        <v>4789</v>
      </c>
      <c r="B1881" s="626" t="s">
        <v>2032</v>
      </c>
      <c r="C1881" s="638" t="s">
        <v>108</v>
      </c>
      <c r="D1881" s="626" t="s">
        <v>3776</v>
      </c>
      <c r="E1881" s="636">
        <v>1100</v>
      </c>
      <c r="F1881" s="637"/>
      <c r="G1881" s="626" t="s">
        <v>4851</v>
      </c>
      <c r="H1881" s="638"/>
      <c r="I1881" s="626"/>
      <c r="J1881" s="638"/>
      <c r="K1881" s="645">
        <v>1</v>
      </c>
      <c r="L1881" s="681" t="s">
        <v>29</v>
      </c>
      <c r="M1881" s="684">
        <v>1100</v>
      </c>
      <c r="N1881" s="654"/>
      <c r="O1881" s="685"/>
      <c r="P1881" s="643"/>
    </row>
    <row r="1882" spans="1:16" s="619" customFormat="1" ht="24" x14ac:dyDescent="0.2">
      <c r="A1882" s="626" t="s">
        <v>4789</v>
      </c>
      <c r="B1882" s="626" t="s">
        <v>2032</v>
      </c>
      <c r="C1882" s="638" t="s">
        <v>108</v>
      </c>
      <c r="D1882" s="626" t="s">
        <v>3776</v>
      </c>
      <c r="E1882" s="636">
        <v>1100</v>
      </c>
      <c r="F1882" s="637"/>
      <c r="G1882" s="626" t="s">
        <v>4852</v>
      </c>
      <c r="H1882" s="638"/>
      <c r="I1882" s="626"/>
      <c r="J1882" s="638"/>
      <c r="K1882" s="645">
        <v>1</v>
      </c>
      <c r="L1882" s="681" t="s">
        <v>29</v>
      </c>
      <c r="M1882" s="684">
        <v>1100</v>
      </c>
      <c r="N1882" s="654"/>
      <c r="O1882" s="685"/>
      <c r="P1882" s="643"/>
    </row>
    <row r="1883" spans="1:16" s="619" customFormat="1" ht="24" x14ac:dyDescent="0.2">
      <c r="A1883" s="626" t="s">
        <v>4789</v>
      </c>
      <c r="B1883" s="626" t="s">
        <v>2032</v>
      </c>
      <c r="C1883" s="638" t="s">
        <v>108</v>
      </c>
      <c r="D1883" s="626" t="s">
        <v>4999</v>
      </c>
      <c r="E1883" s="636">
        <v>1300</v>
      </c>
      <c r="F1883" s="637"/>
      <c r="G1883" s="626" t="s">
        <v>4850</v>
      </c>
      <c r="H1883" s="638"/>
      <c r="I1883" s="626"/>
      <c r="J1883" s="638"/>
      <c r="K1883" s="645">
        <v>1</v>
      </c>
      <c r="L1883" s="681" t="s">
        <v>29</v>
      </c>
      <c r="M1883" s="684">
        <v>1300</v>
      </c>
      <c r="N1883" s="654"/>
      <c r="O1883" s="685"/>
      <c r="P1883" s="643"/>
    </row>
    <row r="1884" spans="1:16" s="619" customFormat="1" ht="36" x14ac:dyDescent="0.2">
      <c r="A1884" s="626" t="s">
        <v>4789</v>
      </c>
      <c r="B1884" s="626" t="s">
        <v>2032</v>
      </c>
      <c r="C1884" s="638" t="s">
        <v>108</v>
      </c>
      <c r="D1884" s="626" t="s">
        <v>4878</v>
      </c>
      <c r="E1884" s="636">
        <v>1200</v>
      </c>
      <c r="F1884" s="637"/>
      <c r="G1884" s="626" t="s">
        <v>4959</v>
      </c>
      <c r="H1884" s="638"/>
      <c r="I1884" s="626"/>
      <c r="J1884" s="638"/>
      <c r="K1884" s="645">
        <v>1</v>
      </c>
      <c r="L1884" s="681" t="s">
        <v>29</v>
      </c>
      <c r="M1884" s="684">
        <v>1200</v>
      </c>
      <c r="N1884" s="654"/>
      <c r="O1884" s="685"/>
      <c r="P1884" s="643"/>
    </row>
    <row r="1885" spans="1:16" s="619" customFormat="1" ht="24" x14ac:dyDescent="0.2">
      <c r="A1885" s="626" t="s">
        <v>4789</v>
      </c>
      <c r="B1885" s="626" t="s">
        <v>2032</v>
      </c>
      <c r="C1885" s="638" t="s">
        <v>108</v>
      </c>
      <c r="D1885" s="626" t="s">
        <v>5000</v>
      </c>
      <c r="E1885" s="636">
        <v>1950</v>
      </c>
      <c r="F1885" s="637"/>
      <c r="G1885" s="626" t="s">
        <v>5001</v>
      </c>
      <c r="H1885" s="638"/>
      <c r="I1885" s="626"/>
      <c r="J1885" s="638"/>
      <c r="K1885" s="645">
        <v>1</v>
      </c>
      <c r="L1885" s="681" t="s">
        <v>29</v>
      </c>
      <c r="M1885" s="684">
        <v>1950</v>
      </c>
      <c r="N1885" s="654"/>
      <c r="O1885" s="685"/>
      <c r="P1885" s="643"/>
    </row>
    <row r="1886" spans="1:16" s="619" customFormat="1" ht="36" x14ac:dyDescent="0.2">
      <c r="A1886" s="626" t="s">
        <v>4789</v>
      </c>
      <c r="B1886" s="626" t="s">
        <v>2032</v>
      </c>
      <c r="C1886" s="638" t="s">
        <v>108</v>
      </c>
      <c r="D1886" s="626" t="s">
        <v>5002</v>
      </c>
      <c r="E1886" s="636">
        <v>1000</v>
      </c>
      <c r="F1886" s="637"/>
      <c r="G1886" s="626" t="s">
        <v>4867</v>
      </c>
      <c r="H1886" s="638"/>
      <c r="I1886" s="626"/>
      <c r="J1886" s="638"/>
      <c r="K1886" s="645">
        <v>1</v>
      </c>
      <c r="L1886" s="681" t="s">
        <v>29</v>
      </c>
      <c r="M1886" s="684">
        <v>1000</v>
      </c>
      <c r="N1886" s="654"/>
      <c r="O1886" s="685"/>
      <c r="P1886" s="643"/>
    </row>
    <row r="1887" spans="1:16" s="619" customFormat="1" ht="24" x14ac:dyDescent="0.2">
      <c r="A1887" s="626" t="s">
        <v>4789</v>
      </c>
      <c r="B1887" s="626" t="s">
        <v>2032</v>
      </c>
      <c r="C1887" s="638" t="s">
        <v>108</v>
      </c>
      <c r="D1887" s="626" t="s">
        <v>4974</v>
      </c>
      <c r="E1887" s="636">
        <v>1500</v>
      </c>
      <c r="F1887" s="637"/>
      <c r="G1887" s="626" t="s">
        <v>4865</v>
      </c>
      <c r="H1887" s="638"/>
      <c r="I1887" s="626"/>
      <c r="J1887" s="638"/>
      <c r="K1887" s="645">
        <v>1</v>
      </c>
      <c r="L1887" s="681" t="s">
        <v>29</v>
      </c>
      <c r="M1887" s="684">
        <v>1500</v>
      </c>
      <c r="N1887" s="654"/>
      <c r="O1887" s="685"/>
      <c r="P1887" s="643"/>
    </row>
    <row r="1888" spans="1:16" s="619" customFormat="1" ht="24" x14ac:dyDescent="0.2">
      <c r="A1888" s="626" t="s">
        <v>4789</v>
      </c>
      <c r="B1888" s="626" t="s">
        <v>2032</v>
      </c>
      <c r="C1888" s="638" t="s">
        <v>108</v>
      </c>
      <c r="D1888" s="626" t="s">
        <v>4853</v>
      </c>
      <c r="E1888" s="636">
        <v>1500</v>
      </c>
      <c r="F1888" s="637"/>
      <c r="G1888" s="626" t="s">
        <v>4854</v>
      </c>
      <c r="H1888" s="638"/>
      <c r="I1888" s="626"/>
      <c r="J1888" s="638"/>
      <c r="K1888" s="645">
        <v>1</v>
      </c>
      <c r="L1888" s="681" t="s">
        <v>29</v>
      </c>
      <c r="M1888" s="684">
        <v>1500</v>
      </c>
      <c r="N1888" s="654"/>
      <c r="O1888" s="685"/>
      <c r="P1888" s="643"/>
    </row>
    <row r="1889" spans="1:16" s="619" customFormat="1" ht="24" x14ac:dyDescent="0.2">
      <c r="A1889" s="626" t="s">
        <v>4789</v>
      </c>
      <c r="B1889" s="626" t="s">
        <v>2032</v>
      </c>
      <c r="C1889" s="638" t="s">
        <v>108</v>
      </c>
      <c r="D1889" s="626" t="s">
        <v>4862</v>
      </c>
      <c r="E1889" s="636">
        <v>1300</v>
      </c>
      <c r="F1889" s="637"/>
      <c r="G1889" s="626" t="s">
        <v>4859</v>
      </c>
      <c r="H1889" s="638"/>
      <c r="I1889" s="626"/>
      <c r="J1889" s="638"/>
      <c r="K1889" s="645">
        <v>1</v>
      </c>
      <c r="L1889" s="681" t="s">
        <v>29</v>
      </c>
      <c r="M1889" s="684">
        <v>1300</v>
      </c>
      <c r="N1889" s="654"/>
      <c r="O1889" s="685"/>
      <c r="P1889" s="643"/>
    </row>
    <row r="1890" spans="1:16" s="619" customFormat="1" ht="36" x14ac:dyDescent="0.2">
      <c r="A1890" s="626" t="s">
        <v>4789</v>
      </c>
      <c r="B1890" s="626" t="s">
        <v>2275</v>
      </c>
      <c r="C1890" s="638" t="s">
        <v>108</v>
      </c>
      <c r="D1890" s="626" t="s">
        <v>5003</v>
      </c>
      <c r="E1890" s="636">
        <v>1200</v>
      </c>
      <c r="F1890" s="637"/>
      <c r="G1890" s="626" t="s">
        <v>4978</v>
      </c>
      <c r="H1890" s="638"/>
      <c r="I1890" s="626"/>
      <c r="J1890" s="638"/>
      <c r="K1890" s="645">
        <v>1</v>
      </c>
      <c r="L1890" s="681" t="s">
        <v>5004</v>
      </c>
      <c r="M1890" s="684">
        <v>1200</v>
      </c>
      <c r="N1890" s="654"/>
      <c r="O1890" s="685"/>
      <c r="P1890" s="643"/>
    </row>
    <row r="1891" spans="1:16" s="619" customFormat="1" ht="36" x14ac:dyDescent="0.2">
      <c r="A1891" s="626" t="s">
        <v>4789</v>
      </c>
      <c r="B1891" s="626" t="s">
        <v>2275</v>
      </c>
      <c r="C1891" s="638" t="s">
        <v>108</v>
      </c>
      <c r="D1891" s="626" t="s">
        <v>4988</v>
      </c>
      <c r="E1891" s="636">
        <v>2500</v>
      </c>
      <c r="F1891" s="637"/>
      <c r="G1891" s="626" t="s">
        <v>4989</v>
      </c>
      <c r="H1891" s="638"/>
      <c r="I1891" s="626"/>
      <c r="J1891" s="638"/>
      <c r="K1891" s="645">
        <v>1</v>
      </c>
      <c r="L1891" s="681" t="s">
        <v>5004</v>
      </c>
      <c r="M1891" s="684">
        <v>2500</v>
      </c>
      <c r="N1891" s="654"/>
      <c r="O1891" s="685"/>
      <c r="P1891" s="643"/>
    </row>
    <row r="1892" spans="1:16" s="619" customFormat="1" ht="36" x14ac:dyDescent="0.2">
      <c r="A1892" s="626" t="s">
        <v>4789</v>
      </c>
      <c r="B1892" s="626" t="s">
        <v>2275</v>
      </c>
      <c r="C1892" s="638" t="s">
        <v>108</v>
      </c>
      <c r="D1892" s="626" t="s">
        <v>5005</v>
      </c>
      <c r="E1892" s="636">
        <v>1500</v>
      </c>
      <c r="F1892" s="637"/>
      <c r="G1892" s="626" t="s">
        <v>4854</v>
      </c>
      <c r="H1892" s="638"/>
      <c r="I1892" s="626"/>
      <c r="J1892" s="638"/>
      <c r="K1892" s="645">
        <v>1</v>
      </c>
      <c r="L1892" s="681" t="s">
        <v>5004</v>
      </c>
      <c r="M1892" s="684">
        <v>1500</v>
      </c>
      <c r="N1892" s="654"/>
      <c r="O1892" s="685"/>
      <c r="P1892" s="643"/>
    </row>
    <row r="1893" spans="1:16" s="619" customFormat="1" ht="36" x14ac:dyDescent="0.2">
      <c r="A1893" s="626" t="s">
        <v>4789</v>
      </c>
      <c r="B1893" s="626" t="s">
        <v>2275</v>
      </c>
      <c r="C1893" s="638" t="s">
        <v>108</v>
      </c>
      <c r="D1893" s="626" t="s">
        <v>5000</v>
      </c>
      <c r="E1893" s="636">
        <v>1600</v>
      </c>
      <c r="F1893" s="637"/>
      <c r="G1893" s="626" t="s">
        <v>5001</v>
      </c>
      <c r="H1893" s="638"/>
      <c r="I1893" s="626"/>
      <c r="J1893" s="638"/>
      <c r="K1893" s="645">
        <v>1</v>
      </c>
      <c r="L1893" s="681" t="s">
        <v>5004</v>
      </c>
      <c r="M1893" s="684">
        <v>1600</v>
      </c>
      <c r="N1893" s="654"/>
      <c r="O1893" s="685"/>
      <c r="P1893" s="643"/>
    </row>
    <row r="1894" spans="1:16" s="619" customFormat="1" ht="36" x14ac:dyDescent="0.2">
      <c r="A1894" s="626" t="s">
        <v>4789</v>
      </c>
      <c r="B1894" s="626" t="s">
        <v>2275</v>
      </c>
      <c r="C1894" s="638" t="s">
        <v>108</v>
      </c>
      <c r="D1894" s="626" t="s">
        <v>5006</v>
      </c>
      <c r="E1894" s="636">
        <v>1300</v>
      </c>
      <c r="F1894" s="637"/>
      <c r="G1894" s="626" t="s">
        <v>4850</v>
      </c>
      <c r="H1894" s="638"/>
      <c r="I1894" s="626"/>
      <c r="J1894" s="638"/>
      <c r="K1894" s="645">
        <v>1</v>
      </c>
      <c r="L1894" s="681" t="s">
        <v>5004</v>
      </c>
      <c r="M1894" s="684">
        <v>1300</v>
      </c>
      <c r="N1894" s="654"/>
      <c r="O1894" s="685"/>
      <c r="P1894" s="643"/>
    </row>
    <row r="1895" spans="1:16" s="619" customFormat="1" ht="36" x14ac:dyDescent="0.2">
      <c r="A1895" s="626" t="s">
        <v>4789</v>
      </c>
      <c r="B1895" s="626" t="s">
        <v>2275</v>
      </c>
      <c r="C1895" s="638" t="s">
        <v>108</v>
      </c>
      <c r="D1895" s="626" t="s">
        <v>5007</v>
      </c>
      <c r="E1895" s="636">
        <v>1300</v>
      </c>
      <c r="F1895" s="637"/>
      <c r="G1895" s="626" t="s">
        <v>4848</v>
      </c>
      <c r="H1895" s="638"/>
      <c r="I1895" s="626"/>
      <c r="J1895" s="638"/>
      <c r="K1895" s="645">
        <v>1</v>
      </c>
      <c r="L1895" s="681" t="s">
        <v>5004</v>
      </c>
      <c r="M1895" s="684">
        <v>1300</v>
      </c>
      <c r="N1895" s="654"/>
      <c r="O1895" s="685"/>
      <c r="P1895" s="643"/>
    </row>
    <row r="1896" spans="1:16" s="619" customFormat="1" ht="36" x14ac:dyDescent="0.2">
      <c r="A1896" s="626" t="s">
        <v>4789</v>
      </c>
      <c r="B1896" s="626" t="s">
        <v>2275</v>
      </c>
      <c r="C1896" s="638" t="s">
        <v>108</v>
      </c>
      <c r="D1896" s="626" t="s">
        <v>4999</v>
      </c>
      <c r="E1896" s="636">
        <v>1500</v>
      </c>
      <c r="F1896" s="637"/>
      <c r="G1896" s="626" t="s">
        <v>4932</v>
      </c>
      <c r="H1896" s="638"/>
      <c r="I1896" s="626"/>
      <c r="J1896" s="638"/>
      <c r="K1896" s="645">
        <v>1</v>
      </c>
      <c r="L1896" s="681" t="s">
        <v>5004</v>
      </c>
      <c r="M1896" s="684">
        <v>1500</v>
      </c>
      <c r="N1896" s="654"/>
      <c r="O1896" s="685"/>
      <c r="P1896" s="643"/>
    </row>
    <row r="1897" spans="1:16" s="619" customFormat="1" ht="36" x14ac:dyDescent="0.2">
      <c r="A1897" s="626" t="s">
        <v>4789</v>
      </c>
      <c r="B1897" s="626" t="s">
        <v>2275</v>
      </c>
      <c r="C1897" s="638" t="s">
        <v>108</v>
      </c>
      <c r="D1897" s="626" t="s">
        <v>4969</v>
      </c>
      <c r="E1897" s="636">
        <v>1750</v>
      </c>
      <c r="F1897" s="637"/>
      <c r="G1897" s="626" t="s">
        <v>4975</v>
      </c>
      <c r="H1897" s="638"/>
      <c r="I1897" s="626"/>
      <c r="J1897" s="638"/>
      <c r="K1897" s="645">
        <v>1</v>
      </c>
      <c r="L1897" s="681" t="s">
        <v>5004</v>
      </c>
      <c r="M1897" s="684">
        <v>1750</v>
      </c>
      <c r="N1897" s="654"/>
      <c r="O1897" s="685"/>
      <c r="P1897" s="643"/>
    </row>
    <row r="1898" spans="1:16" s="619" customFormat="1" ht="36" x14ac:dyDescent="0.2">
      <c r="A1898" s="626" t="s">
        <v>4789</v>
      </c>
      <c r="B1898" s="626" t="s">
        <v>2275</v>
      </c>
      <c r="C1898" s="638" t="s">
        <v>108</v>
      </c>
      <c r="D1898" s="626" t="s">
        <v>4919</v>
      </c>
      <c r="E1898" s="636">
        <v>1320</v>
      </c>
      <c r="F1898" s="637"/>
      <c r="G1898" s="626" t="s">
        <v>5008</v>
      </c>
      <c r="H1898" s="638"/>
      <c r="I1898" s="626"/>
      <c r="J1898" s="638"/>
      <c r="K1898" s="645">
        <v>1</v>
      </c>
      <c r="L1898" s="681" t="s">
        <v>5004</v>
      </c>
      <c r="M1898" s="684">
        <v>1320</v>
      </c>
      <c r="N1898" s="654"/>
      <c r="O1898" s="685"/>
      <c r="P1898" s="643"/>
    </row>
    <row r="1899" spans="1:16" s="619" customFormat="1" ht="72" x14ac:dyDescent="0.2">
      <c r="A1899" s="626" t="s">
        <v>4789</v>
      </c>
      <c r="B1899" s="626" t="s">
        <v>2275</v>
      </c>
      <c r="C1899" s="638" t="s">
        <v>108</v>
      </c>
      <c r="D1899" s="626" t="s">
        <v>4857</v>
      </c>
      <c r="E1899" s="636">
        <v>260</v>
      </c>
      <c r="F1899" s="637"/>
      <c r="G1899" s="626" t="s">
        <v>5009</v>
      </c>
      <c r="H1899" s="638"/>
      <c r="I1899" s="626"/>
      <c r="J1899" s="638"/>
      <c r="K1899" s="645">
        <v>1</v>
      </c>
      <c r="L1899" s="681" t="s">
        <v>5004</v>
      </c>
      <c r="M1899" s="684">
        <v>260</v>
      </c>
      <c r="N1899" s="654"/>
      <c r="O1899" s="685"/>
      <c r="P1899" s="643"/>
    </row>
    <row r="1900" spans="1:16" s="619" customFormat="1" ht="36" x14ac:dyDescent="0.2">
      <c r="A1900" s="626" t="s">
        <v>4789</v>
      </c>
      <c r="B1900" s="626" t="s">
        <v>2275</v>
      </c>
      <c r="C1900" s="638" t="s">
        <v>108</v>
      </c>
      <c r="D1900" s="626" t="s">
        <v>4974</v>
      </c>
      <c r="E1900" s="636">
        <v>1500</v>
      </c>
      <c r="F1900" s="637"/>
      <c r="G1900" s="626" t="s">
        <v>4865</v>
      </c>
      <c r="H1900" s="638"/>
      <c r="I1900" s="626"/>
      <c r="J1900" s="638"/>
      <c r="K1900" s="645">
        <v>1</v>
      </c>
      <c r="L1900" s="681" t="s">
        <v>5004</v>
      </c>
      <c r="M1900" s="684">
        <v>1500</v>
      </c>
      <c r="N1900" s="654"/>
      <c r="O1900" s="685"/>
      <c r="P1900" s="643"/>
    </row>
    <row r="1901" spans="1:16" s="619" customFormat="1" ht="36" x14ac:dyDescent="0.2">
      <c r="A1901" s="626" t="s">
        <v>4789</v>
      </c>
      <c r="B1901" s="626" t="s">
        <v>2275</v>
      </c>
      <c r="C1901" s="638" t="s">
        <v>108</v>
      </c>
      <c r="D1901" s="626" t="s">
        <v>1917</v>
      </c>
      <c r="E1901" s="636">
        <v>1100</v>
      </c>
      <c r="F1901" s="637"/>
      <c r="G1901" s="626" t="s">
        <v>4846</v>
      </c>
      <c r="H1901" s="638"/>
      <c r="I1901" s="626"/>
      <c r="J1901" s="638"/>
      <c r="K1901" s="645">
        <v>1</v>
      </c>
      <c r="L1901" s="681" t="s">
        <v>5004</v>
      </c>
      <c r="M1901" s="684">
        <v>1100</v>
      </c>
      <c r="N1901" s="654"/>
      <c r="O1901" s="685"/>
      <c r="P1901" s="643"/>
    </row>
    <row r="1902" spans="1:16" s="619" customFormat="1" ht="36" x14ac:dyDescent="0.2">
      <c r="A1902" s="626" t="s">
        <v>4789</v>
      </c>
      <c r="B1902" s="626" t="s">
        <v>2275</v>
      </c>
      <c r="C1902" s="638" t="s">
        <v>108</v>
      </c>
      <c r="D1902" s="626" t="s">
        <v>1917</v>
      </c>
      <c r="E1902" s="636">
        <v>1100</v>
      </c>
      <c r="F1902" s="637"/>
      <c r="G1902" s="626" t="s">
        <v>4979</v>
      </c>
      <c r="H1902" s="638"/>
      <c r="I1902" s="626"/>
      <c r="J1902" s="638"/>
      <c r="K1902" s="645">
        <v>1</v>
      </c>
      <c r="L1902" s="681" t="s">
        <v>5004</v>
      </c>
      <c r="M1902" s="684">
        <v>1100</v>
      </c>
      <c r="N1902" s="654"/>
      <c r="O1902" s="685"/>
      <c r="P1902" s="643"/>
    </row>
    <row r="1903" spans="1:16" s="619" customFormat="1" ht="36" x14ac:dyDescent="0.2">
      <c r="A1903" s="626" t="s">
        <v>4789</v>
      </c>
      <c r="B1903" s="626" t="s">
        <v>2275</v>
      </c>
      <c r="C1903" s="638" t="s">
        <v>108</v>
      </c>
      <c r="D1903" s="626" t="s">
        <v>4862</v>
      </c>
      <c r="E1903" s="636">
        <v>1300</v>
      </c>
      <c r="F1903" s="637"/>
      <c r="G1903" s="626" t="s">
        <v>4859</v>
      </c>
      <c r="H1903" s="638"/>
      <c r="I1903" s="626"/>
      <c r="J1903" s="638"/>
      <c r="K1903" s="645">
        <v>1</v>
      </c>
      <c r="L1903" s="681" t="s">
        <v>5004</v>
      </c>
      <c r="M1903" s="684">
        <v>1300</v>
      </c>
      <c r="N1903" s="654"/>
      <c r="O1903" s="685"/>
      <c r="P1903" s="643"/>
    </row>
    <row r="1904" spans="1:16" s="619" customFormat="1" ht="36" x14ac:dyDescent="0.2">
      <c r="A1904" s="626" t="s">
        <v>4789</v>
      </c>
      <c r="B1904" s="626" t="s">
        <v>2275</v>
      </c>
      <c r="C1904" s="638" t="s">
        <v>108</v>
      </c>
      <c r="D1904" s="626" t="s">
        <v>4876</v>
      </c>
      <c r="E1904" s="636">
        <v>2800</v>
      </c>
      <c r="F1904" s="637"/>
      <c r="G1904" s="626" t="s">
        <v>4877</v>
      </c>
      <c r="H1904" s="638"/>
      <c r="I1904" s="626"/>
      <c r="J1904" s="638"/>
      <c r="K1904" s="645">
        <v>1</v>
      </c>
      <c r="L1904" s="681" t="s">
        <v>5004</v>
      </c>
      <c r="M1904" s="684">
        <v>2800</v>
      </c>
      <c r="N1904" s="654"/>
      <c r="O1904" s="685"/>
      <c r="P1904" s="643"/>
    </row>
    <row r="1905" spans="1:16" s="619" customFormat="1" ht="36" x14ac:dyDescent="0.2">
      <c r="A1905" s="626" t="s">
        <v>4789</v>
      </c>
      <c r="B1905" s="626" t="s">
        <v>2275</v>
      </c>
      <c r="C1905" s="638" t="s">
        <v>108</v>
      </c>
      <c r="D1905" s="626" t="s">
        <v>5010</v>
      </c>
      <c r="E1905" s="636">
        <v>1500</v>
      </c>
      <c r="F1905" s="637"/>
      <c r="G1905" s="626" t="s">
        <v>4874</v>
      </c>
      <c r="H1905" s="638"/>
      <c r="I1905" s="626"/>
      <c r="J1905" s="638"/>
      <c r="K1905" s="645">
        <v>1</v>
      </c>
      <c r="L1905" s="681" t="s">
        <v>5004</v>
      </c>
      <c r="M1905" s="684">
        <v>1500</v>
      </c>
      <c r="N1905" s="654"/>
      <c r="O1905" s="685"/>
      <c r="P1905" s="643"/>
    </row>
    <row r="1906" spans="1:16" s="619" customFormat="1" ht="36" x14ac:dyDescent="0.2">
      <c r="A1906" s="626" t="s">
        <v>4789</v>
      </c>
      <c r="B1906" s="626" t="s">
        <v>2275</v>
      </c>
      <c r="C1906" s="638" t="s">
        <v>108</v>
      </c>
      <c r="D1906" s="626" t="s">
        <v>5011</v>
      </c>
      <c r="E1906" s="636">
        <v>1000</v>
      </c>
      <c r="F1906" s="637"/>
      <c r="G1906" s="626" t="s">
        <v>4867</v>
      </c>
      <c r="H1906" s="638"/>
      <c r="I1906" s="626"/>
      <c r="J1906" s="638"/>
      <c r="K1906" s="645">
        <v>1</v>
      </c>
      <c r="L1906" s="681" t="s">
        <v>5004</v>
      </c>
      <c r="M1906" s="684">
        <v>1000</v>
      </c>
      <c r="N1906" s="654"/>
      <c r="O1906" s="685"/>
      <c r="P1906" s="643"/>
    </row>
    <row r="1907" spans="1:16" s="619" customFormat="1" ht="36" x14ac:dyDescent="0.2">
      <c r="A1907" s="626" t="s">
        <v>4789</v>
      </c>
      <c r="B1907" s="626" t="s">
        <v>2275</v>
      </c>
      <c r="C1907" s="638" t="s">
        <v>108</v>
      </c>
      <c r="D1907" s="626" t="s">
        <v>3776</v>
      </c>
      <c r="E1907" s="636">
        <v>1000</v>
      </c>
      <c r="F1907" s="637"/>
      <c r="G1907" s="626" t="s">
        <v>4852</v>
      </c>
      <c r="H1907" s="638"/>
      <c r="I1907" s="626"/>
      <c r="J1907" s="638"/>
      <c r="K1907" s="645">
        <v>1</v>
      </c>
      <c r="L1907" s="681" t="s">
        <v>5004</v>
      </c>
      <c r="M1907" s="684">
        <v>1000</v>
      </c>
      <c r="N1907" s="654"/>
      <c r="O1907" s="685"/>
      <c r="P1907" s="643"/>
    </row>
    <row r="1908" spans="1:16" s="619" customFormat="1" ht="36" x14ac:dyDescent="0.2">
      <c r="A1908" s="626" t="s">
        <v>4789</v>
      </c>
      <c r="B1908" s="626" t="s">
        <v>2275</v>
      </c>
      <c r="C1908" s="638" t="s">
        <v>108</v>
      </c>
      <c r="D1908" s="626" t="s">
        <v>3776</v>
      </c>
      <c r="E1908" s="636">
        <v>1000</v>
      </c>
      <c r="F1908" s="637"/>
      <c r="G1908" s="626" t="s">
        <v>4851</v>
      </c>
      <c r="H1908" s="638"/>
      <c r="I1908" s="626"/>
      <c r="J1908" s="638"/>
      <c r="K1908" s="645">
        <v>1</v>
      </c>
      <c r="L1908" s="681" t="s">
        <v>5004</v>
      </c>
      <c r="M1908" s="684">
        <v>1000</v>
      </c>
      <c r="N1908" s="654"/>
      <c r="O1908" s="685"/>
      <c r="P1908" s="643"/>
    </row>
    <row r="1909" spans="1:16" s="619" customFormat="1" ht="36" x14ac:dyDescent="0.2">
      <c r="A1909" s="626" t="s">
        <v>4789</v>
      </c>
      <c r="B1909" s="626" t="s">
        <v>2275</v>
      </c>
      <c r="C1909" s="638" t="s">
        <v>108</v>
      </c>
      <c r="D1909" s="626" t="s">
        <v>5012</v>
      </c>
      <c r="E1909" s="636">
        <v>963.33</v>
      </c>
      <c r="F1909" s="637"/>
      <c r="G1909" s="626" t="s">
        <v>4858</v>
      </c>
      <c r="H1909" s="638"/>
      <c r="I1909" s="626"/>
      <c r="J1909" s="638"/>
      <c r="K1909" s="645">
        <v>1</v>
      </c>
      <c r="L1909" s="681" t="s">
        <v>5004</v>
      </c>
      <c r="M1909" s="684">
        <v>963.33</v>
      </c>
      <c r="N1909" s="654"/>
      <c r="O1909" s="685"/>
      <c r="P1909" s="643"/>
    </row>
    <row r="1910" spans="1:16" s="619" customFormat="1" ht="72" x14ac:dyDescent="0.2">
      <c r="A1910" s="626" t="s">
        <v>4789</v>
      </c>
      <c r="B1910" s="626" t="s">
        <v>2275</v>
      </c>
      <c r="C1910" s="638" t="s">
        <v>108</v>
      </c>
      <c r="D1910" s="626" t="s">
        <v>3776</v>
      </c>
      <c r="E1910" s="636">
        <v>709.7</v>
      </c>
      <c r="F1910" s="637"/>
      <c r="G1910" s="626" t="s">
        <v>5013</v>
      </c>
      <c r="H1910" s="638"/>
      <c r="I1910" s="626"/>
      <c r="J1910" s="638"/>
      <c r="K1910" s="645">
        <v>1</v>
      </c>
      <c r="L1910" s="681" t="s">
        <v>5004</v>
      </c>
      <c r="M1910" s="684">
        <v>709.7</v>
      </c>
      <c r="N1910" s="654"/>
      <c r="O1910" s="685"/>
      <c r="P1910" s="643"/>
    </row>
    <row r="1911" spans="1:16" s="619" customFormat="1" ht="36" x14ac:dyDescent="0.2">
      <c r="A1911" s="626" t="s">
        <v>4789</v>
      </c>
      <c r="B1911" s="626" t="s">
        <v>2275</v>
      </c>
      <c r="C1911" s="638" t="s">
        <v>108</v>
      </c>
      <c r="D1911" s="626" t="s">
        <v>4928</v>
      </c>
      <c r="E1911" s="636">
        <v>1300</v>
      </c>
      <c r="F1911" s="637"/>
      <c r="G1911" s="626" t="s">
        <v>4929</v>
      </c>
      <c r="H1911" s="638"/>
      <c r="I1911" s="626"/>
      <c r="J1911" s="638"/>
      <c r="K1911" s="645">
        <v>1</v>
      </c>
      <c r="L1911" s="681" t="s">
        <v>5004</v>
      </c>
      <c r="M1911" s="684">
        <v>1300</v>
      </c>
      <c r="N1911" s="654"/>
      <c r="O1911" s="685"/>
      <c r="P1911" s="643"/>
    </row>
    <row r="1912" spans="1:16" s="619" customFormat="1" ht="36" x14ac:dyDescent="0.2">
      <c r="A1912" s="626" t="s">
        <v>4789</v>
      </c>
      <c r="B1912" s="626" t="s">
        <v>2275</v>
      </c>
      <c r="C1912" s="638" t="s">
        <v>108</v>
      </c>
      <c r="D1912" s="626" t="s">
        <v>5014</v>
      </c>
      <c r="E1912" s="636">
        <v>2300</v>
      </c>
      <c r="F1912" s="637"/>
      <c r="G1912" s="626" t="s">
        <v>2625</v>
      </c>
      <c r="H1912" s="638"/>
      <c r="I1912" s="626"/>
      <c r="J1912" s="638"/>
      <c r="K1912" s="645">
        <v>1</v>
      </c>
      <c r="L1912" s="681" t="s">
        <v>5004</v>
      </c>
      <c r="M1912" s="684">
        <v>2300</v>
      </c>
      <c r="N1912" s="654"/>
      <c r="O1912" s="685"/>
      <c r="P1912" s="643"/>
    </row>
    <row r="1913" spans="1:16" s="619" customFormat="1" ht="36" x14ac:dyDescent="0.2">
      <c r="A1913" s="626" t="s">
        <v>4789</v>
      </c>
      <c r="B1913" s="626" t="s">
        <v>2275</v>
      </c>
      <c r="C1913" s="638" t="s">
        <v>108</v>
      </c>
      <c r="D1913" s="626" t="s">
        <v>5015</v>
      </c>
      <c r="E1913" s="636">
        <v>121.2</v>
      </c>
      <c r="F1913" s="637"/>
      <c r="G1913" s="626" t="s">
        <v>4905</v>
      </c>
      <c r="H1913" s="638"/>
      <c r="I1913" s="626"/>
      <c r="J1913" s="638"/>
      <c r="K1913" s="645">
        <v>1</v>
      </c>
      <c r="L1913" s="681" t="s">
        <v>5004</v>
      </c>
      <c r="M1913" s="684">
        <v>121.2</v>
      </c>
      <c r="N1913" s="654"/>
      <c r="O1913" s="685"/>
      <c r="P1913" s="643"/>
    </row>
    <row r="1914" spans="1:16" s="619" customFormat="1" ht="24" x14ac:dyDescent="0.2">
      <c r="A1914" s="626" t="s">
        <v>4789</v>
      </c>
      <c r="B1914" s="626" t="s">
        <v>1908</v>
      </c>
      <c r="C1914" s="638" t="s">
        <v>108</v>
      </c>
      <c r="D1914" s="626" t="s">
        <v>5015</v>
      </c>
      <c r="E1914" s="636">
        <v>1878.8</v>
      </c>
      <c r="F1914" s="637"/>
      <c r="G1914" s="626" t="s">
        <v>4905</v>
      </c>
      <c r="H1914" s="638"/>
      <c r="I1914" s="626"/>
      <c r="J1914" s="638"/>
      <c r="K1914" s="645">
        <v>1</v>
      </c>
      <c r="L1914" s="681" t="s">
        <v>5004</v>
      </c>
      <c r="M1914" s="684">
        <v>1878.8</v>
      </c>
      <c r="N1914" s="654"/>
      <c r="O1914" s="685"/>
      <c r="P1914" s="643"/>
    </row>
    <row r="1915" spans="1:16" s="619" customFormat="1" ht="36" x14ac:dyDescent="0.2">
      <c r="A1915" s="626" t="s">
        <v>4789</v>
      </c>
      <c r="B1915" s="626" t="s">
        <v>1908</v>
      </c>
      <c r="C1915" s="638" t="s">
        <v>108</v>
      </c>
      <c r="D1915" s="626" t="s">
        <v>4934</v>
      </c>
      <c r="E1915" s="636">
        <v>1500</v>
      </c>
      <c r="F1915" s="637"/>
      <c r="G1915" s="626" t="s">
        <v>4935</v>
      </c>
      <c r="H1915" s="638"/>
      <c r="I1915" s="626"/>
      <c r="J1915" s="638"/>
      <c r="K1915" s="645">
        <v>1</v>
      </c>
      <c r="L1915" s="681" t="s">
        <v>5004</v>
      </c>
      <c r="M1915" s="684">
        <v>1500</v>
      </c>
      <c r="N1915" s="654"/>
      <c r="O1915" s="685"/>
      <c r="P1915" s="643"/>
    </row>
    <row r="1916" spans="1:16" s="619" customFormat="1" ht="24" x14ac:dyDescent="0.2">
      <c r="A1916" s="626" t="s">
        <v>4789</v>
      </c>
      <c r="B1916" s="626" t="s">
        <v>1908</v>
      </c>
      <c r="C1916" s="638" t="s">
        <v>108</v>
      </c>
      <c r="D1916" s="626" t="s">
        <v>4990</v>
      </c>
      <c r="E1916" s="636">
        <v>1550</v>
      </c>
      <c r="F1916" s="637"/>
      <c r="G1916" s="626" t="s">
        <v>4983</v>
      </c>
      <c r="H1916" s="638"/>
      <c r="I1916" s="626"/>
      <c r="J1916" s="638"/>
      <c r="K1916" s="645">
        <v>1</v>
      </c>
      <c r="L1916" s="681" t="s">
        <v>5004</v>
      </c>
      <c r="M1916" s="684">
        <v>1550</v>
      </c>
      <c r="N1916" s="654"/>
      <c r="O1916" s="685"/>
      <c r="P1916" s="643"/>
    </row>
    <row r="1917" spans="1:16" s="619" customFormat="1" ht="36" x14ac:dyDescent="0.2">
      <c r="A1917" s="626" t="s">
        <v>4789</v>
      </c>
      <c r="B1917" s="626" t="s">
        <v>1908</v>
      </c>
      <c r="C1917" s="638" t="s">
        <v>108</v>
      </c>
      <c r="D1917" s="626" t="s">
        <v>4882</v>
      </c>
      <c r="E1917" s="636">
        <v>2250</v>
      </c>
      <c r="F1917" s="637"/>
      <c r="G1917" s="626" t="s">
        <v>4883</v>
      </c>
      <c r="H1917" s="638"/>
      <c r="I1917" s="626"/>
      <c r="J1917" s="638"/>
      <c r="K1917" s="645">
        <v>1</v>
      </c>
      <c r="L1917" s="681" t="s">
        <v>5004</v>
      </c>
      <c r="M1917" s="684">
        <v>2250</v>
      </c>
      <c r="N1917" s="654"/>
      <c r="O1917" s="685"/>
      <c r="P1917" s="643"/>
    </row>
    <row r="1918" spans="1:16" s="619" customFormat="1" ht="36" x14ac:dyDescent="0.2">
      <c r="A1918" s="626" t="s">
        <v>4789</v>
      </c>
      <c r="B1918" s="626" t="s">
        <v>1908</v>
      </c>
      <c r="C1918" s="638" t="s">
        <v>108</v>
      </c>
      <c r="D1918" s="626" t="s">
        <v>4971</v>
      </c>
      <c r="E1918" s="636">
        <v>1200</v>
      </c>
      <c r="F1918" s="637"/>
      <c r="G1918" s="626" t="s">
        <v>4959</v>
      </c>
      <c r="H1918" s="638"/>
      <c r="I1918" s="626"/>
      <c r="J1918" s="638"/>
      <c r="K1918" s="645">
        <v>1</v>
      </c>
      <c r="L1918" s="681" t="s">
        <v>5004</v>
      </c>
      <c r="M1918" s="684">
        <v>1200</v>
      </c>
      <c r="N1918" s="654"/>
      <c r="O1918" s="685"/>
      <c r="P1918" s="643"/>
    </row>
    <row r="1919" spans="1:16" s="619" customFormat="1" ht="36" x14ac:dyDescent="0.2">
      <c r="A1919" s="626" t="s">
        <v>4789</v>
      </c>
      <c r="B1919" s="626" t="s">
        <v>1908</v>
      </c>
      <c r="C1919" s="638" t="s">
        <v>108</v>
      </c>
      <c r="D1919" s="626" t="s">
        <v>5016</v>
      </c>
      <c r="E1919" s="636">
        <v>1750</v>
      </c>
      <c r="F1919" s="637"/>
      <c r="G1919" s="626" t="s">
        <v>4998</v>
      </c>
      <c r="H1919" s="638"/>
      <c r="I1919" s="626"/>
      <c r="J1919" s="638"/>
      <c r="K1919" s="645">
        <v>1</v>
      </c>
      <c r="L1919" s="681" t="s">
        <v>5004</v>
      </c>
      <c r="M1919" s="684">
        <v>1750</v>
      </c>
      <c r="N1919" s="654"/>
      <c r="O1919" s="685"/>
      <c r="P1919" s="643"/>
    </row>
    <row r="1920" spans="1:16" s="619" customFormat="1" ht="36" x14ac:dyDescent="0.2">
      <c r="A1920" s="626" t="s">
        <v>4789</v>
      </c>
      <c r="B1920" s="626" t="s">
        <v>1908</v>
      </c>
      <c r="C1920" s="638" t="s">
        <v>108</v>
      </c>
      <c r="D1920" s="626" t="s">
        <v>4892</v>
      </c>
      <c r="E1920" s="636">
        <v>816</v>
      </c>
      <c r="F1920" s="637"/>
      <c r="G1920" s="626" t="s">
        <v>4893</v>
      </c>
      <c r="H1920" s="638"/>
      <c r="I1920" s="626"/>
      <c r="J1920" s="638"/>
      <c r="K1920" s="645">
        <v>1</v>
      </c>
      <c r="L1920" s="681" t="s">
        <v>5004</v>
      </c>
      <c r="M1920" s="684">
        <v>816</v>
      </c>
      <c r="N1920" s="654"/>
      <c r="O1920" s="685"/>
      <c r="P1920" s="643"/>
    </row>
    <row r="1921" spans="1:16" s="619" customFormat="1" ht="36" x14ac:dyDescent="0.2">
      <c r="A1921" s="626" t="s">
        <v>4789</v>
      </c>
      <c r="B1921" s="626" t="s">
        <v>1908</v>
      </c>
      <c r="C1921" s="638" t="s">
        <v>108</v>
      </c>
      <c r="D1921" s="626" t="s">
        <v>5017</v>
      </c>
      <c r="E1921" s="636">
        <v>1300</v>
      </c>
      <c r="F1921" s="637"/>
      <c r="G1921" s="626" t="s">
        <v>4945</v>
      </c>
      <c r="H1921" s="638"/>
      <c r="I1921" s="626"/>
      <c r="J1921" s="638"/>
      <c r="K1921" s="645">
        <v>1</v>
      </c>
      <c r="L1921" s="681" t="s">
        <v>5004</v>
      </c>
      <c r="M1921" s="684">
        <v>1300</v>
      </c>
      <c r="N1921" s="654"/>
      <c r="O1921" s="685"/>
      <c r="P1921" s="643"/>
    </row>
    <row r="1922" spans="1:16" s="619" customFormat="1" ht="24" x14ac:dyDescent="0.2">
      <c r="A1922" s="626" t="s">
        <v>4789</v>
      </c>
      <c r="B1922" s="626" t="s">
        <v>1908</v>
      </c>
      <c r="C1922" s="638" t="s">
        <v>108</v>
      </c>
      <c r="D1922" s="626" t="s">
        <v>4980</v>
      </c>
      <c r="E1922" s="636">
        <v>1500</v>
      </c>
      <c r="F1922" s="637"/>
      <c r="G1922" s="626" t="s">
        <v>4981</v>
      </c>
      <c r="H1922" s="638"/>
      <c r="I1922" s="626"/>
      <c r="J1922" s="638"/>
      <c r="K1922" s="645">
        <v>1</v>
      </c>
      <c r="L1922" s="681" t="s">
        <v>5004</v>
      </c>
      <c r="M1922" s="684">
        <v>1500</v>
      </c>
      <c r="N1922" s="654"/>
      <c r="O1922" s="685"/>
      <c r="P1922" s="643"/>
    </row>
    <row r="1923" spans="1:16" s="619" customFormat="1" ht="36" x14ac:dyDescent="0.2">
      <c r="A1923" s="626" t="s">
        <v>4789</v>
      </c>
      <c r="B1923" s="626" t="s">
        <v>1908</v>
      </c>
      <c r="C1923" s="638" t="s">
        <v>108</v>
      </c>
      <c r="D1923" s="626" t="s">
        <v>4922</v>
      </c>
      <c r="E1923" s="636">
        <v>1300</v>
      </c>
      <c r="F1923" s="637"/>
      <c r="G1923" s="626" t="s">
        <v>4923</v>
      </c>
      <c r="H1923" s="638"/>
      <c r="I1923" s="626"/>
      <c r="J1923" s="638"/>
      <c r="K1923" s="645">
        <v>1</v>
      </c>
      <c r="L1923" s="681" t="s">
        <v>5004</v>
      </c>
      <c r="M1923" s="684">
        <v>1300</v>
      </c>
      <c r="N1923" s="654"/>
      <c r="O1923" s="685"/>
      <c r="P1923" s="643"/>
    </row>
    <row r="1924" spans="1:16" s="619" customFormat="1" ht="36" x14ac:dyDescent="0.2">
      <c r="A1924" s="626" t="s">
        <v>4789</v>
      </c>
      <c r="B1924" s="626" t="s">
        <v>1908</v>
      </c>
      <c r="C1924" s="638" t="s">
        <v>108</v>
      </c>
      <c r="D1924" s="626" t="s">
        <v>5018</v>
      </c>
      <c r="E1924" s="636">
        <v>1300</v>
      </c>
      <c r="F1924" s="637"/>
      <c r="G1924" s="626" t="s">
        <v>4881</v>
      </c>
      <c r="H1924" s="638"/>
      <c r="I1924" s="626"/>
      <c r="J1924" s="638"/>
      <c r="K1924" s="645">
        <v>1</v>
      </c>
      <c r="L1924" s="681" t="s">
        <v>5004</v>
      </c>
      <c r="M1924" s="684">
        <v>1300</v>
      </c>
      <c r="N1924" s="654"/>
      <c r="O1924" s="685"/>
      <c r="P1924" s="643"/>
    </row>
    <row r="1925" spans="1:16" s="619" customFormat="1" ht="24" x14ac:dyDescent="0.2">
      <c r="A1925" s="626" t="s">
        <v>4789</v>
      </c>
      <c r="B1925" s="626" t="s">
        <v>1908</v>
      </c>
      <c r="C1925" s="638" t="s">
        <v>108</v>
      </c>
      <c r="D1925" s="626" t="s">
        <v>5019</v>
      </c>
      <c r="E1925" s="636">
        <v>1300</v>
      </c>
      <c r="F1925" s="637"/>
      <c r="G1925" s="626" t="s">
        <v>4925</v>
      </c>
      <c r="H1925" s="638"/>
      <c r="I1925" s="626"/>
      <c r="J1925" s="638"/>
      <c r="K1925" s="645">
        <v>1</v>
      </c>
      <c r="L1925" s="681" t="s">
        <v>5004</v>
      </c>
      <c r="M1925" s="684">
        <v>1300</v>
      </c>
      <c r="N1925" s="654"/>
      <c r="O1925" s="685"/>
      <c r="P1925" s="643"/>
    </row>
    <row r="1926" spans="1:16" s="619" customFormat="1" ht="36" x14ac:dyDescent="0.2">
      <c r="A1926" s="626" t="s">
        <v>4789</v>
      </c>
      <c r="B1926" s="626" t="s">
        <v>1908</v>
      </c>
      <c r="C1926" s="638" t="s">
        <v>108</v>
      </c>
      <c r="D1926" s="626" t="s">
        <v>4994</v>
      </c>
      <c r="E1926" s="636">
        <v>606.62</v>
      </c>
      <c r="F1926" s="637"/>
      <c r="G1926" s="626" t="s">
        <v>4856</v>
      </c>
      <c r="H1926" s="638"/>
      <c r="I1926" s="626"/>
      <c r="J1926" s="638"/>
      <c r="K1926" s="645">
        <v>1</v>
      </c>
      <c r="L1926" s="681" t="s">
        <v>5004</v>
      </c>
      <c r="M1926" s="684">
        <v>606.62</v>
      </c>
      <c r="N1926" s="654"/>
      <c r="O1926" s="685"/>
      <c r="P1926" s="643"/>
    </row>
    <row r="1927" spans="1:16" s="619" customFormat="1" ht="36" x14ac:dyDescent="0.2">
      <c r="A1927" s="626" t="s">
        <v>4789</v>
      </c>
      <c r="B1927" s="626" t="s">
        <v>1908</v>
      </c>
      <c r="C1927" s="638" t="s">
        <v>108</v>
      </c>
      <c r="D1927" s="626" t="s">
        <v>4969</v>
      </c>
      <c r="E1927" s="636">
        <v>1750</v>
      </c>
      <c r="F1927" s="637"/>
      <c r="G1927" s="626" t="s">
        <v>4903</v>
      </c>
      <c r="H1927" s="638"/>
      <c r="I1927" s="626"/>
      <c r="J1927" s="638"/>
      <c r="K1927" s="645">
        <v>1</v>
      </c>
      <c r="L1927" s="681" t="s">
        <v>5004</v>
      </c>
      <c r="M1927" s="684">
        <v>1750</v>
      </c>
      <c r="N1927" s="654"/>
      <c r="O1927" s="685"/>
      <c r="P1927" s="643"/>
    </row>
    <row r="1928" spans="1:16" s="619" customFormat="1" ht="24" x14ac:dyDescent="0.2">
      <c r="A1928" s="626" t="s">
        <v>4789</v>
      </c>
      <c r="B1928" s="626" t="s">
        <v>1908</v>
      </c>
      <c r="C1928" s="638" t="s">
        <v>108</v>
      </c>
      <c r="D1928" s="626" t="s">
        <v>1917</v>
      </c>
      <c r="E1928" s="636">
        <v>549.9</v>
      </c>
      <c r="F1928" s="637"/>
      <c r="G1928" s="626" t="s">
        <v>5020</v>
      </c>
      <c r="H1928" s="638"/>
      <c r="I1928" s="626"/>
      <c r="J1928" s="638"/>
      <c r="K1928" s="645">
        <v>1</v>
      </c>
      <c r="L1928" s="681" t="s">
        <v>5004</v>
      </c>
      <c r="M1928" s="684">
        <v>549.9</v>
      </c>
      <c r="N1928" s="654"/>
      <c r="O1928" s="685"/>
      <c r="P1928" s="643"/>
    </row>
    <row r="1929" spans="1:16" s="619" customFormat="1" ht="24" x14ac:dyDescent="0.2">
      <c r="A1929" s="626" t="s">
        <v>4789</v>
      </c>
      <c r="B1929" s="626" t="s">
        <v>1908</v>
      </c>
      <c r="C1929" s="638" t="s">
        <v>108</v>
      </c>
      <c r="D1929" s="626" t="s">
        <v>4969</v>
      </c>
      <c r="E1929" s="636">
        <v>758</v>
      </c>
      <c r="F1929" s="637"/>
      <c r="G1929" s="626" t="s">
        <v>5021</v>
      </c>
      <c r="H1929" s="638"/>
      <c r="I1929" s="626"/>
      <c r="J1929" s="638"/>
      <c r="K1929" s="645">
        <v>1</v>
      </c>
      <c r="L1929" s="681" t="s">
        <v>5004</v>
      </c>
      <c r="M1929" s="684">
        <v>758</v>
      </c>
      <c r="N1929" s="654"/>
      <c r="O1929" s="685"/>
      <c r="P1929" s="643"/>
    </row>
    <row r="1930" spans="1:16" s="619" customFormat="1" ht="24" x14ac:dyDescent="0.2">
      <c r="A1930" s="626" t="s">
        <v>4789</v>
      </c>
      <c r="B1930" s="626" t="s">
        <v>1908</v>
      </c>
      <c r="C1930" s="638" t="s">
        <v>108</v>
      </c>
      <c r="D1930" s="626" t="s">
        <v>4898</v>
      </c>
      <c r="E1930" s="636">
        <v>550</v>
      </c>
      <c r="F1930" s="637"/>
      <c r="G1930" s="626" t="s">
        <v>5022</v>
      </c>
      <c r="H1930" s="638"/>
      <c r="I1930" s="626"/>
      <c r="J1930" s="638"/>
      <c r="K1930" s="645">
        <v>1</v>
      </c>
      <c r="L1930" s="681" t="s">
        <v>5004</v>
      </c>
      <c r="M1930" s="684">
        <v>550</v>
      </c>
      <c r="N1930" s="654"/>
      <c r="O1930" s="685"/>
      <c r="P1930" s="643"/>
    </row>
    <row r="1931" spans="1:16" s="619" customFormat="1" ht="24" x14ac:dyDescent="0.2">
      <c r="A1931" s="626" t="s">
        <v>4789</v>
      </c>
      <c r="B1931" s="626" t="s">
        <v>1908</v>
      </c>
      <c r="C1931" s="638" t="s">
        <v>108</v>
      </c>
      <c r="D1931" s="626" t="s">
        <v>4898</v>
      </c>
      <c r="E1931" s="636">
        <v>1750</v>
      </c>
      <c r="F1931" s="637"/>
      <c r="G1931" s="626" t="s">
        <v>5022</v>
      </c>
      <c r="H1931" s="638"/>
      <c r="I1931" s="626"/>
      <c r="J1931" s="638"/>
      <c r="K1931" s="645">
        <v>1</v>
      </c>
      <c r="L1931" s="681" t="s">
        <v>5004</v>
      </c>
      <c r="M1931" s="684">
        <v>1750</v>
      </c>
      <c r="N1931" s="654"/>
      <c r="O1931" s="685"/>
      <c r="P1931" s="643"/>
    </row>
    <row r="1932" spans="1:16" s="619" customFormat="1" ht="36" x14ac:dyDescent="0.2">
      <c r="A1932" s="626" t="s">
        <v>4789</v>
      </c>
      <c r="B1932" s="626" t="s">
        <v>1908</v>
      </c>
      <c r="C1932" s="638" t="s">
        <v>108</v>
      </c>
      <c r="D1932" s="626" t="s">
        <v>4965</v>
      </c>
      <c r="E1932" s="636">
        <v>1300</v>
      </c>
      <c r="F1932" s="637"/>
      <c r="G1932" s="626" t="s">
        <v>4901</v>
      </c>
      <c r="H1932" s="638"/>
      <c r="I1932" s="626"/>
      <c r="J1932" s="638"/>
      <c r="K1932" s="645">
        <v>1</v>
      </c>
      <c r="L1932" s="681" t="s">
        <v>5004</v>
      </c>
      <c r="M1932" s="684">
        <v>1300</v>
      </c>
      <c r="N1932" s="654"/>
      <c r="O1932" s="685"/>
      <c r="P1932" s="643"/>
    </row>
    <row r="1933" spans="1:16" s="619" customFormat="1" ht="36" x14ac:dyDescent="0.2">
      <c r="A1933" s="626" t="s">
        <v>4789</v>
      </c>
      <c r="B1933" s="626" t="s">
        <v>1908</v>
      </c>
      <c r="C1933" s="638" t="s">
        <v>108</v>
      </c>
      <c r="D1933" s="626" t="s">
        <v>3776</v>
      </c>
      <c r="E1933" s="636">
        <v>1000</v>
      </c>
      <c r="F1933" s="637"/>
      <c r="G1933" s="626" t="s">
        <v>5023</v>
      </c>
      <c r="H1933" s="638"/>
      <c r="I1933" s="626"/>
      <c r="J1933" s="638"/>
      <c r="K1933" s="645">
        <v>1</v>
      </c>
      <c r="L1933" s="681" t="s">
        <v>5004</v>
      </c>
      <c r="M1933" s="684">
        <v>1000</v>
      </c>
      <c r="N1933" s="654"/>
      <c r="O1933" s="685"/>
      <c r="P1933" s="643"/>
    </row>
    <row r="1934" spans="1:16" s="619" customFormat="1" ht="36" x14ac:dyDescent="0.2">
      <c r="A1934" s="626" t="s">
        <v>4789</v>
      </c>
      <c r="B1934" s="626" t="s">
        <v>1908</v>
      </c>
      <c r="C1934" s="638" t="s">
        <v>108</v>
      </c>
      <c r="D1934" s="626" t="s">
        <v>4965</v>
      </c>
      <c r="E1934" s="636">
        <v>1500</v>
      </c>
      <c r="F1934" s="637"/>
      <c r="G1934" s="626" t="s">
        <v>4901</v>
      </c>
      <c r="H1934" s="638"/>
      <c r="I1934" s="626"/>
      <c r="J1934" s="638"/>
      <c r="K1934" s="645">
        <v>1</v>
      </c>
      <c r="L1934" s="681" t="s">
        <v>3633</v>
      </c>
      <c r="M1934" s="684">
        <v>1500</v>
      </c>
      <c r="N1934" s="654"/>
      <c r="O1934" s="685"/>
      <c r="P1934" s="643"/>
    </row>
    <row r="1935" spans="1:16" s="619" customFormat="1" ht="36" x14ac:dyDescent="0.2">
      <c r="A1935" s="626" t="s">
        <v>4789</v>
      </c>
      <c r="B1935" s="626" t="s">
        <v>2032</v>
      </c>
      <c r="C1935" s="638" t="s">
        <v>108</v>
      </c>
      <c r="D1935" s="626" t="s">
        <v>4993</v>
      </c>
      <c r="E1935" s="636">
        <v>1500</v>
      </c>
      <c r="F1935" s="637"/>
      <c r="G1935" s="626" t="s">
        <v>4932</v>
      </c>
      <c r="H1935" s="638"/>
      <c r="I1935" s="626"/>
      <c r="J1935" s="638"/>
      <c r="K1935" s="645">
        <v>1</v>
      </c>
      <c r="L1935" s="681" t="s">
        <v>3633</v>
      </c>
      <c r="M1935" s="684">
        <v>1500</v>
      </c>
      <c r="N1935" s="654"/>
      <c r="O1935" s="685"/>
      <c r="P1935" s="643"/>
    </row>
    <row r="1936" spans="1:16" s="619" customFormat="1" ht="36" x14ac:dyDescent="0.2">
      <c r="A1936" s="626" t="s">
        <v>4789</v>
      </c>
      <c r="B1936" s="626" t="s">
        <v>2032</v>
      </c>
      <c r="C1936" s="638" t="s">
        <v>108</v>
      </c>
      <c r="D1936" s="626" t="s">
        <v>4876</v>
      </c>
      <c r="E1936" s="636">
        <v>2800</v>
      </c>
      <c r="F1936" s="637"/>
      <c r="G1936" s="626" t="s">
        <v>4877</v>
      </c>
      <c r="H1936" s="638"/>
      <c r="I1936" s="626"/>
      <c r="J1936" s="638"/>
      <c r="K1936" s="645">
        <v>1</v>
      </c>
      <c r="L1936" s="681" t="s">
        <v>3633</v>
      </c>
      <c r="M1936" s="684">
        <v>2800</v>
      </c>
      <c r="N1936" s="654"/>
      <c r="O1936" s="685"/>
      <c r="P1936" s="643"/>
    </row>
    <row r="1937" spans="1:16" s="619" customFormat="1" ht="24" x14ac:dyDescent="0.2">
      <c r="A1937" s="626" t="s">
        <v>4789</v>
      </c>
      <c r="B1937" s="626" t="s">
        <v>2032</v>
      </c>
      <c r="C1937" s="638" t="s">
        <v>108</v>
      </c>
      <c r="D1937" s="626" t="s">
        <v>5024</v>
      </c>
      <c r="E1937" s="636">
        <v>1500</v>
      </c>
      <c r="F1937" s="637"/>
      <c r="G1937" s="626" t="s">
        <v>4874</v>
      </c>
      <c r="H1937" s="638"/>
      <c r="I1937" s="626"/>
      <c r="J1937" s="638"/>
      <c r="K1937" s="645">
        <v>1</v>
      </c>
      <c r="L1937" s="681" t="s">
        <v>3633</v>
      </c>
      <c r="M1937" s="684">
        <v>1500</v>
      </c>
      <c r="N1937" s="654"/>
      <c r="O1937" s="685"/>
      <c r="P1937" s="643"/>
    </row>
    <row r="1938" spans="1:16" s="619" customFormat="1" ht="24" x14ac:dyDescent="0.2">
      <c r="A1938" s="626" t="s">
        <v>4789</v>
      </c>
      <c r="B1938" s="626" t="s">
        <v>2032</v>
      </c>
      <c r="C1938" s="638" t="s">
        <v>108</v>
      </c>
      <c r="D1938" s="626" t="s">
        <v>4894</v>
      </c>
      <c r="E1938" s="636">
        <v>1750</v>
      </c>
      <c r="F1938" s="637"/>
      <c r="G1938" s="626" t="s">
        <v>4975</v>
      </c>
      <c r="H1938" s="638"/>
      <c r="I1938" s="626"/>
      <c r="J1938" s="638"/>
      <c r="K1938" s="645">
        <v>1</v>
      </c>
      <c r="L1938" s="681" t="s">
        <v>3633</v>
      </c>
      <c r="M1938" s="684">
        <v>1750</v>
      </c>
      <c r="N1938" s="654"/>
      <c r="O1938" s="685"/>
      <c r="P1938" s="643"/>
    </row>
    <row r="1939" spans="1:16" s="619" customFormat="1" ht="36" x14ac:dyDescent="0.2">
      <c r="A1939" s="626" t="s">
        <v>4789</v>
      </c>
      <c r="B1939" s="626" t="s">
        <v>2032</v>
      </c>
      <c r="C1939" s="638" t="s">
        <v>108</v>
      </c>
      <c r="D1939" s="626" t="s">
        <v>5025</v>
      </c>
      <c r="E1939" s="636">
        <v>1000</v>
      </c>
      <c r="F1939" s="637"/>
      <c r="G1939" s="626" t="s">
        <v>4867</v>
      </c>
      <c r="H1939" s="638"/>
      <c r="I1939" s="626"/>
      <c r="J1939" s="638"/>
      <c r="K1939" s="645">
        <v>1</v>
      </c>
      <c r="L1939" s="681" t="s">
        <v>3633</v>
      </c>
      <c r="M1939" s="684">
        <v>1000</v>
      </c>
      <c r="N1939" s="654"/>
      <c r="O1939" s="685"/>
      <c r="P1939" s="643"/>
    </row>
    <row r="1940" spans="1:16" s="619" customFormat="1" ht="24" x14ac:dyDescent="0.2">
      <c r="A1940" s="626" t="s">
        <v>4789</v>
      </c>
      <c r="B1940" s="626" t="s">
        <v>2032</v>
      </c>
      <c r="C1940" s="638" t="s">
        <v>108</v>
      </c>
      <c r="D1940" s="626" t="s">
        <v>5026</v>
      </c>
      <c r="E1940" s="636">
        <v>1300</v>
      </c>
      <c r="F1940" s="637"/>
      <c r="G1940" s="626" t="s">
        <v>4848</v>
      </c>
      <c r="H1940" s="638"/>
      <c r="I1940" s="626"/>
      <c r="J1940" s="638"/>
      <c r="K1940" s="645">
        <v>1</v>
      </c>
      <c r="L1940" s="681" t="s">
        <v>3633</v>
      </c>
      <c r="M1940" s="684">
        <v>1300</v>
      </c>
      <c r="N1940" s="654"/>
      <c r="O1940" s="685"/>
      <c r="P1940" s="643"/>
    </row>
    <row r="1941" spans="1:16" s="619" customFormat="1" ht="36" x14ac:dyDescent="0.2">
      <c r="A1941" s="626" t="s">
        <v>4789</v>
      </c>
      <c r="B1941" s="626" t="s">
        <v>2032</v>
      </c>
      <c r="C1941" s="638" t="s">
        <v>108</v>
      </c>
      <c r="D1941" s="626" t="s">
        <v>4988</v>
      </c>
      <c r="E1941" s="636">
        <v>2500</v>
      </c>
      <c r="F1941" s="637"/>
      <c r="G1941" s="626" t="s">
        <v>4989</v>
      </c>
      <c r="H1941" s="638"/>
      <c r="I1941" s="626"/>
      <c r="J1941" s="638"/>
      <c r="K1941" s="645">
        <v>1</v>
      </c>
      <c r="L1941" s="681" t="s">
        <v>3633</v>
      </c>
      <c r="M1941" s="684">
        <v>2500</v>
      </c>
      <c r="N1941" s="654"/>
      <c r="O1941" s="685"/>
      <c r="P1941" s="643"/>
    </row>
    <row r="1942" spans="1:16" s="619" customFormat="1" ht="24" x14ac:dyDescent="0.2">
      <c r="A1942" s="626" t="s">
        <v>4789</v>
      </c>
      <c r="B1942" s="626" t="s">
        <v>2032</v>
      </c>
      <c r="C1942" s="638" t="s">
        <v>108</v>
      </c>
      <c r="D1942" s="626" t="s">
        <v>5027</v>
      </c>
      <c r="E1942" s="636">
        <v>2200</v>
      </c>
      <c r="F1942" s="637"/>
      <c r="G1942" s="626" t="s">
        <v>5008</v>
      </c>
      <c r="H1942" s="638"/>
      <c r="I1942" s="626"/>
      <c r="J1942" s="638"/>
      <c r="K1942" s="645">
        <v>1</v>
      </c>
      <c r="L1942" s="681" t="s">
        <v>3633</v>
      </c>
      <c r="M1942" s="684">
        <v>2200</v>
      </c>
      <c r="N1942" s="654"/>
      <c r="O1942" s="685"/>
      <c r="P1942" s="643"/>
    </row>
    <row r="1943" spans="1:16" s="619" customFormat="1" ht="72" x14ac:dyDescent="0.2">
      <c r="A1943" s="626" t="s">
        <v>4789</v>
      </c>
      <c r="B1943" s="626" t="s">
        <v>2032</v>
      </c>
      <c r="C1943" s="638" t="s">
        <v>108</v>
      </c>
      <c r="D1943" s="626" t="s">
        <v>4857</v>
      </c>
      <c r="E1943" s="636">
        <v>1300</v>
      </c>
      <c r="F1943" s="637"/>
      <c r="G1943" s="626" t="s">
        <v>5009</v>
      </c>
      <c r="H1943" s="638"/>
      <c r="I1943" s="626"/>
      <c r="J1943" s="638"/>
      <c r="K1943" s="645">
        <v>1</v>
      </c>
      <c r="L1943" s="681" t="s">
        <v>3633</v>
      </c>
      <c r="M1943" s="684">
        <v>1300</v>
      </c>
      <c r="N1943" s="654"/>
      <c r="O1943" s="685"/>
      <c r="P1943" s="643"/>
    </row>
    <row r="1944" spans="1:16" s="619" customFormat="1" ht="24" x14ac:dyDescent="0.2">
      <c r="A1944" s="626" t="s">
        <v>4789</v>
      </c>
      <c r="B1944" s="626" t="s">
        <v>2032</v>
      </c>
      <c r="C1944" s="638" t="s">
        <v>108</v>
      </c>
      <c r="D1944" s="626" t="s">
        <v>5028</v>
      </c>
      <c r="E1944" s="636">
        <v>1500</v>
      </c>
      <c r="F1944" s="637"/>
      <c r="G1944" s="626" t="s">
        <v>4865</v>
      </c>
      <c r="H1944" s="638"/>
      <c r="I1944" s="626"/>
      <c r="J1944" s="638"/>
      <c r="K1944" s="645">
        <v>1</v>
      </c>
      <c r="L1944" s="681" t="s">
        <v>3633</v>
      </c>
      <c r="M1944" s="684">
        <v>1500</v>
      </c>
      <c r="N1944" s="654"/>
      <c r="O1944" s="685"/>
      <c r="P1944" s="643"/>
    </row>
    <row r="1945" spans="1:16" s="619" customFormat="1" ht="36" x14ac:dyDescent="0.2">
      <c r="A1945" s="626" t="s">
        <v>4789</v>
      </c>
      <c r="B1945" s="626" t="s">
        <v>2032</v>
      </c>
      <c r="C1945" s="638" t="s">
        <v>108</v>
      </c>
      <c r="D1945" s="626" t="s">
        <v>1917</v>
      </c>
      <c r="E1945" s="636">
        <v>1100</v>
      </c>
      <c r="F1945" s="637"/>
      <c r="G1945" s="626" t="s">
        <v>4846</v>
      </c>
      <c r="H1945" s="638"/>
      <c r="I1945" s="626"/>
      <c r="J1945" s="638"/>
      <c r="K1945" s="645">
        <v>1</v>
      </c>
      <c r="L1945" s="681" t="s">
        <v>3633</v>
      </c>
      <c r="M1945" s="684">
        <v>1100</v>
      </c>
      <c r="N1945" s="654"/>
      <c r="O1945" s="685"/>
      <c r="P1945" s="643"/>
    </row>
    <row r="1946" spans="1:16" s="619" customFormat="1" ht="24" x14ac:dyDescent="0.2">
      <c r="A1946" s="626" t="s">
        <v>4789</v>
      </c>
      <c r="B1946" s="626" t="s">
        <v>2032</v>
      </c>
      <c r="C1946" s="638" t="s">
        <v>108</v>
      </c>
      <c r="D1946" s="626" t="s">
        <v>1917</v>
      </c>
      <c r="E1946" s="636">
        <v>1100</v>
      </c>
      <c r="F1946" s="637"/>
      <c r="G1946" s="626" t="s">
        <v>5020</v>
      </c>
      <c r="H1946" s="638"/>
      <c r="I1946" s="626"/>
      <c r="J1946" s="638"/>
      <c r="K1946" s="645">
        <v>1</v>
      </c>
      <c r="L1946" s="681" t="s">
        <v>3633</v>
      </c>
      <c r="M1946" s="684">
        <v>1100</v>
      </c>
      <c r="N1946" s="654"/>
      <c r="O1946" s="685"/>
      <c r="P1946" s="643"/>
    </row>
    <row r="1947" spans="1:16" s="619" customFormat="1" ht="24" x14ac:dyDescent="0.2">
      <c r="A1947" s="626" t="s">
        <v>4789</v>
      </c>
      <c r="B1947" s="626" t="s">
        <v>2032</v>
      </c>
      <c r="C1947" s="638" t="s">
        <v>108</v>
      </c>
      <c r="D1947" s="626" t="s">
        <v>5029</v>
      </c>
      <c r="E1947" s="636">
        <v>1300</v>
      </c>
      <c r="F1947" s="637"/>
      <c r="G1947" s="626" t="s">
        <v>4859</v>
      </c>
      <c r="H1947" s="638"/>
      <c r="I1947" s="626"/>
      <c r="J1947" s="638"/>
      <c r="K1947" s="645">
        <v>1</v>
      </c>
      <c r="L1947" s="681" t="s">
        <v>3633</v>
      </c>
      <c r="M1947" s="684">
        <v>1300</v>
      </c>
      <c r="N1947" s="654"/>
      <c r="O1947" s="685"/>
      <c r="P1947" s="643"/>
    </row>
    <row r="1948" spans="1:16" s="619" customFormat="1" ht="24" x14ac:dyDescent="0.2">
      <c r="A1948" s="626" t="s">
        <v>4789</v>
      </c>
      <c r="B1948" s="626" t="s">
        <v>2032</v>
      </c>
      <c r="C1948" s="638" t="s">
        <v>108</v>
      </c>
      <c r="D1948" s="626" t="s">
        <v>3776</v>
      </c>
      <c r="E1948" s="636">
        <v>1000</v>
      </c>
      <c r="F1948" s="637"/>
      <c r="G1948" s="626" t="s">
        <v>4851</v>
      </c>
      <c r="H1948" s="638"/>
      <c r="I1948" s="626"/>
      <c r="J1948" s="638"/>
      <c r="K1948" s="645">
        <v>1</v>
      </c>
      <c r="L1948" s="681" t="s">
        <v>3633</v>
      </c>
      <c r="M1948" s="684">
        <v>1000</v>
      </c>
      <c r="N1948" s="654"/>
      <c r="O1948" s="685"/>
      <c r="P1948" s="643"/>
    </row>
    <row r="1949" spans="1:16" s="619" customFormat="1" ht="36" x14ac:dyDescent="0.2">
      <c r="A1949" s="626" t="s">
        <v>4789</v>
      </c>
      <c r="B1949" s="626" t="s">
        <v>2032</v>
      </c>
      <c r="C1949" s="638" t="s">
        <v>108</v>
      </c>
      <c r="D1949" s="626" t="s">
        <v>5030</v>
      </c>
      <c r="E1949" s="636">
        <v>693.33</v>
      </c>
      <c r="F1949" s="637"/>
      <c r="G1949" s="626" t="s">
        <v>5031</v>
      </c>
      <c r="H1949" s="638"/>
      <c r="I1949" s="626"/>
      <c r="J1949" s="638"/>
      <c r="K1949" s="645">
        <v>1</v>
      </c>
      <c r="L1949" s="681" t="s">
        <v>3633</v>
      </c>
      <c r="M1949" s="684">
        <v>693.33</v>
      </c>
      <c r="N1949" s="654"/>
      <c r="O1949" s="685"/>
      <c r="P1949" s="643"/>
    </row>
    <row r="1950" spans="1:16" s="619" customFormat="1" ht="36" x14ac:dyDescent="0.2">
      <c r="A1950" s="626" t="s">
        <v>4789</v>
      </c>
      <c r="B1950" s="626" t="s">
        <v>2032</v>
      </c>
      <c r="C1950" s="638" t="s">
        <v>108</v>
      </c>
      <c r="D1950" s="626" t="s">
        <v>5032</v>
      </c>
      <c r="E1950" s="636">
        <v>1200</v>
      </c>
      <c r="F1950" s="637"/>
      <c r="G1950" s="626" t="s">
        <v>4959</v>
      </c>
      <c r="H1950" s="638"/>
      <c r="I1950" s="626"/>
      <c r="J1950" s="638"/>
      <c r="K1950" s="645">
        <v>1</v>
      </c>
      <c r="L1950" s="681" t="s">
        <v>3633</v>
      </c>
      <c r="M1950" s="684">
        <v>1200</v>
      </c>
      <c r="N1950" s="654"/>
      <c r="O1950" s="685"/>
      <c r="P1950" s="643"/>
    </row>
    <row r="1951" spans="1:16" s="619" customFormat="1" ht="36" x14ac:dyDescent="0.2">
      <c r="A1951" s="626" t="s">
        <v>4789</v>
      </c>
      <c r="B1951" s="626" t="s">
        <v>2032</v>
      </c>
      <c r="C1951" s="638" t="s">
        <v>108</v>
      </c>
      <c r="D1951" s="626" t="s">
        <v>4997</v>
      </c>
      <c r="E1951" s="636">
        <v>1750</v>
      </c>
      <c r="F1951" s="637"/>
      <c r="G1951" s="626" t="s">
        <v>4998</v>
      </c>
      <c r="H1951" s="638"/>
      <c r="I1951" s="626"/>
      <c r="J1951" s="638"/>
      <c r="K1951" s="645">
        <v>1</v>
      </c>
      <c r="L1951" s="681" t="s">
        <v>3633</v>
      </c>
      <c r="M1951" s="684">
        <v>1750</v>
      </c>
      <c r="N1951" s="654"/>
      <c r="O1951" s="685"/>
      <c r="P1951" s="643"/>
    </row>
    <row r="1952" spans="1:16" s="619" customFormat="1" ht="36" x14ac:dyDescent="0.2">
      <c r="A1952" s="626" t="s">
        <v>4789</v>
      </c>
      <c r="B1952" s="626" t="s">
        <v>2032</v>
      </c>
      <c r="C1952" s="638" t="s">
        <v>108</v>
      </c>
      <c r="D1952" s="626" t="s">
        <v>5033</v>
      </c>
      <c r="E1952" s="636">
        <v>1300</v>
      </c>
      <c r="F1952" s="637"/>
      <c r="G1952" s="626" t="s">
        <v>4945</v>
      </c>
      <c r="H1952" s="638"/>
      <c r="I1952" s="626"/>
      <c r="J1952" s="638"/>
      <c r="K1952" s="645">
        <v>1</v>
      </c>
      <c r="L1952" s="681" t="s">
        <v>3633</v>
      </c>
      <c r="M1952" s="684">
        <v>1300</v>
      </c>
      <c r="N1952" s="654"/>
      <c r="O1952" s="685"/>
      <c r="P1952" s="643"/>
    </row>
    <row r="1953" spans="1:16" s="619" customFormat="1" ht="36" x14ac:dyDescent="0.2">
      <c r="A1953" s="626" t="s">
        <v>4789</v>
      </c>
      <c r="B1953" s="626" t="s">
        <v>2032</v>
      </c>
      <c r="C1953" s="638" t="s">
        <v>108</v>
      </c>
      <c r="D1953" s="626" t="s">
        <v>4965</v>
      </c>
      <c r="E1953" s="636">
        <v>1500</v>
      </c>
      <c r="F1953" s="637"/>
      <c r="G1953" s="626" t="s">
        <v>4901</v>
      </c>
      <c r="H1953" s="638"/>
      <c r="I1953" s="626"/>
      <c r="J1953" s="638"/>
      <c r="K1953" s="645">
        <v>1</v>
      </c>
      <c r="L1953" s="681" t="s">
        <v>3633</v>
      </c>
      <c r="M1953" s="684">
        <v>1500</v>
      </c>
      <c r="N1953" s="654"/>
      <c r="O1953" s="685"/>
      <c r="P1953" s="643"/>
    </row>
    <row r="1954" spans="1:16" s="619" customFormat="1" ht="24" x14ac:dyDescent="0.2">
      <c r="A1954" s="626" t="s">
        <v>4789</v>
      </c>
      <c r="B1954" s="626" t="s">
        <v>2032</v>
      </c>
      <c r="C1954" s="638" t="s">
        <v>108</v>
      </c>
      <c r="D1954" s="626" t="s">
        <v>5034</v>
      </c>
      <c r="E1954" s="636">
        <v>2250</v>
      </c>
      <c r="F1954" s="637"/>
      <c r="G1954" s="626" t="s">
        <v>4905</v>
      </c>
      <c r="H1954" s="638"/>
      <c r="I1954" s="626"/>
      <c r="J1954" s="638"/>
      <c r="K1954" s="645">
        <v>1</v>
      </c>
      <c r="L1954" s="681" t="s">
        <v>3633</v>
      </c>
      <c r="M1954" s="684">
        <v>2250</v>
      </c>
      <c r="N1954" s="654"/>
      <c r="O1954" s="685"/>
      <c r="P1954" s="643"/>
    </row>
    <row r="1955" spans="1:16" s="619" customFormat="1" ht="36" x14ac:dyDescent="0.2">
      <c r="A1955" s="626" t="s">
        <v>4789</v>
      </c>
      <c r="B1955" s="626" t="s">
        <v>2032</v>
      </c>
      <c r="C1955" s="638" t="s">
        <v>108</v>
      </c>
      <c r="D1955" s="626" t="s">
        <v>4934</v>
      </c>
      <c r="E1955" s="636">
        <v>1500</v>
      </c>
      <c r="F1955" s="637"/>
      <c r="G1955" s="626" t="s">
        <v>4935</v>
      </c>
      <c r="H1955" s="638"/>
      <c r="I1955" s="626"/>
      <c r="J1955" s="638"/>
      <c r="K1955" s="645">
        <v>1</v>
      </c>
      <c r="L1955" s="681" t="s">
        <v>3633</v>
      </c>
      <c r="M1955" s="684">
        <v>1500</v>
      </c>
      <c r="N1955" s="654"/>
      <c r="O1955" s="685"/>
      <c r="P1955" s="643"/>
    </row>
    <row r="1956" spans="1:16" s="619" customFormat="1" ht="24" x14ac:dyDescent="0.2">
      <c r="A1956" s="626" t="s">
        <v>4789</v>
      </c>
      <c r="B1956" s="626" t="s">
        <v>2032</v>
      </c>
      <c r="C1956" s="638" t="s">
        <v>108</v>
      </c>
      <c r="D1956" s="626" t="s">
        <v>4986</v>
      </c>
      <c r="E1956" s="636">
        <v>1300</v>
      </c>
      <c r="F1956" s="637"/>
      <c r="G1956" s="626" t="s">
        <v>4983</v>
      </c>
      <c r="H1956" s="638"/>
      <c r="I1956" s="626"/>
      <c r="J1956" s="638"/>
      <c r="K1956" s="645">
        <v>1</v>
      </c>
      <c r="L1956" s="681" t="s">
        <v>3633</v>
      </c>
      <c r="M1956" s="684">
        <v>1300</v>
      </c>
      <c r="N1956" s="654"/>
      <c r="O1956" s="685"/>
      <c r="P1956" s="643"/>
    </row>
    <row r="1957" spans="1:16" s="619" customFormat="1" ht="36" x14ac:dyDescent="0.2">
      <c r="A1957" s="626" t="s">
        <v>4789</v>
      </c>
      <c r="B1957" s="626" t="s">
        <v>2032</v>
      </c>
      <c r="C1957" s="638" t="s">
        <v>108</v>
      </c>
      <c r="D1957" s="626" t="s">
        <v>4953</v>
      </c>
      <c r="E1957" s="636">
        <v>2250</v>
      </c>
      <c r="F1957" s="637"/>
      <c r="G1957" s="626" t="s">
        <v>4883</v>
      </c>
      <c r="H1957" s="638"/>
      <c r="I1957" s="626"/>
      <c r="J1957" s="638"/>
      <c r="K1957" s="645">
        <v>1</v>
      </c>
      <c r="L1957" s="681" t="s">
        <v>3633</v>
      </c>
      <c r="M1957" s="684">
        <v>2250</v>
      </c>
      <c r="N1957" s="654"/>
      <c r="O1957" s="685"/>
      <c r="P1957" s="643"/>
    </row>
    <row r="1958" spans="1:16" s="619" customFormat="1" ht="24" x14ac:dyDescent="0.2">
      <c r="A1958" s="626" t="s">
        <v>4789</v>
      </c>
      <c r="B1958" s="626" t="s">
        <v>2032</v>
      </c>
      <c r="C1958" s="638" t="s">
        <v>108</v>
      </c>
      <c r="D1958" s="626" t="s">
        <v>4875</v>
      </c>
      <c r="E1958" s="636">
        <v>1750</v>
      </c>
      <c r="F1958" s="637"/>
      <c r="G1958" s="626" t="s">
        <v>2625</v>
      </c>
      <c r="H1958" s="638"/>
      <c r="I1958" s="626"/>
      <c r="J1958" s="638"/>
      <c r="K1958" s="645">
        <v>1</v>
      </c>
      <c r="L1958" s="681" t="s">
        <v>3633</v>
      </c>
      <c r="M1958" s="684">
        <v>1750</v>
      </c>
      <c r="N1958" s="654"/>
      <c r="O1958" s="685"/>
      <c r="P1958" s="643"/>
    </row>
    <row r="1959" spans="1:16" s="619" customFormat="1" ht="24" x14ac:dyDescent="0.2">
      <c r="A1959" s="626" t="s">
        <v>4789</v>
      </c>
      <c r="B1959" s="626" t="s">
        <v>2032</v>
      </c>
      <c r="C1959" s="638" t="s">
        <v>108</v>
      </c>
      <c r="D1959" s="626" t="s">
        <v>4898</v>
      </c>
      <c r="E1959" s="636">
        <v>1500</v>
      </c>
      <c r="F1959" s="637"/>
      <c r="G1959" s="626" t="s">
        <v>5022</v>
      </c>
      <c r="H1959" s="638"/>
      <c r="I1959" s="626"/>
      <c r="J1959" s="638"/>
      <c r="K1959" s="645">
        <v>1</v>
      </c>
      <c r="L1959" s="681" t="s">
        <v>3633</v>
      </c>
      <c r="M1959" s="684">
        <v>1500</v>
      </c>
      <c r="N1959" s="654"/>
      <c r="O1959" s="685"/>
      <c r="P1959" s="643"/>
    </row>
    <row r="1960" spans="1:16" s="619" customFormat="1" ht="24" x14ac:dyDescent="0.2">
      <c r="A1960" s="626" t="s">
        <v>4789</v>
      </c>
      <c r="B1960" s="626" t="s">
        <v>2032</v>
      </c>
      <c r="C1960" s="638" t="s">
        <v>108</v>
      </c>
      <c r="D1960" s="626" t="s">
        <v>5005</v>
      </c>
      <c r="E1960" s="636">
        <v>1500</v>
      </c>
      <c r="F1960" s="637"/>
      <c r="G1960" s="626" t="s">
        <v>4854</v>
      </c>
      <c r="H1960" s="638"/>
      <c r="I1960" s="626"/>
      <c r="J1960" s="638"/>
      <c r="K1960" s="645">
        <v>1</v>
      </c>
      <c r="L1960" s="681" t="s">
        <v>3633</v>
      </c>
      <c r="M1960" s="684">
        <v>1500</v>
      </c>
      <c r="N1960" s="654"/>
      <c r="O1960" s="685"/>
      <c r="P1960" s="643"/>
    </row>
    <row r="1961" spans="1:16" s="619" customFormat="1" ht="36" x14ac:dyDescent="0.2">
      <c r="A1961" s="626" t="s">
        <v>4789</v>
      </c>
      <c r="B1961" s="626" t="s">
        <v>2032</v>
      </c>
      <c r="C1961" s="638" t="s">
        <v>108</v>
      </c>
      <c r="D1961" s="626" t="s">
        <v>1917</v>
      </c>
      <c r="E1961" s="636">
        <v>550</v>
      </c>
      <c r="F1961" s="637"/>
      <c r="G1961" s="626" t="s">
        <v>4979</v>
      </c>
      <c r="H1961" s="638"/>
      <c r="I1961" s="626"/>
      <c r="J1961" s="638"/>
      <c r="K1961" s="645">
        <v>1</v>
      </c>
      <c r="L1961" s="681" t="s">
        <v>3633</v>
      </c>
      <c r="M1961" s="684">
        <v>550</v>
      </c>
      <c r="N1961" s="654"/>
      <c r="O1961" s="685"/>
      <c r="P1961" s="643"/>
    </row>
    <row r="1962" spans="1:16" s="619" customFormat="1" ht="36" x14ac:dyDescent="0.2">
      <c r="A1962" s="626" t="s">
        <v>4789</v>
      </c>
      <c r="B1962" s="626" t="s">
        <v>2032</v>
      </c>
      <c r="C1962" s="638" t="s">
        <v>108</v>
      </c>
      <c r="D1962" s="626" t="s">
        <v>5035</v>
      </c>
      <c r="E1962" s="636">
        <v>875</v>
      </c>
      <c r="F1962" s="637"/>
      <c r="G1962" s="626" t="s">
        <v>4979</v>
      </c>
      <c r="H1962" s="638"/>
      <c r="I1962" s="626"/>
      <c r="J1962" s="638"/>
      <c r="K1962" s="645">
        <v>1</v>
      </c>
      <c r="L1962" s="681" t="s">
        <v>3633</v>
      </c>
      <c r="M1962" s="684">
        <v>875</v>
      </c>
      <c r="N1962" s="654"/>
      <c r="O1962" s="685"/>
      <c r="P1962" s="643"/>
    </row>
    <row r="1963" spans="1:16" s="619" customFormat="1" ht="36" x14ac:dyDescent="0.2">
      <c r="A1963" s="626" t="s">
        <v>4789</v>
      </c>
      <c r="B1963" s="626" t="s">
        <v>2032</v>
      </c>
      <c r="C1963" s="638" t="s">
        <v>108</v>
      </c>
      <c r="D1963" s="626" t="s">
        <v>4969</v>
      </c>
      <c r="E1963" s="636">
        <v>1750</v>
      </c>
      <c r="F1963" s="637"/>
      <c r="G1963" s="626" t="s">
        <v>4903</v>
      </c>
      <c r="H1963" s="638"/>
      <c r="I1963" s="626"/>
      <c r="J1963" s="638"/>
      <c r="K1963" s="645">
        <v>1</v>
      </c>
      <c r="L1963" s="681" t="s">
        <v>3633</v>
      </c>
      <c r="M1963" s="684">
        <v>1750</v>
      </c>
      <c r="N1963" s="654"/>
      <c r="O1963" s="685"/>
      <c r="P1963" s="643"/>
    </row>
    <row r="1964" spans="1:16" s="619" customFormat="1" ht="36" x14ac:dyDescent="0.2">
      <c r="A1964" s="626" t="s">
        <v>4789</v>
      </c>
      <c r="B1964" s="626" t="s">
        <v>2032</v>
      </c>
      <c r="C1964" s="638" t="s">
        <v>108</v>
      </c>
      <c r="D1964" s="626" t="s">
        <v>5036</v>
      </c>
      <c r="E1964" s="636">
        <v>1500</v>
      </c>
      <c r="F1964" s="637"/>
      <c r="G1964" s="626" t="s">
        <v>4901</v>
      </c>
      <c r="H1964" s="638"/>
      <c r="I1964" s="626"/>
      <c r="J1964" s="638"/>
      <c r="K1964" s="645">
        <v>1</v>
      </c>
      <c r="L1964" s="681" t="s">
        <v>5037</v>
      </c>
      <c r="M1964" s="684">
        <v>1500</v>
      </c>
      <c r="N1964" s="654"/>
      <c r="O1964" s="685"/>
      <c r="P1964" s="643"/>
    </row>
    <row r="1965" spans="1:16" s="619" customFormat="1" ht="36" x14ac:dyDescent="0.2">
      <c r="A1965" s="626" t="s">
        <v>4789</v>
      </c>
      <c r="B1965" s="626" t="s">
        <v>2032</v>
      </c>
      <c r="C1965" s="638" t="s">
        <v>108</v>
      </c>
      <c r="D1965" s="626" t="s">
        <v>4922</v>
      </c>
      <c r="E1965" s="636">
        <v>1300</v>
      </c>
      <c r="F1965" s="637"/>
      <c r="G1965" s="626" t="s">
        <v>4923</v>
      </c>
      <c r="H1965" s="638"/>
      <c r="I1965" s="626"/>
      <c r="J1965" s="638"/>
      <c r="K1965" s="645">
        <v>1</v>
      </c>
      <c r="L1965" s="681" t="s">
        <v>5037</v>
      </c>
      <c r="M1965" s="684">
        <v>1300</v>
      </c>
      <c r="N1965" s="654"/>
      <c r="O1965" s="685"/>
      <c r="P1965" s="643"/>
    </row>
    <row r="1966" spans="1:16" s="619" customFormat="1" ht="24" x14ac:dyDescent="0.2">
      <c r="A1966" s="626" t="s">
        <v>4789</v>
      </c>
      <c r="B1966" s="626" t="s">
        <v>2032</v>
      </c>
      <c r="C1966" s="638" t="s">
        <v>108</v>
      </c>
      <c r="D1966" s="626" t="s">
        <v>4860</v>
      </c>
      <c r="E1966" s="636">
        <v>1300</v>
      </c>
      <c r="F1966" s="637"/>
      <c r="G1966" s="626" t="s">
        <v>4925</v>
      </c>
      <c r="H1966" s="638"/>
      <c r="I1966" s="626"/>
      <c r="J1966" s="638"/>
      <c r="K1966" s="645">
        <v>1</v>
      </c>
      <c r="L1966" s="681" t="s">
        <v>5037</v>
      </c>
      <c r="M1966" s="684">
        <v>1300</v>
      </c>
      <c r="N1966" s="654"/>
      <c r="O1966" s="685"/>
      <c r="P1966" s="643"/>
    </row>
    <row r="1967" spans="1:16" s="619" customFormat="1" ht="36" x14ac:dyDescent="0.2">
      <c r="A1967" s="626" t="s">
        <v>4789</v>
      </c>
      <c r="B1967" s="626" t="s">
        <v>2032</v>
      </c>
      <c r="C1967" s="638" t="s">
        <v>108</v>
      </c>
      <c r="D1967" s="626" t="s">
        <v>4969</v>
      </c>
      <c r="E1967" s="636">
        <v>1500</v>
      </c>
      <c r="F1967" s="637"/>
      <c r="G1967" s="626" t="s">
        <v>4903</v>
      </c>
      <c r="H1967" s="638"/>
      <c r="I1967" s="626"/>
      <c r="J1967" s="638"/>
      <c r="K1967" s="645">
        <v>1</v>
      </c>
      <c r="L1967" s="681" t="s">
        <v>5037</v>
      </c>
      <c r="M1967" s="684">
        <v>1500</v>
      </c>
      <c r="N1967" s="654"/>
      <c r="O1967" s="685"/>
      <c r="P1967" s="643"/>
    </row>
    <row r="1968" spans="1:16" s="619" customFormat="1" ht="36" x14ac:dyDescent="0.2">
      <c r="A1968" s="626" t="s">
        <v>4789</v>
      </c>
      <c r="B1968" s="626" t="s">
        <v>2032</v>
      </c>
      <c r="C1968" s="638" t="s">
        <v>108</v>
      </c>
      <c r="D1968" s="626" t="s">
        <v>5038</v>
      </c>
      <c r="E1968" s="636">
        <v>1300</v>
      </c>
      <c r="F1968" s="637"/>
      <c r="G1968" s="626" t="s">
        <v>5031</v>
      </c>
      <c r="H1968" s="638"/>
      <c r="I1968" s="626"/>
      <c r="J1968" s="638"/>
      <c r="K1968" s="645">
        <v>1</v>
      </c>
      <c r="L1968" s="681" t="s">
        <v>5037</v>
      </c>
      <c r="M1968" s="684">
        <v>1300</v>
      </c>
      <c r="N1968" s="654"/>
      <c r="O1968" s="685"/>
      <c r="P1968" s="643"/>
    </row>
    <row r="1969" spans="1:16" s="619" customFormat="1" ht="24" x14ac:dyDescent="0.2">
      <c r="A1969" s="626" t="s">
        <v>4789</v>
      </c>
      <c r="B1969" s="626" t="s">
        <v>2032</v>
      </c>
      <c r="C1969" s="638" t="s">
        <v>108</v>
      </c>
      <c r="D1969" s="626" t="s">
        <v>5039</v>
      </c>
      <c r="E1969" s="636">
        <v>1300</v>
      </c>
      <c r="F1969" s="637"/>
      <c r="G1969" s="626" t="s">
        <v>4859</v>
      </c>
      <c r="H1969" s="638"/>
      <c r="I1969" s="626"/>
      <c r="J1969" s="638"/>
      <c r="K1969" s="645">
        <v>1</v>
      </c>
      <c r="L1969" s="681" t="s">
        <v>5037</v>
      </c>
      <c r="M1969" s="684">
        <v>1300</v>
      </c>
      <c r="N1969" s="654"/>
      <c r="O1969" s="685"/>
      <c r="P1969" s="643"/>
    </row>
    <row r="1970" spans="1:16" s="619" customFormat="1" ht="36" x14ac:dyDescent="0.2">
      <c r="A1970" s="626" t="s">
        <v>4789</v>
      </c>
      <c r="B1970" s="626" t="s">
        <v>2032</v>
      </c>
      <c r="C1970" s="638" t="s">
        <v>108</v>
      </c>
      <c r="D1970" s="626" t="s">
        <v>1917</v>
      </c>
      <c r="E1970" s="636">
        <v>1100</v>
      </c>
      <c r="F1970" s="637"/>
      <c r="G1970" s="626" t="s">
        <v>4846</v>
      </c>
      <c r="H1970" s="638"/>
      <c r="I1970" s="626"/>
      <c r="J1970" s="638"/>
      <c r="K1970" s="645">
        <v>1</v>
      </c>
      <c r="L1970" s="681" t="s">
        <v>5037</v>
      </c>
      <c r="M1970" s="684">
        <v>1100</v>
      </c>
      <c r="N1970" s="654"/>
      <c r="O1970" s="685"/>
      <c r="P1970" s="643"/>
    </row>
    <row r="1971" spans="1:16" s="619" customFormat="1" ht="36" x14ac:dyDescent="0.2">
      <c r="A1971" s="626" t="s">
        <v>4789</v>
      </c>
      <c r="B1971" s="626" t="s">
        <v>2032</v>
      </c>
      <c r="C1971" s="638" t="s">
        <v>108</v>
      </c>
      <c r="D1971" s="626" t="s">
        <v>4996</v>
      </c>
      <c r="E1971" s="636">
        <v>2800</v>
      </c>
      <c r="F1971" s="637"/>
      <c r="G1971" s="626" t="s">
        <v>4877</v>
      </c>
      <c r="H1971" s="638"/>
      <c r="I1971" s="626"/>
      <c r="J1971" s="638"/>
      <c r="K1971" s="645">
        <v>1</v>
      </c>
      <c r="L1971" s="681" t="s">
        <v>5037</v>
      </c>
      <c r="M1971" s="684">
        <v>2800</v>
      </c>
      <c r="N1971" s="654"/>
      <c r="O1971" s="685"/>
      <c r="P1971" s="643"/>
    </row>
    <row r="1972" spans="1:16" s="619" customFormat="1" ht="24" x14ac:dyDescent="0.2">
      <c r="A1972" s="626" t="s">
        <v>4789</v>
      </c>
      <c r="B1972" s="626" t="s">
        <v>2032</v>
      </c>
      <c r="C1972" s="638" t="s">
        <v>108</v>
      </c>
      <c r="D1972" s="626" t="s">
        <v>5040</v>
      </c>
      <c r="E1972" s="636">
        <v>1500</v>
      </c>
      <c r="F1972" s="637"/>
      <c r="G1972" s="626" t="s">
        <v>4865</v>
      </c>
      <c r="H1972" s="638"/>
      <c r="I1972" s="626"/>
      <c r="J1972" s="638"/>
      <c r="K1972" s="645">
        <v>1</v>
      </c>
      <c r="L1972" s="681" t="s">
        <v>5037</v>
      </c>
      <c r="M1972" s="684">
        <v>1500</v>
      </c>
      <c r="N1972" s="654"/>
      <c r="O1972" s="685"/>
      <c r="P1972" s="643"/>
    </row>
    <row r="1973" spans="1:16" s="619" customFormat="1" ht="24" x14ac:dyDescent="0.2">
      <c r="A1973" s="626" t="s">
        <v>4789</v>
      </c>
      <c r="B1973" s="626" t="s">
        <v>2032</v>
      </c>
      <c r="C1973" s="638" t="s">
        <v>108</v>
      </c>
      <c r="D1973" s="626" t="s">
        <v>5041</v>
      </c>
      <c r="E1973" s="636">
        <v>1500</v>
      </c>
      <c r="F1973" s="637"/>
      <c r="G1973" s="626" t="s">
        <v>5001</v>
      </c>
      <c r="H1973" s="638"/>
      <c r="I1973" s="626"/>
      <c r="J1973" s="638"/>
      <c r="K1973" s="645">
        <v>1</v>
      </c>
      <c r="L1973" s="681" t="s">
        <v>5037</v>
      </c>
      <c r="M1973" s="684">
        <v>1500</v>
      </c>
      <c r="N1973" s="654"/>
      <c r="O1973" s="685"/>
      <c r="P1973" s="643"/>
    </row>
    <row r="1974" spans="1:16" s="619" customFormat="1" ht="24" x14ac:dyDescent="0.2">
      <c r="A1974" s="626" t="s">
        <v>4789</v>
      </c>
      <c r="B1974" s="626" t="s">
        <v>2032</v>
      </c>
      <c r="C1974" s="638" t="s">
        <v>108</v>
      </c>
      <c r="D1974" s="626" t="s">
        <v>4966</v>
      </c>
      <c r="E1974" s="636">
        <v>1500</v>
      </c>
      <c r="F1974" s="637"/>
      <c r="G1974" s="626" t="s">
        <v>4874</v>
      </c>
      <c r="H1974" s="638"/>
      <c r="I1974" s="626"/>
      <c r="J1974" s="638"/>
      <c r="K1974" s="645">
        <v>1</v>
      </c>
      <c r="L1974" s="681" t="s">
        <v>5037</v>
      </c>
      <c r="M1974" s="684">
        <v>1500</v>
      </c>
      <c r="N1974" s="654"/>
      <c r="O1974" s="685"/>
      <c r="P1974" s="643"/>
    </row>
    <row r="1975" spans="1:16" s="619" customFormat="1" ht="36" x14ac:dyDescent="0.2">
      <c r="A1975" s="626" t="s">
        <v>4789</v>
      </c>
      <c r="B1975" s="626" t="s">
        <v>2032</v>
      </c>
      <c r="C1975" s="638" t="s">
        <v>108</v>
      </c>
      <c r="D1975" s="626" t="s">
        <v>3776</v>
      </c>
      <c r="E1975" s="636">
        <v>1000</v>
      </c>
      <c r="F1975" s="637"/>
      <c r="G1975" s="626" t="s">
        <v>5023</v>
      </c>
      <c r="H1975" s="638"/>
      <c r="I1975" s="626"/>
      <c r="J1975" s="638"/>
      <c r="K1975" s="645">
        <v>1</v>
      </c>
      <c r="L1975" s="681" t="s">
        <v>5037</v>
      </c>
      <c r="M1975" s="684">
        <v>1000</v>
      </c>
      <c r="N1975" s="654"/>
      <c r="O1975" s="685"/>
      <c r="P1975" s="643"/>
    </row>
    <row r="1976" spans="1:16" s="619" customFormat="1" ht="24" x14ac:dyDescent="0.2">
      <c r="A1976" s="626" t="s">
        <v>4789</v>
      </c>
      <c r="B1976" s="626" t="s">
        <v>2032</v>
      </c>
      <c r="C1976" s="638" t="s">
        <v>108</v>
      </c>
      <c r="D1976" s="626" t="s">
        <v>1917</v>
      </c>
      <c r="E1976" s="636">
        <v>1100</v>
      </c>
      <c r="F1976" s="637"/>
      <c r="G1976" s="626" t="s">
        <v>5020</v>
      </c>
      <c r="H1976" s="638"/>
      <c r="I1976" s="626"/>
      <c r="J1976" s="638"/>
      <c r="K1976" s="645">
        <v>1</v>
      </c>
      <c r="L1976" s="681" t="s">
        <v>5037</v>
      </c>
      <c r="M1976" s="684">
        <v>1100</v>
      </c>
      <c r="N1976" s="654"/>
      <c r="O1976" s="685"/>
      <c r="P1976" s="643"/>
    </row>
    <row r="1977" spans="1:16" s="619" customFormat="1" ht="24" x14ac:dyDescent="0.2">
      <c r="A1977" s="626" t="s">
        <v>4789</v>
      </c>
      <c r="B1977" s="626" t="s">
        <v>2032</v>
      </c>
      <c r="C1977" s="638" t="s">
        <v>108</v>
      </c>
      <c r="D1977" s="626" t="s">
        <v>3776</v>
      </c>
      <c r="E1977" s="636">
        <v>1000</v>
      </c>
      <c r="F1977" s="637"/>
      <c r="G1977" s="626" t="s">
        <v>4851</v>
      </c>
      <c r="H1977" s="638"/>
      <c r="I1977" s="626"/>
      <c r="J1977" s="638"/>
      <c r="K1977" s="645">
        <v>1</v>
      </c>
      <c r="L1977" s="681" t="s">
        <v>5037</v>
      </c>
      <c r="M1977" s="684">
        <v>1000</v>
      </c>
      <c r="N1977" s="654"/>
      <c r="O1977" s="685"/>
      <c r="P1977" s="643"/>
    </row>
    <row r="1978" spans="1:16" s="619" customFormat="1" ht="24" x14ac:dyDescent="0.2">
      <c r="A1978" s="626" t="s">
        <v>4789</v>
      </c>
      <c r="B1978" s="626" t="s">
        <v>2032</v>
      </c>
      <c r="C1978" s="638" t="s">
        <v>108</v>
      </c>
      <c r="D1978" s="626" t="s">
        <v>4919</v>
      </c>
      <c r="E1978" s="636">
        <v>2200</v>
      </c>
      <c r="F1978" s="637"/>
      <c r="G1978" s="626" t="s">
        <v>5008</v>
      </c>
      <c r="H1978" s="638"/>
      <c r="I1978" s="626"/>
      <c r="J1978" s="638"/>
      <c r="K1978" s="645">
        <v>1</v>
      </c>
      <c r="L1978" s="681" t="s">
        <v>5037</v>
      </c>
      <c r="M1978" s="684">
        <v>2200</v>
      </c>
      <c r="N1978" s="654"/>
      <c r="O1978" s="685"/>
      <c r="P1978" s="643"/>
    </row>
    <row r="1979" spans="1:16" s="619" customFormat="1" ht="24" x14ac:dyDescent="0.2">
      <c r="A1979" s="626" t="s">
        <v>4789</v>
      </c>
      <c r="B1979" s="626" t="s">
        <v>2032</v>
      </c>
      <c r="C1979" s="638" t="s">
        <v>108</v>
      </c>
      <c r="D1979" s="626" t="s">
        <v>5042</v>
      </c>
      <c r="E1979" s="636">
        <v>2000</v>
      </c>
      <c r="F1979" s="637"/>
      <c r="G1979" s="626" t="s">
        <v>5043</v>
      </c>
      <c r="H1979" s="638"/>
      <c r="I1979" s="626"/>
      <c r="J1979" s="638"/>
      <c r="K1979" s="645">
        <v>1</v>
      </c>
      <c r="L1979" s="681" t="s">
        <v>5037</v>
      </c>
      <c r="M1979" s="684">
        <v>2000</v>
      </c>
      <c r="N1979" s="654"/>
      <c r="O1979" s="685"/>
      <c r="P1979" s="643"/>
    </row>
    <row r="1980" spans="1:16" s="619" customFormat="1" ht="24" x14ac:dyDescent="0.2">
      <c r="A1980" s="626" t="s">
        <v>4789</v>
      </c>
      <c r="B1980" s="626" t="s">
        <v>2032</v>
      </c>
      <c r="C1980" s="638" t="s">
        <v>108</v>
      </c>
      <c r="D1980" s="626" t="s">
        <v>5044</v>
      </c>
      <c r="E1980" s="636">
        <v>1000</v>
      </c>
      <c r="F1980" s="637"/>
      <c r="G1980" s="626" t="s">
        <v>5045</v>
      </c>
      <c r="H1980" s="638"/>
      <c r="I1980" s="626"/>
      <c r="J1980" s="638"/>
      <c r="K1980" s="645">
        <v>1</v>
      </c>
      <c r="L1980" s="681" t="s">
        <v>5037</v>
      </c>
      <c r="M1980" s="684">
        <v>1000</v>
      </c>
      <c r="N1980" s="654"/>
      <c r="O1980" s="685"/>
      <c r="P1980" s="643"/>
    </row>
    <row r="1981" spans="1:16" s="619" customFormat="1" ht="24" x14ac:dyDescent="0.2">
      <c r="A1981" s="626" t="s">
        <v>4789</v>
      </c>
      <c r="B1981" s="626" t="s">
        <v>2032</v>
      </c>
      <c r="C1981" s="638" t="s">
        <v>108</v>
      </c>
      <c r="D1981" s="626" t="s">
        <v>5046</v>
      </c>
      <c r="E1981" s="636">
        <v>1300</v>
      </c>
      <c r="F1981" s="637"/>
      <c r="G1981" s="626" t="s">
        <v>4848</v>
      </c>
      <c r="H1981" s="638"/>
      <c r="I1981" s="626"/>
      <c r="J1981" s="638"/>
      <c r="K1981" s="645">
        <v>1</v>
      </c>
      <c r="L1981" s="681" t="s">
        <v>5037</v>
      </c>
      <c r="M1981" s="684">
        <v>1300</v>
      </c>
      <c r="N1981" s="654"/>
      <c r="O1981" s="685"/>
      <c r="P1981" s="643"/>
    </row>
    <row r="1982" spans="1:16" s="619" customFormat="1" ht="36" x14ac:dyDescent="0.2">
      <c r="A1982" s="626" t="s">
        <v>4789</v>
      </c>
      <c r="B1982" s="626" t="s">
        <v>2032</v>
      </c>
      <c r="C1982" s="638" t="s">
        <v>108</v>
      </c>
      <c r="D1982" s="626" t="s">
        <v>4994</v>
      </c>
      <c r="E1982" s="636">
        <v>800</v>
      </c>
      <c r="F1982" s="637"/>
      <c r="G1982" s="626" t="s">
        <v>5047</v>
      </c>
      <c r="H1982" s="638"/>
      <c r="I1982" s="626"/>
      <c r="J1982" s="638"/>
      <c r="K1982" s="645">
        <v>1</v>
      </c>
      <c r="L1982" s="681" t="s">
        <v>5037</v>
      </c>
      <c r="M1982" s="684">
        <v>800</v>
      </c>
      <c r="N1982" s="654"/>
      <c r="O1982" s="685"/>
      <c r="P1982" s="643"/>
    </row>
    <row r="1983" spans="1:16" s="619" customFormat="1" ht="24" x14ac:dyDescent="0.2">
      <c r="A1983" s="626" t="s">
        <v>4789</v>
      </c>
      <c r="B1983" s="626" t="s">
        <v>2032</v>
      </c>
      <c r="C1983" s="638" t="s">
        <v>108</v>
      </c>
      <c r="D1983" s="626" t="s">
        <v>5048</v>
      </c>
      <c r="E1983" s="636">
        <v>900</v>
      </c>
      <c r="F1983" s="637"/>
      <c r="G1983" s="626" t="s">
        <v>4885</v>
      </c>
      <c r="H1983" s="638"/>
      <c r="I1983" s="626"/>
      <c r="J1983" s="638"/>
      <c r="K1983" s="645">
        <v>1</v>
      </c>
      <c r="L1983" s="681" t="s">
        <v>5037</v>
      </c>
      <c r="M1983" s="684">
        <v>900</v>
      </c>
      <c r="N1983" s="654"/>
      <c r="O1983" s="685"/>
      <c r="P1983" s="643"/>
    </row>
    <row r="1984" spans="1:16" s="619" customFormat="1" ht="36" x14ac:dyDescent="0.2">
      <c r="A1984" s="626" t="s">
        <v>4789</v>
      </c>
      <c r="B1984" s="626" t="s">
        <v>2032</v>
      </c>
      <c r="C1984" s="638" t="s">
        <v>108</v>
      </c>
      <c r="D1984" s="626" t="s">
        <v>5034</v>
      </c>
      <c r="E1984" s="636">
        <v>1546.66</v>
      </c>
      <c r="F1984" s="637"/>
      <c r="G1984" s="626" t="s">
        <v>2816</v>
      </c>
      <c r="H1984" s="638"/>
      <c r="I1984" s="626"/>
      <c r="J1984" s="638"/>
      <c r="K1984" s="645">
        <v>1</v>
      </c>
      <c r="L1984" s="681" t="s">
        <v>5037</v>
      </c>
      <c r="M1984" s="684">
        <v>1546.66</v>
      </c>
      <c r="N1984" s="654"/>
      <c r="O1984" s="685"/>
      <c r="P1984" s="643"/>
    </row>
    <row r="1985" spans="1:16" s="619" customFormat="1" ht="24" x14ac:dyDescent="0.2">
      <c r="A1985" s="626" t="s">
        <v>4789</v>
      </c>
      <c r="B1985" s="626" t="s">
        <v>2032</v>
      </c>
      <c r="C1985" s="638" t="s">
        <v>108</v>
      </c>
      <c r="D1985" s="626" t="s">
        <v>5034</v>
      </c>
      <c r="E1985" s="636">
        <v>2000</v>
      </c>
      <c r="F1985" s="637"/>
      <c r="G1985" s="626" t="s">
        <v>4905</v>
      </c>
      <c r="H1985" s="638"/>
      <c r="I1985" s="626"/>
      <c r="J1985" s="638"/>
      <c r="K1985" s="645">
        <v>1</v>
      </c>
      <c r="L1985" s="681" t="s">
        <v>5037</v>
      </c>
      <c r="M1985" s="684">
        <v>2000</v>
      </c>
      <c r="N1985" s="654"/>
      <c r="O1985" s="685"/>
      <c r="P1985" s="643"/>
    </row>
    <row r="1986" spans="1:16" s="619" customFormat="1" ht="36" x14ac:dyDescent="0.2">
      <c r="A1986" s="626" t="s">
        <v>4789</v>
      </c>
      <c r="B1986" s="626" t="s">
        <v>2032</v>
      </c>
      <c r="C1986" s="638" t="s">
        <v>108</v>
      </c>
      <c r="D1986" s="626" t="s">
        <v>4934</v>
      </c>
      <c r="E1986" s="636">
        <v>1500</v>
      </c>
      <c r="F1986" s="637"/>
      <c r="G1986" s="626" t="s">
        <v>4935</v>
      </c>
      <c r="H1986" s="638"/>
      <c r="I1986" s="626"/>
      <c r="J1986" s="638"/>
      <c r="K1986" s="645">
        <v>1</v>
      </c>
      <c r="L1986" s="681" t="s">
        <v>5037</v>
      </c>
      <c r="M1986" s="684">
        <v>1500</v>
      </c>
      <c r="N1986" s="654"/>
      <c r="O1986" s="685"/>
      <c r="P1986" s="643"/>
    </row>
    <row r="1987" spans="1:16" s="619" customFormat="1" ht="24" x14ac:dyDescent="0.2">
      <c r="A1987" s="626" t="s">
        <v>4789</v>
      </c>
      <c r="B1987" s="626" t="s">
        <v>1908</v>
      </c>
      <c r="C1987" s="638" t="s">
        <v>108</v>
      </c>
      <c r="D1987" s="626" t="s">
        <v>4898</v>
      </c>
      <c r="E1987" s="636">
        <v>2100</v>
      </c>
      <c r="F1987" s="637"/>
      <c r="G1987" s="626" t="s">
        <v>5022</v>
      </c>
      <c r="H1987" s="638"/>
      <c r="I1987" s="626"/>
      <c r="J1987" s="638"/>
      <c r="K1987" s="645">
        <v>1</v>
      </c>
      <c r="L1987" s="681" t="s">
        <v>5037</v>
      </c>
      <c r="M1987" s="684">
        <v>2100</v>
      </c>
      <c r="N1987" s="654"/>
      <c r="O1987" s="685"/>
      <c r="P1987" s="643"/>
    </row>
    <row r="1988" spans="1:16" s="619" customFormat="1" ht="24" x14ac:dyDescent="0.2">
      <c r="A1988" s="626" t="s">
        <v>4789</v>
      </c>
      <c r="B1988" s="626" t="s">
        <v>1908</v>
      </c>
      <c r="C1988" s="638" t="s">
        <v>108</v>
      </c>
      <c r="D1988" s="626" t="s">
        <v>5049</v>
      </c>
      <c r="E1988" s="636">
        <v>1300</v>
      </c>
      <c r="F1988" s="637"/>
      <c r="G1988" s="626" t="s">
        <v>4983</v>
      </c>
      <c r="H1988" s="638"/>
      <c r="I1988" s="626"/>
      <c r="J1988" s="638"/>
      <c r="K1988" s="645">
        <v>1</v>
      </c>
      <c r="L1988" s="681" t="s">
        <v>5037</v>
      </c>
      <c r="M1988" s="684">
        <v>1300</v>
      </c>
      <c r="N1988" s="654"/>
      <c r="O1988" s="685"/>
      <c r="P1988" s="643"/>
    </row>
    <row r="1989" spans="1:16" s="619" customFormat="1" ht="36" x14ac:dyDescent="0.2">
      <c r="A1989" s="626" t="s">
        <v>4789</v>
      </c>
      <c r="B1989" s="626" t="s">
        <v>2032</v>
      </c>
      <c r="C1989" s="638" t="s">
        <v>108</v>
      </c>
      <c r="D1989" s="626" t="s">
        <v>5050</v>
      </c>
      <c r="E1989" s="636">
        <v>950</v>
      </c>
      <c r="F1989" s="637"/>
      <c r="G1989" s="626" t="s">
        <v>5051</v>
      </c>
      <c r="H1989" s="638"/>
      <c r="I1989" s="626"/>
      <c r="J1989" s="638"/>
      <c r="K1989" s="645">
        <v>1</v>
      </c>
      <c r="L1989" s="681" t="s">
        <v>5037</v>
      </c>
      <c r="M1989" s="684">
        <v>950</v>
      </c>
      <c r="N1989" s="654"/>
      <c r="O1989" s="685"/>
      <c r="P1989" s="643"/>
    </row>
    <row r="1990" spans="1:16" s="619" customFormat="1" ht="36" x14ac:dyDescent="0.2">
      <c r="A1990" s="626" t="s">
        <v>4789</v>
      </c>
      <c r="B1990" s="626" t="s">
        <v>2032</v>
      </c>
      <c r="C1990" s="638" t="s">
        <v>108</v>
      </c>
      <c r="D1990" s="626" t="s">
        <v>4976</v>
      </c>
      <c r="E1990" s="636">
        <v>1300</v>
      </c>
      <c r="F1990" s="637"/>
      <c r="G1990" s="626" t="s">
        <v>4945</v>
      </c>
      <c r="H1990" s="638"/>
      <c r="I1990" s="626"/>
      <c r="J1990" s="638"/>
      <c r="K1990" s="645">
        <v>1</v>
      </c>
      <c r="L1990" s="681" t="s">
        <v>5037</v>
      </c>
      <c r="M1990" s="684">
        <v>1300</v>
      </c>
      <c r="N1990" s="654"/>
      <c r="O1990" s="685"/>
      <c r="P1990" s="643"/>
    </row>
    <row r="1991" spans="1:16" s="619" customFormat="1" ht="36" x14ac:dyDescent="0.2">
      <c r="A1991" s="626" t="s">
        <v>4789</v>
      </c>
      <c r="B1991" s="626" t="s">
        <v>2032</v>
      </c>
      <c r="C1991" s="638" t="s">
        <v>108</v>
      </c>
      <c r="D1991" s="626" t="s">
        <v>4878</v>
      </c>
      <c r="E1991" s="636">
        <v>1200</v>
      </c>
      <c r="F1991" s="637"/>
      <c r="G1991" s="626" t="s">
        <v>4959</v>
      </c>
      <c r="H1991" s="638"/>
      <c r="I1991" s="626"/>
      <c r="J1991" s="638"/>
      <c r="K1991" s="645">
        <v>1</v>
      </c>
      <c r="L1991" s="681" t="s">
        <v>5037</v>
      </c>
      <c r="M1991" s="684">
        <v>1200</v>
      </c>
      <c r="N1991" s="654"/>
      <c r="O1991" s="685"/>
      <c r="P1991" s="643"/>
    </row>
    <row r="1992" spans="1:16" s="619" customFormat="1" ht="36" x14ac:dyDescent="0.2">
      <c r="A1992" s="626" t="s">
        <v>4789</v>
      </c>
      <c r="B1992" s="626" t="s">
        <v>2032</v>
      </c>
      <c r="C1992" s="638" t="s">
        <v>108</v>
      </c>
      <c r="D1992" s="626" t="s">
        <v>5052</v>
      </c>
      <c r="E1992" s="636">
        <v>1500</v>
      </c>
      <c r="F1992" s="637"/>
      <c r="G1992" s="626" t="s">
        <v>4998</v>
      </c>
      <c r="H1992" s="638"/>
      <c r="I1992" s="626"/>
      <c r="J1992" s="638"/>
      <c r="K1992" s="645">
        <v>1</v>
      </c>
      <c r="L1992" s="681" t="s">
        <v>5037</v>
      </c>
      <c r="M1992" s="684">
        <v>1500</v>
      </c>
      <c r="N1992" s="654"/>
      <c r="O1992" s="685"/>
      <c r="P1992" s="643"/>
    </row>
    <row r="1993" spans="1:16" s="619" customFormat="1" ht="24" x14ac:dyDescent="0.2">
      <c r="A1993" s="626" t="s">
        <v>4789</v>
      </c>
      <c r="B1993" s="626" t="s">
        <v>2032</v>
      </c>
      <c r="C1993" s="638" t="s">
        <v>108</v>
      </c>
      <c r="D1993" s="626" t="s">
        <v>5053</v>
      </c>
      <c r="E1993" s="636">
        <v>1500</v>
      </c>
      <c r="F1993" s="637"/>
      <c r="G1993" s="626" t="s">
        <v>4975</v>
      </c>
      <c r="H1993" s="638"/>
      <c r="I1993" s="626"/>
      <c r="J1993" s="638"/>
      <c r="K1993" s="645">
        <v>1</v>
      </c>
      <c r="L1993" s="681" t="s">
        <v>5037</v>
      </c>
      <c r="M1993" s="684">
        <v>1500</v>
      </c>
      <c r="N1993" s="654"/>
      <c r="O1993" s="685"/>
      <c r="P1993" s="643"/>
    </row>
    <row r="1994" spans="1:16" s="619" customFormat="1" ht="36" x14ac:dyDescent="0.2">
      <c r="A1994" s="626" t="s">
        <v>4789</v>
      </c>
      <c r="B1994" s="626" t="s">
        <v>2032</v>
      </c>
      <c r="C1994" s="638" t="s">
        <v>108</v>
      </c>
      <c r="D1994" s="626" t="s">
        <v>4866</v>
      </c>
      <c r="E1994" s="636">
        <v>1500</v>
      </c>
      <c r="F1994" s="637"/>
      <c r="G1994" s="626" t="s">
        <v>4932</v>
      </c>
      <c r="H1994" s="638"/>
      <c r="I1994" s="626"/>
      <c r="J1994" s="638"/>
      <c r="K1994" s="645">
        <v>1</v>
      </c>
      <c r="L1994" s="681" t="s">
        <v>5037</v>
      </c>
      <c r="M1994" s="684">
        <v>1500</v>
      </c>
      <c r="N1994" s="654"/>
      <c r="O1994" s="685"/>
      <c r="P1994" s="643"/>
    </row>
    <row r="1995" spans="1:16" s="619" customFormat="1" ht="36" x14ac:dyDescent="0.2">
      <c r="A1995" s="626" t="s">
        <v>4789</v>
      </c>
      <c r="B1995" s="626" t="s">
        <v>2032</v>
      </c>
      <c r="C1995" s="638" t="s">
        <v>108</v>
      </c>
      <c r="D1995" s="626" t="s">
        <v>4984</v>
      </c>
      <c r="E1995" s="636">
        <v>1500</v>
      </c>
      <c r="F1995" s="637"/>
      <c r="G1995" s="626" t="s">
        <v>4979</v>
      </c>
      <c r="H1995" s="638"/>
      <c r="I1995" s="626"/>
      <c r="J1995" s="638"/>
      <c r="K1995" s="645">
        <v>1</v>
      </c>
      <c r="L1995" s="681" t="s">
        <v>5037</v>
      </c>
      <c r="M1995" s="684">
        <v>1500</v>
      </c>
      <c r="N1995" s="654"/>
      <c r="O1995" s="685"/>
      <c r="P1995" s="643"/>
    </row>
    <row r="1996" spans="1:16" s="619" customFormat="1" ht="36" x14ac:dyDescent="0.2">
      <c r="A1996" s="626" t="s">
        <v>4789</v>
      </c>
      <c r="B1996" s="626" t="s">
        <v>2032</v>
      </c>
      <c r="C1996" s="638" t="s">
        <v>108</v>
      </c>
      <c r="D1996" s="626" t="s">
        <v>5011</v>
      </c>
      <c r="E1996" s="636">
        <v>1000</v>
      </c>
      <c r="F1996" s="637"/>
      <c r="G1996" s="626" t="s">
        <v>5054</v>
      </c>
      <c r="H1996" s="638"/>
      <c r="I1996" s="626"/>
      <c r="J1996" s="638"/>
      <c r="K1996" s="645">
        <v>1</v>
      </c>
      <c r="L1996" s="681" t="s">
        <v>5037</v>
      </c>
      <c r="M1996" s="684">
        <v>1000</v>
      </c>
      <c r="N1996" s="654"/>
      <c r="O1996" s="685"/>
      <c r="P1996" s="643"/>
    </row>
    <row r="1997" spans="1:16" s="619" customFormat="1" ht="24" x14ac:dyDescent="0.2">
      <c r="A1997" s="626" t="s">
        <v>4789</v>
      </c>
      <c r="B1997" s="626" t="s">
        <v>2032</v>
      </c>
      <c r="C1997" s="638" t="s">
        <v>108</v>
      </c>
      <c r="D1997" s="626" t="s">
        <v>5055</v>
      </c>
      <c r="E1997" s="636">
        <v>1500</v>
      </c>
      <c r="F1997" s="637"/>
      <c r="G1997" s="626" t="s">
        <v>4854</v>
      </c>
      <c r="H1997" s="638"/>
      <c r="I1997" s="626"/>
      <c r="J1997" s="638"/>
      <c r="K1997" s="645">
        <v>1</v>
      </c>
      <c r="L1997" s="681" t="s">
        <v>5037</v>
      </c>
      <c r="M1997" s="684">
        <v>1500</v>
      </c>
      <c r="N1997" s="654"/>
      <c r="O1997" s="685"/>
      <c r="P1997" s="643"/>
    </row>
    <row r="1998" spans="1:16" s="619" customFormat="1" ht="24" x14ac:dyDescent="0.2">
      <c r="A1998" s="626" t="s">
        <v>4789</v>
      </c>
      <c r="B1998" s="626" t="s">
        <v>1908</v>
      </c>
      <c r="C1998" s="638" t="s">
        <v>108</v>
      </c>
      <c r="D1998" s="626" t="s">
        <v>5056</v>
      </c>
      <c r="E1998" s="636">
        <v>1750</v>
      </c>
      <c r="F1998" s="637"/>
      <c r="G1998" s="626" t="s">
        <v>2625</v>
      </c>
      <c r="H1998" s="638"/>
      <c r="I1998" s="626"/>
      <c r="J1998" s="638"/>
      <c r="K1998" s="645">
        <v>1</v>
      </c>
      <c r="L1998" s="681" t="s">
        <v>5057</v>
      </c>
      <c r="M1998" s="684">
        <v>1750</v>
      </c>
      <c r="N1998" s="654"/>
      <c r="O1998" s="685"/>
      <c r="P1998" s="643"/>
    </row>
    <row r="1999" spans="1:16" s="619" customFormat="1" ht="36" x14ac:dyDescent="0.2">
      <c r="A1999" s="626" t="s">
        <v>4789</v>
      </c>
      <c r="B1999" s="626" t="s">
        <v>2032</v>
      </c>
      <c r="C1999" s="638" t="s">
        <v>108</v>
      </c>
      <c r="D1999" s="626" t="s">
        <v>5058</v>
      </c>
      <c r="E1999" s="636">
        <v>1000</v>
      </c>
      <c r="F1999" s="637"/>
      <c r="G1999" s="626" t="s">
        <v>4867</v>
      </c>
      <c r="H1999" s="638"/>
      <c r="I1999" s="626"/>
      <c r="J1999" s="638"/>
      <c r="K1999" s="645">
        <v>1</v>
      </c>
      <c r="L1999" s="681" t="s">
        <v>5059</v>
      </c>
      <c r="M1999" s="684">
        <v>1000</v>
      </c>
      <c r="N1999" s="654"/>
      <c r="O1999" s="685"/>
      <c r="P1999" s="643"/>
    </row>
    <row r="2000" spans="1:16" s="619" customFormat="1" ht="36" x14ac:dyDescent="0.2">
      <c r="A2000" s="626" t="s">
        <v>4789</v>
      </c>
      <c r="B2000" s="626" t="s">
        <v>2032</v>
      </c>
      <c r="C2000" s="638" t="s">
        <v>108</v>
      </c>
      <c r="D2000" s="626" t="s">
        <v>4953</v>
      </c>
      <c r="E2000" s="636">
        <v>3250</v>
      </c>
      <c r="F2000" s="637"/>
      <c r="G2000" s="626" t="s">
        <v>4883</v>
      </c>
      <c r="H2000" s="638"/>
      <c r="I2000" s="626"/>
      <c r="J2000" s="638"/>
      <c r="K2000" s="645">
        <v>1</v>
      </c>
      <c r="L2000" s="681" t="s">
        <v>5059</v>
      </c>
      <c r="M2000" s="684">
        <v>3250</v>
      </c>
      <c r="N2000" s="654"/>
      <c r="O2000" s="685"/>
      <c r="P2000" s="643"/>
    </row>
    <row r="2001" spans="1:16" s="619" customFormat="1" ht="24" x14ac:dyDescent="0.2">
      <c r="A2001" s="626" t="s">
        <v>4789</v>
      </c>
      <c r="B2001" s="626" t="s">
        <v>1908</v>
      </c>
      <c r="C2001" s="638" t="s">
        <v>108</v>
      </c>
      <c r="D2001" s="626" t="s">
        <v>4999</v>
      </c>
      <c r="E2001" s="636">
        <v>1300</v>
      </c>
      <c r="F2001" s="637"/>
      <c r="G2001" s="626" t="s">
        <v>4850</v>
      </c>
      <c r="H2001" s="638"/>
      <c r="I2001" s="626"/>
      <c r="J2001" s="638"/>
      <c r="K2001" s="645">
        <v>1</v>
      </c>
      <c r="L2001" s="681" t="s">
        <v>5059</v>
      </c>
      <c r="M2001" s="684">
        <v>1300</v>
      </c>
      <c r="N2001" s="654"/>
      <c r="O2001" s="685"/>
      <c r="P2001" s="643"/>
    </row>
    <row r="2002" spans="1:16" s="619" customFormat="1" ht="24" x14ac:dyDescent="0.2">
      <c r="A2002" s="626" t="s">
        <v>4789</v>
      </c>
      <c r="B2002" s="626" t="s">
        <v>2032</v>
      </c>
      <c r="C2002" s="638" t="s">
        <v>108</v>
      </c>
      <c r="D2002" s="626" t="s">
        <v>4942</v>
      </c>
      <c r="E2002" s="636">
        <v>400</v>
      </c>
      <c r="F2002" s="637"/>
      <c r="G2002" s="626" t="s">
        <v>4872</v>
      </c>
      <c r="H2002" s="638"/>
      <c r="I2002" s="626"/>
      <c r="J2002" s="638"/>
      <c r="K2002" s="645">
        <v>1</v>
      </c>
      <c r="L2002" s="681" t="s">
        <v>5059</v>
      </c>
      <c r="M2002" s="684">
        <v>400</v>
      </c>
      <c r="N2002" s="654"/>
      <c r="O2002" s="685"/>
      <c r="P2002" s="643"/>
    </row>
    <row r="2003" spans="1:16" s="619" customFormat="1" ht="36" x14ac:dyDescent="0.2">
      <c r="A2003" s="626" t="s">
        <v>4789</v>
      </c>
      <c r="B2003" s="626" t="s">
        <v>2032</v>
      </c>
      <c r="C2003" s="638" t="s">
        <v>108</v>
      </c>
      <c r="D2003" s="626" t="s">
        <v>4900</v>
      </c>
      <c r="E2003" s="636">
        <v>1500</v>
      </c>
      <c r="F2003" s="637"/>
      <c r="G2003" s="626" t="s">
        <v>4901</v>
      </c>
      <c r="H2003" s="638"/>
      <c r="I2003" s="626"/>
      <c r="J2003" s="638"/>
      <c r="K2003" s="645">
        <v>1</v>
      </c>
      <c r="L2003" s="681" t="s">
        <v>5059</v>
      </c>
      <c r="M2003" s="684">
        <v>1500</v>
      </c>
      <c r="N2003" s="654"/>
      <c r="O2003" s="685"/>
      <c r="P2003" s="643"/>
    </row>
    <row r="2004" spans="1:16" s="619" customFormat="1" ht="36" x14ac:dyDescent="0.2">
      <c r="A2004" s="626" t="s">
        <v>4789</v>
      </c>
      <c r="B2004" s="626" t="s">
        <v>2032</v>
      </c>
      <c r="C2004" s="638" t="s">
        <v>108</v>
      </c>
      <c r="D2004" s="626" t="s">
        <v>5060</v>
      </c>
      <c r="E2004" s="636">
        <v>1500</v>
      </c>
      <c r="F2004" s="637"/>
      <c r="G2004" s="626" t="s">
        <v>4869</v>
      </c>
      <c r="H2004" s="638"/>
      <c r="I2004" s="626"/>
      <c r="J2004" s="638"/>
      <c r="K2004" s="645">
        <v>1</v>
      </c>
      <c r="L2004" s="681" t="s">
        <v>5059</v>
      </c>
      <c r="M2004" s="684">
        <v>1500</v>
      </c>
      <c r="N2004" s="654"/>
      <c r="O2004" s="685"/>
      <c r="P2004" s="643"/>
    </row>
    <row r="2005" spans="1:16" s="619" customFormat="1" ht="24" x14ac:dyDescent="0.2">
      <c r="A2005" s="626" t="s">
        <v>4789</v>
      </c>
      <c r="B2005" s="626" t="s">
        <v>2032</v>
      </c>
      <c r="C2005" s="638" t="s">
        <v>108</v>
      </c>
      <c r="D2005" s="626" t="s">
        <v>5053</v>
      </c>
      <c r="E2005" s="636">
        <v>1500</v>
      </c>
      <c r="F2005" s="637"/>
      <c r="G2005" s="626" t="s">
        <v>4975</v>
      </c>
      <c r="H2005" s="638"/>
      <c r="I2005" s="626"/>
      <c r="J2005" s="638"/>
      <c r="K2005" s="645">
        <v>1</v>
      </c>
      <c r="L2005" s="681" t="s">
        <v>5059</v>
      </c>
      <c r="M2005" s="684">
        <v>1500</v>
      </c>
      <c r="N2005" s="654"/>
      <c r="O2005" s="685"/>
      <c r="P2005" s="643"/>
    </row>
    <row r="2006" spans="1:16" s="619" customFormat="1" ht="36" x14ac:dyDescent="0.2">
      <c r="A2006" s="626" t="s">
        <v>4789</v>
      </c>
      <c r="B2006" s="626" t="s">
        <v>2032</v>
      </c>
      <c r="C2006" s="638" t="s">
        <v>108</v>
      </c>
      <c r="D2006" s="626" t="s">
        <v>4976</v>
      </c>
      <c r="E2006" s="636">
        <v>1300</v>
      </c>
      <c r="F2006" s="637"/>
      <c r="G2006" s="626" t="s">
        <v>4945</v>
      </c>
      <c r="H2006" s="638"/>
      <c r="I2006" s="626"/>
      <c r="J2006" s="638"/>
      <c r="K2006" s="645">
        <v>1</v>
      </c>
      <c r="L2006" s="681" t="s">
        <v>5059</v>
      </c>
      <c r="M2006" s="684">
        <v>1300</v>
      </c>
      <c r="N2006" s="654"/>
      <c r="O2006" s="685"/>
      <c r="P2006" s="643"/>
    </row>
    <row r="2007" spans="1:16" s="619" customFormat="1" ht="36" x14ac:dyDescent="0.2">
      <c r="A2007" s="626" t="s">
        <v>4789</v>
      </c>
      <c r="B2007" s="626" t="s">
        <v>2032</v>
      </c>
      <c r="C2007" s="638" t="s">
        <v>108</v>
      </c>
      <c r="D2007" s="626" t="s">
        <v>5061</v>
      </c>
      <c r="E2007" s="636">
        <v>1200</v>
      </c>
      <c r="F2007" s="637"/>
      <c r="G2007" s="626" t="s">
        <v>4959</v>
      </c>
      <c r="H2007" s="638"/>
      <c r="I2007" s="626"/>
      <c r="J2007" s="638"/>
      <c r="K2007" s="645">
        <v>1</v>
      </c>
      <c r="L2007" s="681" t="s">
        <v>5059</v>
      </c>
      <c r="M2007" s="684">
        <v>1200</v>
      </c>
      <c r="N2007" s="654"/>
      <c r="O2007" s="685"/>
      <c r="P2007" s="643"/>
    </row>
    <row r="2008" spans="1:16" s="619" customFormat="1" ht="36" x14ac:dyDescent="0.2">
      <c r="A2008" s="626" t="s">
        <v>4789</v>
      </c>
      <c r="B2008" s="626" t="s">
        <v>2032</v>
      </c>
      <c r="C2008" s="638" t="s">
        <v>108</v>
      </c>
      <c r="D2008" s="626" t="s">
        <v>4969</v>
      </c>
      <c r="E2008" s="636">
        <v>1500</v>
      </c>
      <c r="F2008" s="637"/>
      <c r="G2008" s="626" t="s">
        <v>4903</v>
      </c>
      <c r="H2008" s="638"/>
      <c r="I2008" s="626"/>
      <c r="J2008" s="638"/>
      <c r="K2008" s="645">
        <v>1</v>
      </c>
      <c r="L2008" s="681" t="s">
        <v>5059</v>
      </c>
      <c r="M2008" s="684">
        <v>1500</v>
      </c>
      <c r="N2008" s="654"/>
      <c r="O2008" s="685"/>
      <c r="P2008" s="643"/>
    </row>
    <row r="2009" spans="1:16" s="619" customFormat="1" ht="24" x14ac:dyDescent="0.2">
      <c r="A2009" s="626" t="s">
        <v>4789</v>
      </c>
      <c r="B2009" s="626" t="s">
        <v>2032</v>
      </c>
      <c r="C2009" s="638" t="s">
        <v>108</v>
      </c>
      <c r="D2009" s="626" t="s">
        <v>5042</v>
      </c>
      <c r="E2009" s="636">
        <v>2000</v>
      </c>
      <c r="F2009" s="637"/>
      <c r="G2009" s="626" t="s">
        <v>5043</v>
      </c>
      <c r="H2009" s="638"/>
      <c r="I2009" s="626"/>
      <c r="J2009" s="638"/>
      <c r="K2009" s="645">
        <v>1</v>
      </c>
      <c r="L2009" s="681" t="s">
        <v>5059</v>
      </c>
      <c r="M2009" s="684">
        <v>2000</v>
      </c>
      <c r="N2009" s="654"/>
      <c r="O2009" s="685"/>
      <c r="P2009" s="643"/>
    </row>
    <row r="2010" spans="1:16" s="619" customFormat="1" ht="24" x14ac:dyDescent="0.2">
      <c r="A2010" s="626" t="s">
        <v>4789</v>
      </c>
      <c r="B2010" s="626" t="s">
        <v>2032</v>
      </c>
      <c r="C2010" s="638" t="s">
        <v>108</v>
      </c>
      <c r="D2010" s="626" t="s">
        <v>4860</v>
      </c>
      <c r="E2010" s="636">
        <v>1300</v>
      </c>
      <c r="F2010" s="637"/>
      <c r="G2010" s="626" t="s">
        <v>4925</v>
      </c>
      <c r="H2010" s="638"/>
      <c r="I2010" s="626"/>
      <c r="J2010" s="638"/>
      <c r="K2010" s="645">
        <v>1</v>
      </c>
      <c r="L2010" s="681" t="s">
        <v>5059</v>
      </c>
      <c r="M2010" s="684">
        <v>1300</v>
      </c>
      <c r="N2010" s="654"/>
      <c r="O2010" s="685"/>
      <c r="P2010" s="643"/>
    </row>
    <row r="2011" spans="1:16" s="619" customFormat="1" ht="36" x14ac:dyDescent="0.2">
      <c r="A2011" s="626" t="s">
        <v>4789</v>
      </c>
      <c r="B2011" s="626" t="s">
        <v>2032</v>
      </c>
      <c r="C2011" s="638" t="s">
        <v>108</v>
      </c>
      <c r="D2011" s="626" t="s">
        <v>5062</v>
      </c>
      <c r="E2011" s="636">
        <v>1300</v>
      </c>
      <c r="F2011" s="637"/>
      <c r="G2011" s="626" t="s">
        <v>4923</v>
      </c>
      <c r="H2011" s="638"/>
      <c r="I2011" s="626"/>
      <c r="J2011" s="638"/>
      <c r="K2011" s="645">
        <v>1</v>
      </c>
      <c r="L2011" s="681" t="s">
        <v>5059</v>
      </c>
      <c r="M2011" s="684">
        <v>1300</v>
      </c>
      <c r="N2011" s="654"/>
      <c r="O2011" s="685"/>
      <c r="P2011" s="643"/>
    </row>
    <row r="2012" spans="1:16" s="619" customFormat="1" ht="36" x14ac:dyDescent="0.2">
      <c r="A2012" s="626" t="s">
        <v>4789</v>
      </c>
      <c r="B2012" s="626" t="s">
        <v>2032</v>
      </c>
      <c r="C2012" s="638" t="s">
        <v>108</v>
      </c>
      <c r="D2012" s="626" t="s">
        <v>4866</v>
      </c>
      <c r="E2012" s="636">
        <v>1500</v>
      </c>
      <c r="F2012" s="637"/>
      <c r="G2012" s="626" t="s">
        <v>4932</v>
      </c>
      <c r="H2012" s="638"/>
      <c r="I2012" s="626"/>
      <c r="J2012" s="638"/>
      <c r="K2012" s="645">
        <v>1</v>
      </c>
      <c r="L2012" s="681" t="s">
        <v>5059</v>
      </c>
      <c r="M2012" s="684">
        <v>1500</v>
      </c>
      <c r="N2012" s="654"/>
      <c r="O2012" s="685"/>
      <c r="P2012" s="643"/>
    </row>
    <row r="2013" spans="1:16" s="619" customFormat="1" ht="24" x14ac:dyDescent="0.2">
      <c r="A2013" s="626" t="s">
        <v>4789</v>
      </c>
      <c r="B2013" s="626" t="s">
        <v>1908</v>
      </c>
      <c r="C2013" s="638" t="s">
        <v>108</v>
      </c>
      <c r="D2013" s="626" t="s">
        <v>5063</v>
      </c>
      <c r="E2013" s="636">
        <v>2100</v>
      </c>
      <c r="F2013" s="637"/>
      <c r="G2013" s="626" t="s">
        <v>5022</v>
      </c>
      <c r="H2013" s="638"/>
      <c r="I2013" s="626"/>
      <c r="J2013" s="638"/>
      <c r="K2013" s="645">
        <v>1</v>
      </c>
      <c r="L2013" s="681" t="s">
        <v>5059</v>
      </c>
      <c r="M2013" s="684">
        <v>2100</v>
      </c>
      <c r="N2013" s="654"/>
      <c r="O2013" s="685"/>
      <c r="P2013" s="643"/>
    </row>
    <row r="2014" spans="1:16" s="619" customFormat="1" ht="24" x14ac:dyDescent="0.2">
      <c r="A2014" s="626" t="s">
        <v>4789</v>
      </c>
      <c r="B2014" s="626" t="s">
        <v>2032</v>
      </c>
      <c r="C2014" s="638" t="s">
        <v>108</v>
      </c>
      <c r="D2014" s="626" t="s">
        <v>5044</v>
      </c>
      <c r="E2014" s="636">
        <v>1500</v>
      </c>
      <c r="F2014" s="637"/>
      <c r="G2014" s="626" t="s">
        <v>5045</v>
      </c>
      <c r="H2014" s="638"/>
      <c r="I2014" s="626"/>
      <c r="J2014" s="638"/>
      <c r="K2014" s="645">
        <v>1</v>
      </c>
      <c r="L2014" s="681" t="s">
        <v>5059</v>
      </c>
      <c r="M2014" s="684">
        <v>1500</v>
      </c>
      <c r="N2014" s="654"/>
      <c r="O2014" s="685"/>
      <c r="P2014" s="643"/>
    </row>
    <row r="2015" spans="1:16" s="619" customFormat="1" ht="36" x14ac:dyDescent="0.2">
      <c r="A2015" s="626" t="s">
        <v>4789</v>
      </c>
      <c r="B2015" s="626" t="s">
        <v>2032</v>
      </c>
      <c r="C2015" s="638" t="s">
        <v>108</v>
      </c>
      <c r="D2015" s="626" t="s">
        <v>4997</v>
      </c>
      <c r="E2015" s="636">
        <v>1500</v>
      </c>
      <c r="F2015" s="637"/>
      <c r="G2015" s="626" t="s">
        <v>4998</v>
      </c>
      <c r="H2015" s="638"/>
      <c r="I2015" s="626"/>
      <c r="J2015" s="638"/>
      <c r="K2015" s="645">
        <v>1</v>
      </c>
      <c r="L2015" s="681" t="s">
        <v>5059</v>
      </c>
      <c r="M2015" s="684">
        <v>1500</v>
      </c>
      <c r="N2015" s="654"/>
      <c r="O2015" s="685"/>
      <c r="P2015" s="643"/>
    </row>
    <row r="2016" spans="1:16" s="619" customFormat="1" ht="24" x14ac:dyDescent="0.2">
      <c r="A2016" s="626" t="s">
        <v>4789</v>
      </c>
      <c r="B2016" s="626" t="s">
        <v>2032</v>
      </c>
      <c r="C2016" s="638" t="s">
        <v>108</v>
      </c>
      <c r="D2016" s="626" t="s">
        <v>5064</v>
      </c>
      <c r="E2016" s="636">
        <v>2200</v>
      </c>
      <c r="F2016" s="637"/>
      <c r="G2016" s="626" t="s">
        <v>5008</v>
      </c>
      <c r="H2016" s="638"/>
      <c r="I2016" s="626"/>
      <c r="J2016" s="638"/>
      <c r="K2016" s="645">
        <v>1</v>
      </c>
      <c r="L2016" s="681" t="s">
        <v>5059</v>
      </c>
      <c r="M2016" s="684">
        <v>2200</v>
      </c>
      <c r="N2016" s="654"/>
      <c r="O2016" s="685"/>
      <c r="P2016" s="643"/>
    </row>
    <row r="2017" spans="1:16" s="619" customFormat="1" ht="36" x14ac:dyDescent="0.2">
      <c r="A2017" s="626" t="s">
        <v>4789</v>
      </c>
      <c r="B2017" s="626" t="s">
        <v>1908</v>
      </c>
      <c r="C2017" s="638" t="s">
        <v>108</v>
      </c>
      <c r="D2017" s="626" t="s">
        <v>4934</v>
      </c>
      <c r="E2017" s="636">
        <v>1500</v>
      </c>
      <c r="F2017" s="637"/>
      <c r="G2017" s="626" t="s">
        <v>4935</v>
      </c>
      <c r="H2017" s="638"/>
      <c r="I2017" s="626"/>
      <c r="J2017" s="638"/>
      <c r="K2017" s="645">
        <v>1</v>
      </c>
      <c r="L2017" s="681" t="s">
        <v>5059</v>
      </c>
      <c r="M2017" s="684">
        <v>1500</v>
      </c>
      <c r="N2017" s="654"/>
      <c r="O2017" s="685"/>
      <c r="P2017" s="643"/>
    </row>
    <row r="2018" spans="1:16" s="619" customFormat="1" ht="24" x14ac:dyDescent="0.2">
      <c r="A2018" s="626" t="s">
        <v>4789</v>
      </c>
      <c r="B2018" s="626" t="s">
        <v>1908</v>
      </c>
      <c r="C2018" s="638" t="s">
        <v>108</v>
      </c>
      <c r="D2018" s="626" t="s">
        <v>4894</v>
      </c>
      <c r="E2018" s="636">
        <v>450</v>
      </c>
      <c r="F2018" s="637"/>
      <c r="G2018" s="626" t="s">
        <v>5021</v>
      </c>
      <c r="H2018" s="638"/>
      <c r="I2018" s="626"/>
      <c r="J2018" s="638"/>
      <c r="K2018" s="645">
        <v>1</v>
      </c>
      <c r="L2018" s="681" t="s">
        <v>5059</v>
      </c>
      <c r="M2018" s="684">
        <v>450</v>
      </c>
      <c r="N2018" s="654"/>
      <c r="O2018" s="685"/>
      <c r="P2018" s="643"/>
    </row>
    <row r="2019" spans="1:16" s="619" customFormat="1" ht="24" x14ac:dyDescent="0.2">
      <c r="A2019" s="626" t="s">
        <v>4789</v>
      </c>
      <c r="B2019" s="626" t="s">
        <v>1908</v>
      </c>
      <c r="C2019" s="638" t="s">
        <v>108</v>
      </c>
      <c r="D2019" s="626" t="s">
        <v>4894</v>
      </c>
      <c r="E2019" s="636">
        <v>1500</v>
      </c>
      <c r="F2019" s="637"/>
      <c r="G2019" s="626" t="s">
        <v>5021</v>
      </c>
      <c r="H2019" s="638"/>
      <c r="I2019" s="626"/>
      <c r="J2019" s="638"/>
      <c r="K2019" s="645">
        <v>1</v>
      </c>
      <c r="L2019" s="681" t="s">
        <v>5059</v>
      </c>
      <c r="M2019" s="684">
        <v>1500</v>
      </c>
      <c r="N2019" s="654"/>
      <c r="O2019" s="685"/>
      <c r="P2019" s="643"/>
    </row>
    <row r="2020" spans="1:16" s="619" customFormat="1" ht="36" x14ac:dyDescent="0.2">
      <c r="A2020" s="626" t="s">
        <v>4789</v>
      </c>
      <c r="B2020" s="626" t="s">
        <v>2275</v>
      </c>
      <c r="C2020" s="638" t="s">
        <v>108</v>
      </c>
      <c r="D2020" s="626" t="s">
        <v>5065</v>
      </c>
      <c r="E2020" s="636">
        <v>1266.6600000000001</v>
      </c>
      <c r="F2020" s="637"/>
      <c r="G2020" s="626" t="s">
        <v>5066</v>
      </c>
      <c r="H2020" s="638"/>
      <c r="I2020" s="626"/>
      <c r="J2020" s="638"/>
      <c r="K2020" s="645">
        <v>1</v>
      </c>
      <c r="L2020" s="681" t="s">
        <v>5059</v>
      </c>
      <c r="M2020" s="684">
        <v>1266.6600000000001</v>
      </c>
      <c r="N2020" s="654"/>
      <c r="O2020" s="685"/>
      <c r="P2020" s="643"/>
    </row>
    <row r="2021" spans="1:16" s="619" customFormat="1" ht="36" x14ac:dyDescent="0.2">
      <c r="A2021" s="626" t="s">
        <v>4789</v>
      </c>
      <c r="B2021" s="626" t="s">
        <v>2275</v>
      </c>
      <c r="C2021" s="638" t="s">
        <v>108</v>
      </c>
      <c r="D2021" s="626" t="s">
        <v>5067</v>
      </c>
      <c r="E2021" s="636">
        <v>1500</v>
      </c>
      <c r="F2021" s="637"/>
      <c r="G2021" s="626" t="s">
        <v>4874</v>
      </c>
      <c r="H2021" s="638"/>
      <c r="I2021" s="626"/>
      <c r="J2021" s="638"/>
      <c r="K2021" s="645">
        <v>1</v>
      </c>
      <c r="L2021" s="681" t="s">
        <v>5059</v>
      </c>
      <c r="M2021" s="684">
        <v>1500</v>
      </c>
      <c r="N2021" s="654"/>
      <c r="O2021" s="685"/>
      <c r="P2021" s="643"/>
    </row>
    <row r="2022" spans="1:16" s="619" customFormat="1" ht="36" x14ac:dyDescent="0.2">
      <c r="A2022" s="626" t="s">
        <v>4789</v>
      </c>
      <c r="B2022" s="626" t="s">
        <v>2275</v>
      </c>
      <c r="C2022" s="638" t="s">
        <v>108</v>
      </c>
      <c r="D2022" s="626" t="s">
        <v>5068</v>
      </c>
      <c r="E2022" s="636">
        <v>1300</v>
      </c>
      <c r="F2022" s="637"/>
      <c r="G2022" s="626" t="s">
        <v>4848</v>
      </c>
      <c r="H2022" s="638"/>
      <c r="I2022" s="626"/>
      <c r="J2022" s="638"/>
      <c r="K2022" s="645">
        <v>1</v>
      </c>
      <c r="L2022" s="681" t="s">
        <v>5059</v>
      </c>
      <c r="M2022" s="684">
        <v>1300</v>
      </c>
      <c r="N2022" s="654"/>
      <c r="O2022" s="685"/>
      <c r="P2022" s="643"/>
    </row>
    <row r="2023" spans="1:16" s="619" customFormat="1" ht="36" x14ac:dyDescent="0.2">
      <c r="A2023" s="626" t="s">
        <v>4789</v>
      </c>
      <c r="B2023" s="626" t="s">
        <v>2275</v>
      </c>
      <c r="C2023" s="638" t="s">
        <v>108</v>
      </c>
      <c r="D2023" s="626" t="s">
        <v>4974</v>
      </c>
      <c r="E2023" s="636">
        <v>1500</v>
      </c>
      <c r="F2023" s="637"/>
      <c r="G2023" s="626" t="s">
        <v>4865</v>
      </c>
      <c r="H2023" s="638"/>
      <c r="I2023" s="626"/>
      <c r="J2023" s="638"/>
      <c r="K2023" s="645">
        <v>1</v>
      </c>
      <c r="L2023" s="681" t="s">
        <v>5059</v>
      </c>
      <c r="M2023" s="684">
        <v>1500</v>
      </c>
      <c r="N2023" s="654"/>
      <c r="O2023" s="685"/>
      <c r="P2023" s="643"/>
    </row>
    <row r="2024" spans="1:16" s="619" customFormat="1" ht="36" x14ac:dyDescent="0.2">
      <c r="A2024" s="626" t="s">
        <v>4789</v>
      </c>
      <c r="B2024" s="626" t="s">
        <v>1908</v>
      </c>
      <c r="C2024" s="638" t="s">
        <v>108</v>
      </c>
      <c r="D2024" s="626" t="s">
        <v>5065</v>
      </c>
      <c r="E2024" s="636">
        <v>1393</v>
      </c>
      <c r="F2024" s="637"/>
      <c r="G2024" s="626" t="s">
        <v>5069</v>
      </c>
      <c r="H2024" s="638"/>
      <c r="I2024" s="626"/>
      <c r="J2024" s="638"/>
      <c r="K2024" s="645">
        <v>1</v>
      </c>
      <c r="L2024" s="681" t="s">
        <v>5059</v>
      </c>
      <c r="M2024" s="684">
        <v>1393</v>
      </c>
      <c r="N2024" s="654"/>
      <c r="O2024" s="685"/>
      <c r="P2024" s="643"/>
    </row>
    <row r="2025" spans="1:16" s="619" customFormat="1" ht="36" x14ac:dyDescent="0.2">
      <c r="A2025" s="626" t="s">
        <v>4789</v>
      </c>
      <c r="B2025" s="626" t="s">
        <v>2275</v>
      </c>
      <c r="C2025" s="638" t="s">
        <v>108</v>
      </c>
      <c r="D2025" s="626" t="s">
        <v>5038</v>
      </c>
      <c r="E2025" s="636">
        <v>1300</v>
      </c>
      <c r="F2025" s="637"/>
      <c r="G2025" s="626" t="s">
        <v>5031</v>
      </c>
      <c r="H2025" s="638"/>
      <c r="I2025" s="626"/>
      <c r="J2025" s="638"/>
      <c r="K2025" s="645">
        <v>1</v>
      </c>
      <c r="L2025" s="681" t="s">
        <v>5059</v>
      </c>
      <c r="M2025" s="684">
        <v>1300</v>
      </c>
      <c r="N2025" s="654"/>
      <c r="O2025" s="685"/>
      <c r="P2025" s="643"/>
    </row>
    <row r="2026" spans="1:16" s="619" customFormat="1" ht="36" x14ac:dyDescent="0.2">
      <c r="A2026" s="626" t="s">
        <v>4789</v>
      </c>
      <c r="B2026" s="626" t="s">
        <v>2275</v>
      </c>
      <c r="C2026" s="638" t="s">
        <v>108</v>
      </c>
      <c r="D2026" s="626" t="s">
        <v>4943</v>
      </c>
      <c r="E2026" s="636">
        <v>1500</v>
      </c>
      <c r="F2026" s="637"/>
      <c r="G2026" s="626" t="s">
        <v>4854</v>
      </c>
      <c r="H2026" s="638"/>
      <c r="I2026" s="626"/>
      <c r="J2026" s="638"/>
      <c r="K2026" s="645">
        <v>1</v>
      </c>
      <c r="L2026" s="681" t="s">
        <v>5059</v>
      </c>
      <c r="M2026" s="684">
        <v>1500</v>
      </c>
      <c r="N2026" s="654"/>
      <c r="O2026" s="685"/>
      <c r="P2026" s="643"/>
    </row>
    <row r="2027" spans="1:16" s="619" customFormat="1" ht="48" x14ac:dyDescent="0.2">
      <c r="A2027" s="626" t="s">
        <v>4789</v>
      </c>
      <c r="B2027" s="626" t="s">
        <v>1908</v>
      </c>
      <c r="C2027" s="638" t="s">
        <v>108</v>
      </c>
      <c r="D2027" s="626" t="s">
        <v>5070</v>
      </c>
      <c r="E2027" s="636">
        <v>1200</v>
      </c>
      <c r="F2027" s="637"/>
      <c r="G2027" s="626" t="s">
        <v>5071</v>
      </c>
      <c r="H2027" s="638"/>
      <c r="I2027" s="626"/>
      <c r="J2027" s="638"/>
      <c r="K2027" s="645">
        <v>1</v>
      </c>
      <c r="L2027" s="681" t="s">
        <v>5059</v>
      </c>
      <c r="M2027" s="684">
        <v>1200</v>
      </c>
      <c r="N2027" s="654"/>
      <c r="O2027" s="685"/>
      <c r="P2027" s="643"/>
    </row>
    <row r="2028" spans="1:16" s="619" customFormat="1" ht="36" x14ac:dyDescent="0.2">
      <c r="A2028" s="626" t="s">
        <v>4789</v>
      </c>
      <c r="B2028" s="626" t="s">
        <v>2275</v>
      </c>
      <c r="C2028" s="638" t="s">
        <v>108</v>
      </c>
      <c r="D2028" s="626" t="s">
        <v>5072</v>
      </c>
      <c r="E2028" s="636">
        <v>666.67</v>
      </c>
      <c r="F2028" s="637"/>
      <c r="G2028" s="626" t="s">
        <v>5054</v>
      </c>
      <c r="H2028" s="638"/>
      <c r="I2028" s="626"/>
      <c r="J2028" s="638"/>
      <c r="K2028" s="645">
        <v>1</v>
      </c>
      <c r="L2028" s="681" t="s">
        <v>5059</v>
      </c>
      <c r="M2028" s="684">
        <v>666.67</v>
      </c>
      <c r="N2028" s="654"/>
      <c r="O2028" s="685"/>
      <c r="P2028" s="643"/>
    </row>
    <row r="2029" spans="1:16" s="619" customFormat="1" ht="36" x14ac:dyDescent="0.2">
      <c r="A2029" s="626" t="s">
        <v>4789</v>
      </c>
      <c r="B2029" s="626" t="s">
        <v>2275</v>
      </c>
      <c r="C2029" s="638" t="s">
        <v>108</v>
      </c>
      <c r="D2029" s="626" t="s">
        <v>5072</v>
      </c>
      <c r="E2029" s="636">
        <v>1000</v>
      </c>
      <c r="F2029" s="637"/>
      <c r="G2029" s="626" t="s">
        <v>4867</v>
      </c>
      <c r="H2029" s="638"/>
      <c r="I2029" s="626"/>
      <c r="J2029" s="638"/>
      <c r="K2029" s="645">
        <v>1</v>
      </c>
      <c r="L2029" s="681" t="s">
        <v>5059</v>
      </c>
      <c r="M2029" s="684">
        <v>1000</v>
      </c>
      <c r="N2029" s="654"/>
      <c r="O2029" s="685"/>
      <c r="P2029" s="643"/>
    </row>
    <row r="2030" spans="1:16" s="619" customFormat="1" ht="36" x14ac:dyDescent="0.2">
      <c r="A2030" s="626" t="s">
        <v>4789</v>
      </c>
      <c r="B2030" s="626" t="s">
        <v>2275</v>
      </c>
      <c r="C2030" s="638" t="s">
        <v>108</v>
      </c>
      <c r="D2030" s="626" t="s">
        <v>5073</v>
      </c>
      <c r="E2030" s="636">
        <v>1500</v>
      </c>
      <c r="F2030" s="637"/>
      <c r="G2030" s="626" t="s">
        <v>4859</v>
      </c>
      <c r="H2030" s="638"/>
      <c r="I2030" s="626"/>
      <c r="J2030" s="638"/>
      <c r="K2030" s="645">
        <v>1</v>
      </c>
      <c r="L2030" s="681" t="s">
        <v>5059</v>
      </c>
      <c r="M2030" s="684">
        <v>1500</v>
      </c>
      <c r="N2030" s="654"/>
      <c r="O2030" s="685"/>
      <c r="P2030" s="643"/>
    </row>
    <row r="2031" spans="1:16" s="619" customFormat="1" ht="36" x14ac:dyDescent="0.2">
      <c r="A2031" s="626" t="s">
        <v>4789</v>
      </c>
      <c r="B2031" s="626" t="s">
        <v>2275</v>
      </c>
      <c r="C2031" s="638" t="s">
        <v>108</v>
      </c>
      <c r="D2031" s="626" t="s">
        <v>3776</v>
      </c>
      <c r="E2031" s="636">
        <v>1000</v>
      </c>
      <c r="F2031" s="637"/>
      <c r="G2031" s="626" t="s">
        <v>4851</v>
      </c>
      <c r="H2031" s="638"/>
      <c r="I2031" s="626"/>
      <c r="J2031" s="638"/>
      <c r="K2031" s="645">
        <v>1</v>
      </c>
      <c r="L2031" s="681" t="s">
        <v>5059</v>
      </c>
      <c r="M2031" s="684">
        <v>1000</v>
      </c>
      <c r="N2031" s="654"/>
      <c r="O2031" s="685"/>
      <c r="P2031" s="643"/>
    </row>
    <row r="2032" spans="1:16" s="619" customFormat="1" ht="36" x14ac:dyDescent="0.2">
      <c r="A2032" s="626" t="s">
        <v>4789</v>
      </c>
      <c r="B2032" s="626" t="s">
        <v>2275</v>
      </c>
      <c r="C2032" s="638" t="s">
        <v>108</v>
      </c>
      <c r="D2032" s="626" t="s">
        <v>1917</v>
      </c>
      <c r="E2032" s="636">
        <v>1100</v>
      </c>
      <c r="F2032" s="637"/>
      <c r="G2032" s="626" t="s">
        <v>5020</v>
      </c>
      <c r="H2032" s="638"/>
      <c r="I2032" s="626"/>
      <c r="J2032" s="638"/>
      <c r="K2032" s="645">
        <v>1</v>
      </c>
      <c r="L2032" s="681" t="s">
        <v>5059</v>
      </c>
      <c r="M2032" s="684">
        <v>1100</v>
      </c>
      <c r="N2032" s="654"/>
      <c r="O2032" s="685"/>
      <c r="P2032" s="643"/>
    </row>
    <row r="2033" spans="1:16" s="619" customFormat="1" ht="36" x14ac:dyDescent="0.2">
      <c r="A2033" s="626" t="s">
        <v>4789</v>
      </c>
      <c r="B2033" s="626" t="s">
        <v>2275</v>
      </c>
      <c r="C2033" s="638" t="s">
        <v>108</v>
      </c>
      <c r="D2033" s="626" t="s">
        <v>3776</v>
      </c>
      <c r="E2033" s="636">
        <v>1000</v>
      </c>
      <c r="F2033" s="637"/>
      <c r="G2033" s="626" t="s">
        <v>5023</v>
      </c>
      <c r="H2033" s="638"/>
      <c r="I2033" s="626"/>
      <c r="J2033" s="638"/>
      <c r="K2033" s="645">
        <v>1</v>
      </c>
      <c r="L2033" s="681" t="s">
        <v>5059</v>
      </c>
      <c r="M2033" s="684">
        <v>1000</v>
      </c>
      <c r="N2033" s="654"/>
      <c r="O2033" s="685"/>
      <c r="P2033" s="643"/>
    </row>
    <row r="2034" spans="1:16" s="619" customFormat="1" ht="36" x14ac:dyDescent="0.2">
      <c r="A2034" s="626" t="s">
        <v>4789</v>
      </c>
      <c r="B2034" s="626" t="s">
        <v>1908</v>
      </c>
      <c r="C2034" s="638" t="s">
        <v>108</v>
      </c>
      <c r="D2034" s="626" t="s">
        <v>5074</v>
      </c>
      <c r="E2034" s="636">
        <v>1000</v>
      </c>
      <c r="F2034" s="637"/>
      <c r="G2034" s="626" t="s">
        <v>5075</v>
      </c>
      <c r="H2034" s="638"/>
      <c r="I2034" s="626"/>
      <c r="J2034" s="638"/>
      <c r="K2034" s="645">
        <v>1</v>
      </c>
      <c r="L2034" s="681" t="s">
        <v>5059</v>
      </c>
      <c r="M2034" s="684">
        <v>1000</v>
      </c>
      <c r="N2034" s="654"/>
      <c r="O2034" s="685"/>
      <c r="P2034" s="643"/>
    </row>
    <row r="2035" spans="1:16" s="619" customFormat="1" ht="36" x14ac:dyDescent="0.2">
      <c r="A2035" s="626" t="s">
        <v>4789</v>
      </c>
      <c r="B2035" s="626" t="s">
        <v>2275</v>
      </c>
      <c r="C2035" s="638" t="s">
        <v>108</v>
      </c>
      <c r="D2035" s="626" t="s">
        <v>5000</v>
      </c>
      <c r="E2035" s="636">
        <v>1500</v>
      </c>
      <c r="F2035" s="637"/>
      <c r="G2035" s="626" t="s">
        <v>5001</v>
      </c>
      <c r="H2035" s="638"/>
      <c r="I2035" s="626"/>
      <c r="J2035" s="638"/>
      <c r="K2035" s="645">
        <v>1</v>
      </c>
      <c r="L2035" s="681" t="s">
        <v>5059</v>
      </c>
      <c r="M2035" s="684">
        <v>1500</v>
      </c>
      <c r="N2035" s="654"/>
      <c r="O2035" s="685"/>
      <c r="P2035" s="643"/>
    </row>
    <row r="2036" spans="1:16" s="619" customFormat="1" ht="36" x14ac:dyDescent="0.2">
      <c r="A2036" s="626" t="s">
        <v>4789</v>
      </c>
      <c r="B2036" s="626" t="s">
        <v>1908</v>
      </c>
      <c r="C2036" s="638" t="s">
        <v>108</v>
      </c>
      <c r="D2036" s="626" t="s">
        <v>4880</v>
      </c>
      <c r="E2036" s="636">
        <v>1500</v>
      </c>
      <c r="F2036" s="637"/>
      <c r="G2036" s="626" t="s">
        <v>4881</v>
      </c>
      <c r="H2036" s="638"/>
      <c r="I2036" s="626"/>
      <c r="J2036" s="638"/>
      <c r="K2036" s="645">
        <v>1</v>
      </c>
      <c r="L2036" s="681" t="s">
        <v>5059</v>
      </c>
      <c r="M2036" s="684">
        <v>1500</v>
      </c>
      <c r="N2036" s="654"/>
      <c r="O2036" s="685"/>
      <c r="P2036" s="643"/>
    </row>
    <row r="2037" spans="1:16" s="619" customFormat="1" ht="24" x14ac:dyDescent="0.2">
      <c r="A2037" s="626" t="s">
        <v>4789</v>
      </c>
      <c r="B2037" s="626" t="s">
        <v>1908</v>
      </c>
      <c r="C2037" s="638" t="s">
        <v>108</v>
      </c>
      <c r="D2037" s="626" t="s">
        <v>4999</v>
      </c>
      <c r="E2037" s="636">
        <v>1300</v>
      </c>
      <c r="F2037" s="637"/>
      <c r="G2037" s="626" t="s">
        <v>4850</v>
      </c>
      <c r="H2037" s="638"/>
      <c r="I2037" s="626"/>
      <c r="J2037" s="638"/>
      <c r="K2037" s="645">
        <v>1</v>
      </c>
      <c r="L2037" s="681" t="s">
        <v>5059</v>
      </c>
      <c r="M2037" s="684">
        <v>1300</v>
      </c>
      <c r="N2037" s="654"/>
      <c r="O2037" s="685"/>
      <c r="P2037" s="643"/>
    </row>
    <row r="2038" spans="1:16" s="619" customFormat="1" ht="36" x14ac:dyDescent="0.2">
      <c r="A2038" s="626" t="s">
        <v>4789</v>
      </c>
      <c r="B2038" s="626" t="s">
        <v>1908</v>
      </c>
      <c r="C2038" s="638" t="s">
        <v>108</v>
      </c>
      <c r="D2038" s="626" t="s">
        <v>5076</v>
      </c>
      <c r="E2038" s="636">
        <v>953.33</v>
      </c>
      <c r="F2038" s="637"/>
      <c r="G2038" s="626" t="s">
        <v>5077</v>
      </c>
      <c r="H2038" s="638"/>
      <c r="I2038" s="626"/>
      <c r="J2038" s="638"/>
      <c r="K2038" s="645">
        <v>1</v>
      </c>
      <c r="L2038" s="681" t="s">
        <v>5059</v>
      </c>
      <c r="M2038" s="684">
        <v>953.33</v>
      </c>
      <c r="N2038" s="654"/>
      <c r="O2038" s="685"/>
      <c r="P2038" s="643"/>
    </row>
    <row r="2039" spans="1:16" s="619" customFormat="1" ht="36" x14ac:dyDescent="0.2">
      <c r="A2039" s="626" t="s">
        <v>4789</v>
      </c>
      <c r="B2039" s="626" t="s">
        <v>2275</v>
      </c>
      <c r="C2039" s="638" t="s">
        <v>108</v>
      </c>
      <c r="D2039" s="626" t="s">
        <v>1917</v>
      </c>
      <c r="E2039" s="636">
        <v>1100</v>
      </c>
      <c r="F2039" s="637"/>
      <c r="G2039" s="626" t="s">
        <v>4846</v>
      </c>
      <c r="H2039" s="638"/>
      <c r="I2039" s="626"/>
      <c r="J2039" s="638"/>
      <c r="K2039" s="645">
        <v>1</v>
      </c>
      <c r="L2039" s="681" t="s">
        <v>5059</v>
      </c>
      <c r="M2039" s="684">
        <v>1100</v>
      </c>
      <c r="N2039" s="654"/>
      <c r="O2039" s="685"/>
      <c r="P2039" s="643"/>
    </row>
    <row r="2040" spans="1:16" s="619" customFormat="1" ht="36" x14ac:dyDescent="0.2">
      <c r="A2040" s="626" t="s">
        <v>4789</v>
      </c>
      <c r="B2040" s="626" t="s">
        <v>2275</v>
      </c>
      <c r="C2040" s="638" t="s">
        <v>108</v>
      </c>
      <c r="D2040" s="626" t="s">
        <v>5078</v>
      </c>
      <c r="E2040" s="636">
        <v>3000</v>
      </c>
      <c r="F2040" s="637"/>
      <c r="G2040" s="626" t="s">
        <v>4883</v>
      </c>
      <c r="H2040" s="638"/>
      <c r="I2040" s="626"/>
      <c r="J2040" s="638"/>
      <c r="K2040" s="645">
        <v>1</v>
      </c>
      <c r="L2040" s="681" t="s">
        <v>5059</v>
      </c>
      <c r="M2040" s="684">
        <v>3000</v>
      </c>
      <c r="N2040" s="654"/>
      <c r="O2040" s="685"/>
      <c r="P2040" s="643"/>
    </row>
    <row r="2041" spans="1:16" s="619" customFormat="1" ht="36" x14ac:dyDescent="0.2">
      <c r="A2041" s="626" t="s">
        <v>4789</v>
      </c>
      <c r="B2041" s="626" t="s">
        <v>2275</v>
      </c>
      <c r="C2041" s="638" t="s">
        <v>108</v>
      </c>
      <c r="D2041" s="626" t="s">
        <v>5079</v>
      </c>
      <c r="E2041" s="636">
        <v>900</v>
      </c>
      <c r="F2041" s="637"/>
      <c r="G2041" s="626" t="s">
        <v>5080</v>
      </c>
      <c r="H2041" s="638"/>
      <c r="I2041" s="626"/>
      <c r="J2041" s="638"/>
      <c r="K2041" s="645">
        <v>1</v>
      </c>
      <c r="L2041" s="681" t="s">
        <v>5059</v>
      </c>
      <c r="M2041" s="684">
        <v>900</v>
      </c>
      <c r="N2041" s="654"/>
      <c r="O2041" s="685"/>
      <c r="P2041" s="643"/>
    </row>
    <row r="2042" spans="1:16" s="619" customFormat="1" ht="36" x14ac:dyDescent="0.2">
      <c r="A2042" s="626" t="s">
        <v>4789</v>
      </c>
      <c r="B2042" s="626" t="s">
        <v>1908</v>
      </c>
      <c r="C2042" s="638" t="s">
        <v>108</v>
      </c>
      <c r="D2042" s="626" t="s">
        <v>4994</v>
      </c>
      <c r="E2042" s="636">
        <v>1000</v>
      </c>
      <c r="F2042" s="637"/>
      <c r="G2042" s="626" t="s">
        <v>5047</v>
      </c>
      <c r="H2042" s="638"/>
      <c r="I2042" s="626"/>
      <c r="J2042" s="638"/>
      <c r="K2042" s="645">
        <v>1</v>
      </c>
      <c r="L2042" s="681" t="s">
        <v>5059</v>
      </c>
      <c r="M2042" s="684">
        <v>1000</v>
      </c>
      <c r="N2042" s="654"/>
      <c r="O2042" s="685"/>
      <c r="P2042" s="643"/>
    </row>
    <row r="2043" spans="1:16" s="619" customFormat="1" ht="36" x14ac:dyDescent="0.2">
      <c r="A2043" s="626" t="s">
        <v>4789</v>
      </c>
      <c r="B2043" s="626" t="s">
        <v>1908</v>
      </c>
      <c r="C2043" s="638" t="s">
        <v>108</v>
      </c>
      <c r="D2043" s="626" t="s">
        <v>5081</v>
      </c>
      <c r="E2043" s="636">
        <v>1500</v>
      </c>
      <c r="F2043" s="637"/>
      <c r="G2043" s="626" t="s">
        <v>4979</v>
      </c>
      <c r="H2043" s="638"/>
      <c r="I2043" s="626"/>
      <c r="J2043" s="638"/>
      <c r="K2043" s="645">
        <v>1</v>
      </c>
      <c r="L2043" s="681" t="s">
        <v>5059</v>
      </c>
      <c r="M2043" s="684">
        <v>1500</v>
      </c>
      <c r="N2043" s="654"/>
      <c r="O2043" s="685"/>
      <c r="P2043" s="643"/>
    </row>
    <row r="2044" spans="1:16" s="619" customFormat="1" ht="36" x14ac:dyDescent="0.2">
      <c r="A2044" s="626" t="s">
        <v>4789</v>
      </c>
      <c r="B2044" s="626" t="s">
        <v>1908</v>
      </c>
      <c r="C2044" s="638" t="s">
        <v>108</v>
      </c>
      <c r="D2044" s="626" t="s">
        <v>5034</v>
      </c>
      <c r="E2044" s="636">
        <v>1800</v>
      </c>
      <c r="F2044" s="637"/>
      <c r="G2044" s="626" t="s">
        <v>2816</v>
      </c>
      <c r="H2044" s="638"/>
      <c r="I2044" s="626"/>
      <c r="J2044" s="638"/>
      <c r="K2044" s="645">
        <v>1</v>
      </c>
      <c r="L2044" s="681" t="s">
        <v>5059</v>
      </c>
      <c r="M2044" s="684">
        <v>1800</v>
      </c>
      <c r="N2044" s="654"/>
      <c r="O2044" s="685"/>
      <c r="P2044" s="643"/>
    </row>
    <row r="2045" spans="1:16" s="619" customFormat="1" ht="36" x14ac:dyDescent="0.2">
      <c r="A2045" s="626" t="s">
        <v>4789</v>
      </c>
      <c r="B2045" s="626" t="s">
        <v>1908</v>
      </c>
      <c r="C2045" s="638" t="s">
        <v>108</v>
      </c>
      <c r="D2045" s="626" t="s">
        <v>5082</v>
      </c>
      <c r="E2045" s="636">
        <v>550</v>
      </c>
      <c r="F2045" s="637"/>
      <c r="G2045" s="626" t="s">
        <v>4869</v>
      </c>
      <c r="H2045" s="638"/>
      <c r="I2045" s="626"/>
      <c r="J2045" s="638"/>
      <c r="K2045" s="645">
        <v>1</v>
      </c>
      <c r="L2045" s="681" t="s">
        <v>5059</v>
      </c>
      <c r="M2045" s="684">
        <v>550</v>
      </c>
      <c r="N2045" s="654"/>
      <c r="O2045" s="685"/>
      <c r="P2045" s="643"/>
    </row>
    <row r="2046" spans="1:16" s="619" customFormat="1" ht="24" x14ac:dyDescent="0.2">
      <c r="A2046" s="626" t="s">
        <v>4789</v>
      </c>
      <c r="B2046" s="626" t="s">
        <v>1908</v>
      </c>
      <c r="C2046" s="638" t="s">
        <v>108</v>
      </c>
      <c r="D2046" s="626" t="s">
        <v>4938</v>
      </c>
      <c r="E2046" s="636">
        <v>1800</v>
      </c>
      <c r="F2046" s="637"/>
      <c r="G2046" s="626" t="s">
        <v>4885</v>
      </c>
      <c r="H2046" s="638"/>
      <c r="I2046" s="626"/>
      <c r="J2046" s="638"/>
      <c r="K2046" s="645">
        <v>1</v>
      </c>
      <c r="L2046" s="681" t="s">
        <v>5059</v>
      </c>
      <c r="M2046" s="684">
        <v>1800</v>
      </c>
      <c r="N2046" s="654"/>
      <c r="O2046" s="685"/>
      <c r="P2046" s="643"/>
    </row>
    <row r="2047" spans="1:16" s="619" customFormat="1" ht="24" x14ac:dyDescent="0.2">
      <c r="A2047" s="626" t="s">
        <v>4789</v>
      </c>
      <c r="B2047" s="626" t="s">
        <v>1908</v>
      </c>
      <c r="C2047" s="638" t="s">
        <v>108</v>
      </c>
      <c r="D2047" s="626" t="s">
        <v>4986</v>
      </c>
      <c r="E2047" s="636">
        <v>1300</v>
      </c>
      <c r="F2047" s="637"/>
      <c r="G2047" s="626" t="s">
        <v>4983</v>
      </c>
      <c r="H2047" s="638"/>
      <c r="I2047" s="626"/>
      <c r="J2047" s="638"/>
      <c r="K2047" s="645">
        <v>1</v>
      </c>
      <c r="L2047" s="681" t="s">
        <v>5059</v>
      </c>
      <c r="M2047" s="684">
        <v>1300</v>
      </c>
      <c r="N2047" s="654"/>
      <c r="O2047" s="685"/>
      <c r="P2047" s="643"/>
    </row>
    <row r="2048" spans="1:16" s="619" customFormat="1" ht="24" x14ac:dyDescent="0.2">
      <c r="A2048" s="626" t="s">
        <v>4789</v>
      </c>
      <c r="B2048" s="626" t="s">
        <v>1908</v>
      </c>
      <c r="C2048" s="638" t="s">
        <v>108</v>
      </c>
      <c r="D2048" s="626" t="s">
        <v>3577</v>
      </c>
      <c r="E2048" s="636">
        <v>2100</v>
      </c>
      <c r="F2048" s="637"/>
      <c r="G2048" s="626" t="s">
        <v>2625</v>
      </c>
      <c r="H2048" s="638"/>
      <c r="I2048" s="626"/>
      <c r="J2048" s="638"/>
      <c r="K2048" s="645">
        <v>1</v>
      </c>
      <c r="L2048" s="681" t="s">
        <v>5059</v>
      </c>
      <c r="M2048" s="684">
        <v>2100</v>
      </c>
      <c r="N2048" s="654"/>
      <c r="O2048" s="685"/>
      <c r="P2048" s="643"/>
    </row>
    <row r="2049" spans="1:16" s="619" customFormat="1" ht="36" x14ac:dyDescent="0.2">
      <c r="A2049" s="626" t="s">
        <v>4789</v>
      </c>
      <c r="B2049" s="626" t="s">
        <v>1908</v>
      </c>
      <c r="C2049" s="638" t="s">
        <v>108</v>
      </c>
      <c r="D2049" s="626" t="s">
        <v>5083</v>
      </c>
      <c r="E2049" s="636">
        <v>950</v>
      </c>
      <c r="F2049" s="637"/>
      <c r="G2049" s="626" t="s">
        <v>5051</v>
      </c>
      <c r="H2049" s="638"/>
      <c r="I2049" s="626"/>
      <c r="J2049" s="638"/>
      <c r="K2049" s="645">
        <v>1</v>
      </c>
      <c r="L2049" s="681" t="s">
        <v>5059</v>
      </c>
      <c r="M2049" s="684">
        <v>950</v>
      </c>
      <c r="N2049" s="654"/>
      <c r="O2049" s="685"/>
      <c r="P2049" s="643"/>
    </row>
    <row r="2050" spans="1:16" s="619" customFormat="1" ht="24" x14ac:dyDescent="0.2">
      <c r="A2050" s="626" t="s">
        <v>4789</v>
      </c>
      <c r="B2050" s="626" t="s">
        <v>1908</v>
      </c>
      <c r="C2050" s="638" t="s">
        <v>108</v>
      </c>
      <c r="D2050" s="626" t="s">
        <v>5084</v>
      </c>
      <c r="E2050" s="636">
        <v>2000</v>
      </c>
      <c r="F2050" s="637"/>
      <c r="G2050" s="626" t="s">
        <v>4905</v>
      </c>
      <c r="H2050" s="638"/>
      <c r="I2050" s="626"/>
      <c r="J2050" s="638"/>
      <c r="K2050" s="645">
        <v>1</v>
      </c>
      <c r="L2050" s="681" t="s">
        <v>5059</v>
      </c>
      <c r="M2050" s="684">
        <v>2000</v>
      </c>
      <c r="N2050" s="654"/>
      <c r="O2050" s="685"/>
      <c r="P2050" s="643"/>
    </row>
    <row r="2051" spans="1:16" s="619" customFormat="1" ht="24" x14ac:dyDescent="0.2">
      <c r="A2051" s="626" t="s">
        <v>4789</v>
      </c>
      <c r="B2051" s="626" t="s">
        <v>1908</v>
      </c>
      <c r="C2051" s="638" t="s">
        <v>108</v>
      </c>
      <c r="D2051" s="626" t="s">
        <v>5085</v>
      </c>
      <c r="E2051" s="636">
        <v>1200</v>
      </c>
      <c r="F2051" s="637"/>
      <c r="G2051" s="626" t="s">
        <v>4872</v>
      </c>
      <c r="H2051" s="638"/>
      <c r="I2051" s="626"/>
      <c r="J2051" s="638"/>
      <c r="K2051" s="645">
        <v>1</v>
      </c>
      <c r="L2051" s="681" t="s">
        <v>5059</v>
      </c>
      <c r="M2051" s="684">
        <v>1200</v>
      </c>
      <c r="N2051" s="654"/>
      <c r="O2051" s="685"/>
      <c r="P2051" s="643"/>
    </row>
    <row r="2052" spans="1:16" s="619" customFormat="1" ht="36" x14ac:dyDescent="0.2">
      <c r="A2052" s="626" t="s">
        <v>4789</v>
      </c>
      <c r="B2052" s="626" t="s">
        <v>1908</v>
      </c>
      <c r="C2052" s="638" t="s">
        <v>108</v>
      </c>
      <c r="D2052" s="626" t="s">
        <v>5086</v>
      </c>
      <c r="E2052" s="636">
        <v>3250</v>
      </c>
      <c r="F2052" s="637"/>
      <c r="G2052" s="626" t="s">
        <v>5087</v>
      </c>
      <c r="H2052" s="638"/>
      <c r="I2052" s="626"/>
      <c r="J2052" s="638"/>
      <c r="K2052" s="645">
        <v>1</v>
      </c>
      <c r="L2052" s="681" t="s">
        <v>5059</v>
      </c>
      <c r="M2052" s="684">
        <v>3250</v>
      </c>
      <c r="N2052" s="654"/>
      <c r="O2052" s="685"/>
      <c r="P2052" s="643"/>
    </row>
    <row r="2053" spans="1:16" s="619" customFormat="1" ht="36" x14ac:dyDescent="0.2">
      <c r="A2053" s="626" t="s">
        <v>4789</v>
      </c>
      <c r="B2053" s="626" t="s">
        <v>2275</v>
      </c>
      <c r="C2053" s="638" t="s">
        <v>108</v>
      </c>
      <c r="D2053" s="626" t="s">
        <v>5073</v>
      </c>
      <c r="E2053" s="636">
        <v>1500</v>
      </c>
      <c r="F2053" s="637"/>
      <c r="G2053" s="626" t="s">
        <v>4859</v>
      </c>
      <c r="H2053" s="638"/>
      <c r="I2053" s="626"/>
      <c r="J2053" s="638"/>
      <c r="K2053" s="645">
        <v>1</v>
      </c>
      <c r="L2053" s="681" t="s">
        <v>5059</v>
      </c>
      <c r="M2053" s="684">
        <v>1500</v>
      </c>
      <c r="N2053" s="654"/>
      <c r="O2053" s="685"/>
      <c r="P2053" s="643"/>
    </row>
    <row r="2054" spans="1:16" s="619" customFormat="1" ht="36" x14ac:dyDescent="0.2">
      <c r="A2054" s="626" t="s">
        <v>4789</v>
      </c>
      <c r="B2054" s="626" t="s">
        <v>2275</v>
      </c>
      <c r="C2054" s="638" t="s">
        <v>108</v>
      </c>
      <c r="D2054" s="626" t="s">
        <v>1917</v>
      </c>
      <c r="E2054" s="636">
        <v>1100</v>
      </c>
      <c r="F2054" s="637"/>
      <c r="G2054" s="626" t="s">
        <v>5020</v>
      </c>
      <c r="H2054" s="638"/>
      <c r="I2054" s="626"/>
      <c r="J2054" s="638"/>
      <c r="K2054" s="645">
        <v>1</v>
      </c>
      <c r="L2054" s="681" t="s">
        <v>5059</v>
      </c>
      <c r="M2054" s="684">
        <v>1100</v>
      </c>
      <c r="N2054" s="654"/>
      <c r="O2054" s="685"/>
      <c r="P2054" s="643"/>
    </row>
    <row r="2055" spans="1:16" s="619" customFormat="1" ht="48" x14ac:dyDescent="0.2">
      <c r="A2055" s="626" t="s">
        <v>4789</v>
      </c>
      <c r="B2055" s="626" t="s">
        <v>1908</v>
      </c>
      <c r="C2055" s="638" t="s">
        <v>108</v>
      </c>
      <c r="D2055" s="626" t="s">
        <v>5088</v>
      </c>
      <c r="E2055" s="636">
        <v>826.85</v>
      </c>
      <c r="F2055" s="637"/>
      <c r="G2055" s="626" t="s">
        <v>5071</v>
      </c>
      <c r="H2055" s="638"/>
      <c r="I2055" s="626"/>
      <c r="J2055" s="638"/>
      <c r="K2055" s="645">
        <v>1</v>
      </c>
      <c r="L2055" s="681" t="s">
        <v>5059</v>
      </c>
      <c r="M2055" s="684">
        <v>826.85</v>
      </c>
      <c r="N2055" s="654"/>
      <c r="O2055" s="685"/>
      <c r="P2055" s="643"/>
    </row>
    <row r="2056" spans="1:16" s="619" customFormat="1" ht="36" x14ac:dyDescent="0.2">
      <c r="A2056" s="626" t="s">
        <v>4789</v>
      </c>
      <c r="B2056" s="626" t="s">
        <v>2275</v>
      </c>
      <c r="C2056" s="638" t="s">
        <v>108</v>
      </c>
      <c r="D2056" s="626" t="s">
        <v>3776</v>
      </c>
      <c r="E2056" s="636">
        <v>1000</v>
      </c>
      <c r="F2056" s="637"/>
      <c r="G2056" s="626" t="s">
        <v>5023</v>
      </c>
      <c r="H2056" s="638"/>
      <c r="I2056" s="626"/>
      <c r="J2056" s="638"/>
      <c r="K2056" s="645">
        <v>1</v>
      </c>
      <c r="L2056" s="681" t="s">
        <v>5059</v>
      </c>
      <c r="M2056" s="684">
        <v>1000</v>
      </c>
      <c r="N2056" s="654"/>
      <c r="O2056" s="685"/>
      <c r="P2056" s="643"/>
    </row>
    <row r="2057" spans="1:16" s="619" customFormat="1" ht="36" x14ac:dyDescent="0.2">
      <c r="A2057" s="626" t="s">
        <v>4789</v>
      </c>
      <c r="B2057" s="626" t="s">
        <v>2275</v>
      </c>
      <c r="C2057" s="638" t="s">
        <v>108</v>
      </c>
      <c r="D2057" s="626" t="s">
        <v>3776</v>
      </c>
      <c r="E2057" s="636">
        <v>1000</v>
      </c>
      <c r="F2057" s="637"/>
      <c r="G2057" s="626" t="s">
        <v>4851</v>
      </c>
      <c r="H2057" s="638"/>
      <c r="I2057" s="626"/>
      <c r="J2057" s="638"/>
      <c r="K2057" s="645">
        <v>1</v>
      </c>
      <c r="L2057" s="681" t="s">
        <v>5059</v>
      </c>
      <c r="M2057" s="684">
        <v>1000</v>
      </c>
      <c r="N2057" s="654"/>
      <c r="O2057" s="685"/>
      <c r="P2057" s="643"/>
    </row>
    <row r="2058" spans="1:16" s="619" customFormat="1" ht="36" x14ac:dyDescent="0.2">
      <c r="A2058" s="626" t="s">
        <v>4789</v>
      </c>
      <c r="B2058" s="626" t="s">
        <v>2275</v>
      </c>
      <c r="C2058" s="638" t="s">
        <v>108</v>
      </c>
      <c r="D2058" s="626" t="s">
        <v>3973</v>
      </c>
      <c r="E2058" s="636">
        <v>1500</v>
      </c>
      <c r="F2058" s="637"/>
      <c r="G2058" s="626" t="s">
        <v>4874</v>
      </c>
      <c r="H2058" s="638"/>
      <c r="I2058" s="626"/>
      <c r="J2058" s="638"/>
      <c r="K2058" s="645">
        <v>1</v>
      </c>
      <c r="L2058" s="681" t="s">
        <v>5059</v>
      </c>
      <c r="M2058" s="684">
        <v>1500</v>
      </c>
      <c r="N2058" s="654"/>
      <c r="O2058" s="685"/>
      <c r="P2058" s="643"/>
    </row>
    <row r="2059" spans="1:16" s="619" customFormat="1" ht="36" x14ac:dyDescent="0.2">
      <c r="A2059" s="626" t="s">
        <v>4789</v>
      </c>
      <c r="B2059" s="626" t="s">
        <v>2032</v>
      </c>
      <c r="C2059" s="638" t="s">
        <v>108</v>
      </c>
      <c r="D2059" s="626" t="s">
        <v>5062</v>
      </c>
      <c r="E2059" s="636">
        <v>1300</v>
      </c>
      <c r="F2059" s="637"/>
      <c r="G2059" s="626" t="s">
        <v>4923</v>
      </c>
      <c r="H2059" s="638"/>
      <c r="I2059" s="626"/>
      <c r="J2059" s="638"/>
      <c r="K2059" s="645">
        <v>1</v>
      </c>
      <c r="L2059" s="681" t="s">
        <v>5059</v>
      </c>
      <c r="M2059" s="684">
        <v>1300</v>
      </c>
      <c r="N2059" s="654"/>
      <c r="O2059" s="685"/>
      <c r="P2059" s="643"/>
    </row>
    <row r="2060" spans="1:16" s="619" customFormat="1" ht="24" x14ac:dyDescent="0.2">
      <c r="A2060" s="626" t="s">
        <v>4789</v>
      </c>
      <c r="B2060" s="626" t="s">
        <v>2032</v>
      </c>
      <c r="C2060" s="638" t="s">
        <v>108</v>
      </c>
      <c r="D2060" s="626" t="s">
        <v>5042</v>
      </c>
      <c r="E2060" s="636">
        <v>2000</v>
      </c>
      <c r="F2060" s="637"/>
      <c r="G2060" s="626" t="s">
        <v>5043</v>
      </c>
      <c r="H2060" s="638"/>
      <c r="I2060" s="626"/>
      <c r="J2060" s="638"/>
      <c r="K2060" s="645">
        <v>1</v>
      </c>
      <c r="L2060" s="681" t="s">
        <v>5059</v>
      </c>
      <c r="M2060" s="684">
        <v>2000</v>
      </c>
      <c r="N2060" s="654"/>
      <c r="O2060" s="685"/>
      <c r="P2060" s="643"/>
    </row>
    <row r="2061" spans="1:16" s="619" customFormat="1" ht="24" x14ac:dyDescent="0.2">
      <c r="A2061" s="626" t="s">
        <v>4789</v>
      </c>
      <c r="B2061" s="626" t="s">
        <v>2032</v>
      </c>
      <c r="C2061" s="638" t="s">
        <v>108</v>
      </c>
      <c r="D2061" s="626" t="s">
        <v>4860</v>
      </c>
      <c r="E2061" s="636">
        <v>1300</v>
      </c>
      <c r="F2061" s="637"/>
      <c r="G2061" s="626" t="s">
        <v>4925</v>
      </c>
      <c r="H2061" s="638"/>
      <c r="I2061" s="626"/>
      <c r="J2061" s="638"/>
      <c r="K2061" s="645">
        <v>1</v>
      </c>
      <c r="L2061" s="681" t="s">
        <v>5059</v>
      </c>
      <c r="M2061" s="684">
        <v>1300</v>
      </c>
      <c r="N2061" s="654"/>
      <c r="O2061" s="685"/>
      <c r="P2061" s="643"/>
    </row>
    <row r="2062" spans="1:16" s="619" customFormat="1" ht="36" x14ac:dyDescent="0.2">
      <c r="A2062" s="626" t="s">
        <v>4789</v>
      </c>
      <c r="B2062" s="626" t="s">
        <v>2275</v>
      </c>
      <c r="C2062" s="638" t="s">
        <v>108</v>
      </c>
      <c r="D2062" s="626" t="s">
        <v>1917</v>
      </c>
      <c r="E2062" s="636">
        <v>1100</v>
      </c>
      <c r="F2062" s="637"/>
      <c r="G2062" s="626" t="s">
        <v>4846</v>
      </c>
      <c r="H2062" s="638"/>
      <c r="I2062" s="626"/>
      <c r="J2062" s="638"/>
      <c r="K2062" s="645">
        <v>1</v>
      </c>
      <c r="L2062" s="681" t="s">
        <v>5059</v>
      </c>
      <c r="M2062" s="684">
        <v>1100</v>
      </c>
      <c r="N2062" s="654"/>
      <c r="O2062" s="685"/>
      <c r="P2062" s="643"/>
    </row>
    <row r="2063" spans="1:16" s="619" customFormat="1" ht="36" x14ac:dyDescent="0.2">
      <c r="A2063" s="626" t="s">
        <v>4789</v>
      </c>
      <c r="B2063" s="626" t="s">
        <v>2275</v>
      </c>
      <c r="C2063" s="638" t="s">
        <v>108</v>
      </c>
      <c r="D2063" s="626" t="s">
        <v>4930</v>
      </c>
      <c r="E2063" s="636">
        <v>1300</v>
      </c>
      <c r="F2063" s="637"/>
      <c r="G2063" s="626" t="s">
        <v>5031</v>
      </c>
      <c r="H2063" s="638"/>
      <c r="I2063" s="626"/>
      <c r="J2063" s="638"/>
      <c r="K2063" s="645">
        <v>1</v>
      </c>
      <c r="L2063" s="681" t="s">
        <v>5059</v>
      </c>
      <c r="M2063" s="684">
        <v>1300</v>
      </c>
      <c r="N2063" s="654"/>
      <c r="O2063" s="685"/>
      <c r="P2063" s="643"/>
    </row>
    <row r="2064" spans="1:16" s="619" customFormat="1" ht="36" x14ac:dyDescent="0.2">
      <c r="A2064" s="626" t="s">
        <v>4789</v>
      </c>
      <c r="B2064" s="626" t="s">
        <v>2275</v>
      </c>
      <c r="C2064" s="638" t="s">
        <v>108</v>
      </c>
      <c r="D2064" s="626" t="s">
        <v>4943</v>
      </c>
      <c r="E2064" s="636">
        <v>1500</v>
      </c>
      <c r="F2064" s="637"/>
      <c r="G2064" s="626" t="s">
        <v>4854</v>
      </c>
      <c r="H2064" s="638"/>
      <c r="I2064" s="626"/>
      <c r="J2064" s="638"/>
      <c r="K2064" s="645">
        <v>1</v>
      </c>
      <c r="L2064" s="681" t="s">
        <v>5059</v>
      </c>
      <c r="M2064" s="684">
        <v>1500</v>
      </c>
      <c r="N2064" s="654"/>
      <c r="O2064" s="685"/>
      <c r="P2064" s="643"/>
    </row>
    <row r="2065" spans="1:16" s="619" customFormat="1" ht="36" x14ac:dyDescent="0.2">
      <c r="A2065" s="626" t="s">
        <v>4789</v>
      </c>
      <c r="B2065" s="626" t="s">
        <v>1908</v>
      </c>
      <c r="C2065" s="638" t="s">
        <v>108</v>
      </c>
      <c r="D2065" s="626" t="s">
        <v>4880</v>
      </c>
      <c r="E2065" s="636">
        <v>1500</v>
      </c>
      <c r="F2065" s="637"/>
      <c r="G2065" s="626" t="s">
        <v>4881</v>
      </c>
      <c r="H2065" s="638"/>
      <c r="I2065" s="626"/>
      <c r="J2065" s="638"/>
      <c r="K2065" s="645">
        <v>1</v>
      </c>
      <c r="L2065" s="681" t="s">
        <v>5059</v>
      </c>
      <c r="M2065" s="684">
        <v>1500</v>
      </c>
      <c r="N2065" s="654"/>
      <c r="O2065" s="685"/>
      <c r="P2065" s="643"/>
    </row>
    <row r="2066" spans="1:16" s="619" customFormat="1" ht="36" x14ac:dyDescent="0.2">
      <c r="A2066" s="626" t="s">
        <v>4789</v>
      </c>
      <c r="B2066" s="626" t="s">
        <v>1908</v>
      </c>
      <c r="C2066" s="638" t="s">
        <v>108</v>
      </c>
      <c r="D2066" s="626" t="s">
        <v>5074</v>
      </c>
      <c r="E2066" s="636">
        <v>1000</v>
      </c>
      <c r="F2066" s="637"/>
      <c r="G2066" s="626" t="s">
        <v>5075</v>
      </c>
      <c r="H2066" s="638"/>
      <c r="I2066" s="626"/>
      <c r="J2066" s="638"/>
      <c r="K2066" s="645">
        <v>1</v>
      </c>
      <c r="L2066" s="681" t="s">
        <v>5059</v>
      </c>
      <c r="M2066" s="684">
        <v>1000</v>
      </c>
      <c r="N2066" s="654"/>
      <c r="O2066" s="685"/>
      <c r="P2066" s="643"/>
    </row>
    <row r="2067" spans="1:16" s="619" customFormat="1" ht="36" x14ac:dyDescent="0.2">
      <c r="A2067" s="626" t="s">
        <v>4789</v>
      </c>
      <c r="B2067" s="626" t="s">
        <v>2275</v>
      </c>
      <c r="C2067" s="638" t="s">
        <v>108</v>
      </c>
      <c r="D2067" s="626" t="s">
        <v>4991</v>
      </c>
      <c r="E2067" s="636">
        <v>1300</v>
      </c>
      <c r="F2067" s="637"/>
      <c r="G2067" s="626" t="s">
        <v>4848</v>
      </c>
      <c r="H2067" s="638"/>
      <c r="I2067" s="626"/>
      <c r="J2067" s="638"/>
      <c r="K2067" s="645">
        <v>1</v>
      </c>
      <c r="L2067" s="681" t="s">
        <v>5059</v>
      </c>
      <c r="M2067" s="684">
        <v>1300</v>
      </c>
      <c r="N2067" s="654"/>
      <c r="O2067" s="685"/>
      <c r="P2067" s="643"/>
    </row>
    <row r="2068" spans="1:16" s="619" customFormat="1" ht="36" x14ac:dyDescent="0.2">
      <c r="A2068" s="626" t="s">
        <v>4789</v>
      </c>
      <c r="B2068" s="626" t="s">
        <v>2032</v>
      </c>
      <c r="C2068" s="638" t="s">
        <v>108</v>
      </c>
      <c r="D2068" s="626" t="s">
        <v>4997</v>
      </c>
      <c r="E2068" s="636">
        <v>1500</v>
      </c>
      <c r="F2068" s="637"/>
      <c r="G2068" s="626" t="s">
        <v>4998</v>
      </c>
      <c r="H2068" s="638"/>
      <c r="I2068" s="626"/>
      <c r="J2068" s="638"/>
      <c r="K2068" s="645">
        <v>1</v>
      </c>
      <c r="L2068" s="681" t="s">
        <v>5059</v>
      </c>
      <c r="M2068" s="684">
        <v>1500</v>
      </c>
      <c r="N2068" s="654"/>
      <c r="O2068" s="685"/>
      <c r="P2068" s="643"/>
    </row>
    <row r="2069" spans="1:16" s="619" customFormat="1" ht="36" x14ac:dyDescent="0.2">
      <c r="A2069" s="626" t="s">
        <v>4789</v>
      </c>
      <c r="B2069" s="626" t="s">
        <v>2032</v>
      </c>
      <c r="C2069" s="638" t="s">
        <v>108</v>
      </c>
      <c r="D2069" s="626" t="s">
        <v>4900</v>
      </c>
      <c r="E2069" s="636">
        <v>1500</v>
      </c>
      <c r="F2069" s="637"/>
      <c r="G2069" s="626" t="s">
        <v>4901</v>
      </c>
      <c r="H2069" s="638"/>
      <c r="I2069" s="626"/>
      <c r="J2069" s="638"/>
      <c r="K2069" s="645">
        <v>1</v>
      </c>
      <c r="L2069" s="681" t="s">
        <v>5059</v>
      </c>
      <c r="M2069" s="684">
        <v>1500</v>
      </c>
      <c r="N2069" s="654"/>
      <c r="O2069" s="685"/>
      <c r="P2069" s="643"/>
    </row>
    <row r="2070" spans="1:16" s="619" customFormat="1" ht="36" x14ac:dyDescent="0.2">
      <c r="A2070" s="626" t="s">
        <v>4789</v>
      </c>
      <c r="B2070" s="626" t="s">
        <v>2032</v>
      </c>
      <c r="C2070" s="638" t="s">
        <v>108</v>
      </c>
      <c r="D2070" s="626" t="s">
        <v>4976</v>
      </c>
      <c r="E2070" s="636">
        <v>1300</v>
      </c>
      <c r="F2070" s="637"/>
      <c r="G2070" s="626" t="s">
        <v>4945</v>
      </c>
      <c r="H2070" s="638"/>
      <c r="I2070" s="626"/>
      <c r="J2070" s="638"/>
      <c r="K2070" s="645">
        <v>1</v>
      </c>
      <c r="L2070" s="681" t="s">
        <v>5059</v>
      </c>
      <c r="M2070" s="684">
        <v>1300</v>
      </c>
      <c r="N2070" s="654"/>
      <c r="O2070" s="685"/>
      <c r="P2070" s="643"/>
    </row>
    <row r="2071" spans="1:16" s="619" customFormat="1" ht="36" x14ac:dyDescent="0.2">
      <c r="A2071" s="626" t="s">
        <v>4789</v>
      </c>
      <c r="B2071" s="626" t="s">
        <v>2032</v>
      </c>
      <c r="C2071" s="638" t="s">
        <v>108</v>
      </c>
      <c r="D2071" s="626" t="s">
        <v>4866</v>
      </c>
      <c r="E2071" s="636">
        <v>1500</v>
      </c>
      <c r="F2071" s="637"/>
      <c r="G2071" s="626" t="s">
        <v>4932</v>
      </c>
      <c r="H2071" s="638"/>
      <c r="I2071" s="626"/>
      <c r="J2071" s="638"/>
      <c r="K2071" s="645">
        <v>1</v>
      </c>
      <c r="L2071" s="681" t="s">
        <v>5059</v>
      </c>
      <c r="M2071" s="684">
        <v>1500</v>
      </c>
      <c r="N2071" s="654"/>
      <c r="O2071" s="685"/>
      <c r="P2071" s="643"/>
    </row>
    <row r="2072" spans="1:16" s="619" customFormat="1" ht="36" x14ac:dyDescent="0.2">
      <c r="A2072" s="626" t="s">
        <v>4789</v>
      </c>
      <c r="B2072" s="626" t="s">
        <v>2275</v>
      </c>
      <c r="C2072" s="638" t="s">
        <v>108</v>
      </c>
      <c r="D2072" s="626" t="s">
        <v>5065</v>
      </c>
      <c r="E2072" s="636">
        <v>1900</v>
      </c>
      <c r="F2072" s="637"/>
      <c r="G2072" s="626" t="s">
        <v>5066</v>
      </c>
      <c r="H2072" s="638"/>
      <c r="I2072" s="626"/>
      <c r="J2072" s="638"/>
      <c r="K2072" s="645">
        <v>1</v>
      </c>
      <c r="L2072" s="681" t="s">
        <v>5059</v>
      </c>
      <c r="M2072" s="684">
        <v>1900</v>
      </c>
      <c r="N2072" s="654"/>
      <c r="O2072" s="685"/>
      <c r="P2072" s="643"/>
    </row>
    <row r="2073" spans="1:16" s="619" customFormat="1" ht="36" x14ac:dyDescent="0.2">
      <c r="A2073" s="626" t="s">
        <v>4789</v>
      </c>
      <c r="B2073" s="626" t="s">
        <v>1908</v>
      </c>
      <c r="C2073" s="638" t="s">
        <v>108</v>
      </c>
      <c r="D2073" s="626" t="s">
        <v>4969</v>
      </c>
      <c r="E2073" s="636">
        <v>1500</v>
      </c>
      <c r="F2073" s="637"/>
      <c r="G2073" s="626" t="s">
        <v>5089</v>
      </c>
      <c r="H2073" s="638"/>
      <c r="I2073" s="626"/>
      <c r="J2073" s="638"/>
      <c r="K2073" s="645">
        <v>1</v>
      </c>
      <c r="L2073" s="681" t="s">
        <v>5059</v>
      </c>
      <c r="M2073" s="684">
        <v>1500</v>
      </c>
      <c r="N2073" s="654"/>
      <c r="O2073" s="685"/>
      <c r="P2073" s="643"/>
    </row>
    <row r="2074" spans="1:16" s="619" customFormat="1" ht="36" x14ac:dyDescent="0.2">
      <c r="A2074" s="626" t="s">
        <v>4789</v>
      </c>
      <c r="B2074" s="626" t="s">
        <v>1908</v>
      </c>
      <c r="C2074" s="638" t="s">
        <v>108</v>
      </c>
      <c r="D2074" s="626" t="s">
        <v>5090</v>
      </c>
      <c r="E2074" s="636">
        <v>1000</v>
      </c>
      <c r="F2074" s="637"/>
      <c r="G2074" s="626" t="s">
        <v>5047</v>
      </c>
      <c r="H2074" s="638"/>
      <c r="I2074" s="626"/>
      <c r="J2074" s="638"/>
      <c r="K2074" s="645">
        <v>1</v>
      </c>
      <c r="L2074" s="681" t="s">
        <v>5059</v>
      </c>
      <c r="M2074" s="684">
        <v>1000</v>
      </c>
      <c r="N2074" s="654"/>
      <c r="O2074" s="685"/>
      <c r="P2074" s="643"/>
    </row>
    <row r="2075" spans="1:16" s="619" customFormat="1" ht="24" x14ac:dyDescent="0.2">
      <c r="A2075" s="626" t="s">
        <v>4789</v>
      </c>
      <c r="B2075" s="626" t="s">
        <v>1908</v>
      </c>
      <c r="C2075" s="638" t="s">
        <v>108</v>
      </c>
      <c r="D2075" s="626" t="s">
        <v>4986</v>
      </c>
      <c r="E2075" s="636">
        <v>1300</v>
      </c>
      <c r="F2075" s="637"/>
      <c r="G2075" s="626" t="s">
        <v>4983</v>
      </c>
      <c r="H2075" s="638"/>
      <c r="I2075" s="626"/>
      <c r="J2075" s="638"/>
      <c r="K2075" s="645">
        <v>1</v>
      </c>
      <c r="L2075" s="681" t="s">
        <v>5059</v>
      </c>
      <c r="M2075" s="684">
        <v>1300</v>
      </c>
      <c r="N2075" s="654"/>
      <c r="O2075" s="685"/>
      <c r="P2075" s="643"/>
    </row>
    <row r="2076" spans="1:16" s="619" customFormat="1" ht="24" x14ac:dyDescent="0.2">
      <c r="A2076" s="626" t="s">
        <v>4789</v>
      </c>
      <c r="B2076" s="626" t="s">
        <v>1908</v>
      </c>
      <c r="C2076" s="638" t="s">
        <v>108</v>
      </c>
      <c r="D2076" s="626" t="s">
        <v>4938</v>
      </c>
      <c r="E2076" s="636">
        <v>1800</v>
      </c>
      <c r="F2076" s="637"/>
      <c r="G2076" s="626" t="s">
        <v>4885</v>
      </c>
      <c r="H2076" s="638"/>
      <c r="I2076" s="626"/>
      <c r="J2076" s="638"/>
      <c r="K2076" s="645">
        <v>1</v>
      </c>
      <c r="L2076" s="681" t="s">
        <v>5059</v>
      </c>
      <c r="M2076" s="684">
        <v>1800</v>
      </c>
      <c r="N2076" s="654"/>
      <c r="O2076" s="685"/>
      <c r="P2076" s="643"/>
    </row>
    <row r="2077" spans="1:16" s="619" customFormat="1" ht="24" x14ac:dyDescent="0.2">
      <c r="A2077" s="626" t="s">
        <v>4789</v>
      </c>
      <c r="B2077" s="626" t="s">
        <v>1908</v>
      </c>
      <c r="C2077" s="638" t="s">
        <v>108</v>
      </c>
      <c r="D2077" s="626" t="s">
        <v>5084</v>
      </c>
      <c r="E2077" s="636">
        <v>2000</v>
      </c>
      <c r="F2077" s="637"/>
      <c r="G2077" s="626" t="s">
        <v>4905</v>
      </c>
      <c r="H2077" s="638"/>
      <c r="I2077" s="626"/>
      <c r="J2077" s="638"/>
      <c r="K2077" s="645">
        <v>1</v>
      </c>
      <c r="L2077" s="681" t="s">
        <v>5059</v>
      </c>
      <c r="M2077" s="684">
        <v>2000</v>
      </c>
      <c r="N2077" s="654"/>
      <c r="O2077" s="685"/>
      <c r="P2077" s="643"/>
    </row>
    <row r="2078" spans="1:16" s="619" customFormat="1" ht="36" x14ac:dyDescent="0.2">
      <c r="A2078" s="626" t="s">
        <v>4789</v>
      </c>
      <c r="B2078" s="626" t="s">
        <v>1908</v>
      </c>
      <c r="C2078" s="638" t="s">
        <v>108</v>
      </c>
      <c r="D2078" s="626" t="s">
        <v>4934</v>
      </c>
      <c r="E2078" s="636">
        <v>1500</v>
      </c>
      <c r="F2078" s="637"/>
      <c r="G2078" s="626" t="s">
        <v>4935</v>
      </c>
      <c r="H2078" s="638"/>
      <c r="I2078" s="626"/>
      <c r="J2078" s="638"/>
      <c r="K2078" s="645">
        <v>1</v>
      </c>
      <c r="L2078" s="681" t="s">
        <v>5059</v>
      </c>
      <c r="M2078" s="684">
        <v>1500</v>
      </c>
      <c r="N2078" s="654"/>
      <c r="O2078" s="685"/>
      <c r="P2078" s="643"/>
    </row>
    <row r="2079" spans="1:16" s="619" customFormat="1" ht="24" x14ac:dyDescent="0.2">
      <c r="A2079" s="626" t="s">
        <v>4789</v>
      </c>
      <c r="B2079" s="626" t="s">
        <v>2032</v>
      </c>
      <c r="C2079" s="638" t="s">
        <v>108</v>
      </c>
      <c r="D2079" s="626" t="s">
        <v>4894</v>
      </c>
      <c r="E2079" s="636">
        <v>1500</v>
      </c>
      <c r="F2079" s="637"/>
      <c r="G2079" s="626" t="s">
        <v>4975</v>
      </c>
      <c r="H2079" s="638"/>
      <c r="I2079" s="626"/>
      <c r="J2079" s="638"/>
      <c r="K2079" s="645">
        <v>1</v>
      </c>
      <c r="L2079" s="681" t="s">
        <v>5059</v>
      </c>
      <c r="M2079" s="684">
        <v>1500</v>
      </c>
      <c r="N2079" s="654"/>
      <c r="O2079" s="685"/>
      <c r="P2079" s="643"/>
    </row>
    <row r="2080" spans="1:16" s="619" customFormat="1" ht="36" x14ac:dyDescent="0.2">
      <c r="A2080" s="626" t="s">
        <v>4789</v>
      </c>
      <c r="B2080" s="626" t="s">
        <v>1908</v>
      </c>
      <c r="C2080" s="638" t="s">
        <v>108</v>
      </c>
      <c r="D2080" s="626" t="s">
        <v>4940</v>
      </c>
      <c r="E2080" s="636">
        <v>1800</v>
      </c>
      <c r="F2080" s="637"/>
      <c r="G2080" s="626" t="s">
        <v>2816</v>
      </c>
      <c r="H2080" s="638"/>
      <c r="I2080" s="626"/>
      <c r="J2080" s="638"/>
      <c r="K2080" s="645">
        <v>1</v>
      </c>
      <c r="L2080" s="681" t="s">
        <v>5059</v>
      </c>
      <c r="M2080" s="684">
        <v>1800</v>
      </c>
      <c r="N2080" s="654"/>
      <c r="O2080" s="685"/>
      <c r="P2080" s="643"/>
    </row>
    <row r="2081" spans="1:16" s="619" customFormat="1" ht="36" x14ac:dyDescent="0.2">
      <c r="A2081" s="626" t="s">
        <v>4789</v>
      </c>
      <c r="B2081" s="626" t="s">
        <v>1908</v>
      </c>
      <c r="C2081" s="638" t="s">
        <v>108</v>
      </c>
      <c r="D2081" s="626" t="s">
        <v>5081</v>
      </c>
      <c r="E2081" s="636">
        <v>1500</v>
      </c>
      <c r="F2081" s="637"/>
      <c r="G2081" s="626" t="s">
        <v>4979</v>
      </c>
      <c r="H2081" s="638"/>
      <c r="I2081" s="626"/>
      <c r="J2081" s="638"/>
      <c r="K2081" s="645">
        <v>1</v>
      </c>
      <c r="L2081" s="681" t="s">
        <v>5059</v>
      </c>
      <c r="M2081" s="684">
        <v>1500</v>
      </c>
      <c r="N2081" s="654"/>
      <c r="O2081" s="685"/>
      <c r="P2081" s="643"/>
    </row>
    <row r="2082" spans="1:16" s="619" customFormat="1" ht="24" x14ac:dyDescent="0.2">
      <c r="A2082" s="626" t="s">
        <v>4789</v>
      </c>
      <c r="B2082" s="626" t="s">
        <v>2032</v>
      </c>
      <c r="C2082" s="638" t="s">
        <v>108</v>
      </c>
      <c r="D2082" s="626" t="s">
        <v>5064</v>
      </c>
      <c r="E2082" s="636">
        <v>2200</v>
      </c>
      <c r="F2082" s="637"/>
      <c r="G2082" s="626" t="s">
        <v>5008</v>
      </c>
      <c r="H2082" s="638"/>
      <c r="I2082" s="626"/>
      <c r="J2082" s="638"/>
      <c r="K2082" s="645">
        <v>1</v>
      </c>
      <c r="L2082" s="681" t="s">
        <v>5059</v>
      </c>
      <c r="M2082" s="684">
        <v>2200</v>
      </c>
      <c r="N2082" s="654"/>
      <c r="O2082" s="685"/>
      <c r="P2082" s="643"/>
    </row>
    <row r="2083" spans="1:16" s="619" customFormat="1" ht="24" x14ac:dyDescent="0.2">
      <c r="A2083" s="626" t="s">
        <v>4789</v>
      </c>
      <c r="B2083" s="626" t="s">
        <v>2032</v>
      </c>
      <c r="C2083" s="638" t="s">
        <v>108</v>
      </c>
      <c r="D2083" s="626" t="s">
        <v>5044</v>
      </c>
      <c r="E2083" s="636">
        <v>1500</v>
      </c>
      <c r="F2083" s="637"/>
      <c r="G2083" s="626" t="s">
        <v>5045</v>
      </c>
      <c r="H2083" s="638"/>
      <c r="I2083" s="626"/>
      <c r="J2083" s="638"/>
      <c r="K2083" s="645">
        <v>1</v>
      </c>
      <c r="L2083" s="681" t="s">
        <v>5059</v>
      </c>
      <c r="M2083" s="684">
        <v>1500</v>
      </c>
      <c r="N2083" s="654"/>
      <c r="O2083" s="685"/>
      <c r="P2083" s="643"/>
    </row>
    <row r="2084" spans="1:16" s="619" customFormat="1" ht="36" x14ac:dyDescent="0.2">
      <c r="A2084" s="626" t="s">
        <v>4789</v>
      </c>
      <c r="B2084" s="626" t="s">
        <v>1908</v>
      </c>
      <c r="C2084" s="638" t="s">
        <v>108</v>
      </c>
      <c r="D2084" s="626" t="s">
        <v>5076</v>
      </c>
      <c r="E2084" s="636">
        <v>1300</v>
      </c>
      <c r="F2084" s="637"/>
      <c r="G2084" s="626" t="s">
        <v>5077</v>
      </c>
      <c r="H2084" s="638"/>
      <c r="I2084" s="626"/>
      <c r="J2084" s="638"/>
      <c r="K2084" s="645">
        <v>1</v>
      </c>
      <c r="L2084" s="681" t="s">
        <v>5059</v>
      </c>
      <c r="M2084" s="684">
        <v>1300</v>
      </c>
      <c r="N2084" s="654"/>
      <c r="O2084" s="685"/>
      <c r="P2084" s="643"/>
    </row>
    <row r="2085" spans="1:16" s="619" customFormat="1" ht="36" x14ac:dyDescent="0.2">
      <c r="A2085" s="626" t="s">
        <v>4789</v>
      </c>
      <c r="B2085" s="626" t="s">
        <v>2275</v>
      </c>
      <c r="C2085" s="638" t="s">
        <v>108</v>
      </c>
      <c r="D2085" s="626" t="s">
        <v>5000</v>
      </c>
      <c r="E2085" s="636">
        <v>1500</v>
      </c>
      <c r="F2085" s="637"/>
      <c r="G2085" s="626" t="s">
        <v>5001</v>
      </c>
      <c r="H2085" s="638"/>
      <c r="I2085" s="626"/>
      <c r="J2085" s="638"/>
      <c r="K2085" s="645">
        <v>1</v>
      </c>
      <c r="L2085" s="681" t="s">
        <v>5059</v>
      </c>
      <c r="M2085" s="684">
        <v>1500</v>
      </c>
      <c r="N2085" s="654"/>
      <c r="O2085" s="685"/>
      <c r="P2085" s="643"/>
    </row>
    <row r="2086" spans="1:16" s="619" customFormat="1" ht="36" x14ac:dyDescent="0.2">
      <c r="A2086" s="626" t="s">
        <v>4789</v>
      </c>
      <c r="B2086" s="626" t="s">
        <v>2275</v>
      </c>
      <c r="C2086" s="638" t="s">
        <v>108</v>
      </c>
      <c r="D2086" s="626" t="s">
        <v>5002</v>
      </c>
      <c r="E2086" s="636">
        <v>1000</v>
      </c>
      <c r="F2086" s="637"/>
      <c r="G2086" s="626" t="s">
        <v>4867</v>
      </c>
      <c r="H2086" s="638"/>
      <c r="I2086" s="626"/>
      <c r="J2086" s="638"/>
      <c r="K2086" s="645">
        <v>1</v>
      </c>
      <c r="L2086" s="681" t="s">
        <v>5059</v>
      </c>
      <c r="M2086" s="684">
        <v>1000</v>
      </c>
      <c r="N2086" s="654"/>
      <c r="O2086" s="685"/>
      <c r="P2086" s="643"/>
    </row>
    <row r="2087" spans="1:16" s="619" customFormat="1" ht="36" x14ac:dyDescent="0.2">
      <c r="A2087" s="626" t="s">
        <v>4789</v>
      </c>
      <c r="B2087" s="626" t="s">
        <v>2275</v>
      </c>
      <c r="C2087" s="638" t="s">
        <v>108</v>
      </c>
      <c r="D2087" s="626" t="s">
        <v>5091</v>
      </c>
      <c r="E2087" s="636">
        <v>1500</v>
      </c>
      <c r="F2087" s="637"/>
      <c r="G2087" s="626" t="s">
        <v>3560</v>
      </c>
      <c r="H2087" s="638"/>
      <c r="I2087" s="626"/>
      <c r="J2087" s="638"/>
      <c r="K2087" s="645">
        <v>1</v>
      </c>
      <c r="L2087" s="681" t="s">
        <v>5059</v>
      </c>
      <c r="M2087" s="684">
        <v>1500</v>
      </c>
      <c r="N2087" s="654"/>
      <c r="O2087" s="685"/>
      <c r="P2087" s="643"/>
    </row>
    <row r="2088" spans="1:16" s="619" customFormat="1" ht="24" x14ac:dyDescent="0.2">
      <c r="A2088" s="626" t="s">
        <v>4789</v>
      </c>
      <c r="B2088" s="626" t="s">
        <v>1908</v>
      </c>
      <c r="C2088" s="638" t="s">
        <v>108</v>
      </c>
      <c r="D2088" s="626" t="s">
        <v>5063</v>
      </c>
      <c r="E2088" s="636">
        <v>2100</v>
      </c>
      <c r="F2088" s="637"/>
      <c r="G2088" s="626" t="s">
        <v>5022</v>
      </c>
      <c r="H2088" s="638"/>
      <c r="I2088" s="626"/>
      <c r="J2088" s="638"/>
      <c r="K2088" s="645">
        <v>1</v>
      </c>
      <c r="L2088" s="681" t="s">
        <v>5059</v>
      </c>
      <c r="M2088" s="684">
        <v>2100</v>
      </c>
      <c r="N2088" s="654"/>
      <c r="O2088" s="685"/>
      <c r="P2088" s="643"/>
    </row>
    <row r="2089" spans="1:16" s="619" customFormat="1" ht="48" x14ac:dyDescent="0.2">
      <c r="A2089" s="626" t="s">
        <v>4789</v>
      </c>
      <c r="B2089" s="626" t="s">
        <v>1908</v>
      </c>
      <c r="C2089" s="638" t="s">
        <v>108</v>
      </c>
      <c r="D2089" s="626" t="s">
        <v>5092</v>
      </c>
      <c r="E2089" s="636">
        <v>800</v>
      </c>
      <c r="F2089" s="637"/>
      <c r="G2089" s="626" t="s">
        <v>5093</v>
      </c>
      <c r="H2089" s="638"/>
      <c r="I2089" s="626"/>
      <c r="J2089" s="638"/>
      <c r="K2089" s="645">
        <v>1</v>
      </c>
      <c r="L2089" s="681" t="s">
        <v>5059</v>
      </c>
      <c r="M2089" s="684">
        <v>800</v>
      </c>
      <c r="N2089" s="654"/>
      <c r="O2089" s="685"/>
      <c r="P2089" s="643"/>
    </row>
    <row r="2090" spans="1:16" s="619" customFormat="1" ht="36" x14ac:dyDescent="0.2">
      <c r="A2090" s="626" t="s">
        <v>4789</v>
      </c>
      <c r="B2090" s="626" t="s">
        <v>1908</v>
      </c>
      <c r="C2090" s="638" t="s">
        <v>108</v>
      </c>
      <c r="D2090" s="626" t="s">
        <v>5094</v>
      </c>
      <c r="E2090" s="636">
        <v>1500</v>
      </c>
      <c r="F2090" s="637"/>
      <c r="G2090" s="626" t="s">
        <v>4869</v>
      </c>
      <c r="H2090" s="638"/>
      <c r="I2090" s="626"/>
      <c r="J2090" s="638"/>
      <c r="K2090" s="645">
        <v>1</v>
      </c>
      <c r="L2090" s="681" t="s">
        <v>5059</v>
      </c>
      <c r="M2090" s="684">
        <v>1500</v>
      </c>
      <c r="N2090" s="654"/>
      <c r="O2090" s="685"/>
      <c r="P2090" s="643"/>
    </row>
    <row r="2091" spans="1:16" s="619" customFormat="1" ht="24" x14ac:dyDescent="0.2">
      <c r="A2091" s="626" t="s">
        <v>4789</v>
      </c>
      <c r="B2091" s="626" t="s">
        <v>1908</v>
      </c>
      <c r="C2091" s="638" t="s">
        <v>108</v>
      </c>
      <c r="D2091" s="626" t="s">
        <v>5014</v>
      </c>
      <c r="E2091" s="636">
        <v>2100</v>
      </c>
      <c r="F2091" s="637"/>
      <c r="G2091" s="626" t="s">
        <v>2625</v>
      </c>
      <c r="H2091" s="638"/>
      <c r="I2091" s="626"/>
      <c r="J2091" s="638"/>
      <c r="K2091" s="645">
        <v>1</v>
      </c>
      <c r="L2091" s="681" t="s">
        <v>5059</v>
      </c>
      <c r="M2091" s="684">
        <v>2100</v>
      </c>
      <c r="N2091" s="654"/>
      <c r="O2091" s="685"/>
      <c r="P2091" s="643"/>
    </row>
    <row r="2092" spans="1:16" s="619" customFormat="1" ht="24" x14ac:dyDescent="0.2">
      <c r="A2092" s="626" t="s">
        <v>4789</v>
      </c>
      <c r="B2092" s="626" t="s">
        <v>1908</v>
      </c>
      <c r="C2092" s="638" t="s">
        <v>108</v>
      </c>
      <c r="D2092" s="626" t="s">
        <v>5085</v>
      </c>
      <c r="E2092" s="636">
        <v>1200</v>
      </c>
      <c r="F2092" s="637"/>
      <c r="G2092" s="626" t="s">
        <v>4872</v>
      </c>
      <c r="H2092" s="638"/>
      <c r="I2092" s="626"/>
      <c r="J2092" s="638"/>
      <c r="K2092" s="645">
        <v>1</v>
      </c>
      <c r="L2092" s="681" t="s">
        <v>5059</v>
      </c>
      <c r="M2092" s="684">
        <v>1200</v>
      </c>
      <c r="N2092" s="654"/>
      <c r="O2092" s="685"/>
      <c r="P2092" s="643"/>
    </row>
    <row r="2093" spans="1:16" s="619" customFormat="1" ht="36" x14ac:dyDescent="0.2">
      <c r="A2093" s="626" t="s">
        <v>4789</v>
      </c>
      <c r="B2093" s="626" t="s">
        <v>1908</v>
      </c>
      <c r="C2093" s="638" t="s">
        <v>108</v>
      </c>
      <c r="D2093" s="626" t="s">
        <v>4938</v>
      </c>
      <c r="E2093" s="636">
        <v>1620</v>
      </c>
      <c r="F2093" s="637"/>
      <c r="G2093" s="626" t="s">
        <v>5095</v>
      </c>
      <c r="H2093" s="638"/>
      <c r="I2093" s="626"/>
      <c r="J2093" s="638"/>
      <c r="K2093" s="645">
        <v>1</v>
      </c>
      <c r="L2093" s="681" t="s">
        <v>5059</v>
      </c>
      <c r="M2093" s="684">
        <v>1620</v>
      </c>
      <c r="N2093" s="654"/>
      <c r="O2093" s="685"/>
      <c r="P2093" s="643"/>
    </row>
    <row r="2094" spans="1:16" s="619" customFormat="1" ht="24" x14ac:dyDescent="0.2">
      <c r="A2094" s="626" t="s">
        <v>4789</v>
      </c>
      <c r="B2094" s="626" t="s">
        <v>1908</v>
      </c>
      <c r="C2094" s="638" t="s">
        <v>108</v>
      </c>
      <c r="D2094" s="626" t="s">
        <v>5096</v>
      </c>
      <c r="E2094" s="636">
        <v>1620</v>
      </c>
      <c r="F2094" s="637"/>
      <c r="G2094" s="626" t="s">
        <v>5097</v>
      </c>
      <c r="H2094" s="638"/>
      <c r="I2094" s="626"/>
      <c r="J2094" s="638"/>
      <c r="K2094" s="645">
        <v>1</v>
      </c>
      <c r="L2094" s="681" t="s">
        <v>5059</v>
      </c>
      <c r="M2094" s="684">
        <v>1620</v>
      </c>
      <c r="N2094" s="654"/>
      <c r="O2094" s="685"/>
      <c r="P2094" s="643"/>
    </row>
    <row r="2095" spans="1:16" s="619" customFormat="1" ht="36" x14ac:dyDescent="0.2">
      <c r="A2095" s="626" t="s">
        <v>4789</v>
      </c>
      <c r="B2095" s="626" t="s">
        <v>2275</v>
      </c>
      <c r="C2095" s="638" t="s">
        <v>108</v>
      </c>
      <c r="D2095" s="626" t="s">
        <v>5098</v>
      </c>
      <c r="E2095" s="636">
        <v>1500</v>
      </c>
      <c r="F2095" s="637"/>
      <c r="G2095" s="626" t="s">
        <v>4865</v>
      </c>
      <c r="H2095" s="638"/>
      <c r="I2095" s="626"/>
      <c r="J2095" s="638"/>
      <c r="K2095" s="645">
        <v>1</v>
      </c>
      <c r="L2095" s="681" t="s">
        <v>5059</v>
      </c>
      <c r="M2095" s="684">
        <v>1500</v>
      </c>
      <c r="N2095" s="654"/>
      <c r="O2095" s="685"/>
      <c r="P2095" s="643"/>
    </row>
    <row r="2096" spans="1:16" s="619" customFormat="1" ht="36" x14ac:dyDescent="0.2">
      <c r="A2096" s="626" t="s">
        <v>4789</v>
      </c>
      <c r="B2096" s="626" t="s">
        <v>1908</v>
      </c>
      <c r="C2096" s="638" t="s">
        <v>108</v>
      </c>
      <c r="D2096" s="626" t="s">
        <v>2252</v>
      </c>
      <c r="E2096" s="636">
        <v>1500</v>
      </c>
      <c r="F2096" s="637"/>
      <c r="G2096" s="626" t="s">
        <v>5099</v>
      </c>
      <c r="H2096" s="638"/>
      <c r="I2096" s="626"/>
      <c r="J2096" s="638"/>
      <c r="K2096" s="645">
        <v>1</v>
      </c>
      <c r="L2096" s="681" t="s">
        <v>5059</v>
      </c>
      <c r="M2096" s="684">
        <v>1500</v>
      </c>
      <c r="N2096" s="654"/>
      <c r="O2096" s="685"/>
      <c r="P2096" s="643"/>
    </row>
    <row r="2097" spans="1:16" s="619" customFormat="1" ht="36" x14ac:dyDescent="0.2">
      <c r="A2097" s="626" t="s">
        <v>4789</v>
      </c>
      <c r="B2097" s="626" t="s">
        <v>2275</v>
      </c>
      <c r="C2097" s="638" t="s">
        <v>108</v>
      </c>
      <c r="D2097" s="626" t="s">
        <v>5100</v>
      </c>
      <c r="E2097" s="636">
        <v>900</v>
      </c>
      <c r="F2097" s="637"/>
      <c r="G2097" s="626" t="s">
        <v>5080</v>
      </c>
      <c r="H2097" s="638"/>
      <c r="I2097" s="626"/>
      <c r="J2097" s="638"/>
      <c r="K2097" s="645">
        <v>1</v>
      </c>
      <c r="L2097" s="681" t="s">
        <v>5059</v>
      </c>
      <c r="M2097" s="684">
        <v>900</v>
      </c>
      <c r="N2097" s="654"/>
      <c r="O2097" s="685"/>
      <c r="P2097" s="643"/>
    </row>
    <row r="2098" spans="1:16" s="619" customFormat="1" ht="48" x14ac:dyDescent="0.2">
      <c r="A2098" s="626" t="s">
        <v>4789</v>
      </c>
      <c r="B2098" s="626" t="s">
        <v>2275</v>
      </c>
      <c r="C2098" s="638" t="s">
        <v>108</v>
      </c>
      <c r="D2098" s="626" t="s">
        <v>5101</v>
      </c>
      <c r="E2098" s="636">
        <v>373.15</v>
      </c>
      <c r="F2098" s="637"/>
      <c r="G2098" s="626" t="s">
        <v>5071</v>
      </c>
      <c r="H2098" s="638"/>
      <c r="I2098" s="626"/>
      <c r="J2098" s="638"/>
      <c r="K2098" s="645">
        <v>1</v>
      </c>
      <c r="L2098" s="681" t="s">
        <v>5059</v>
      </c>
      <c r="M2098" s="684">
        <v>373.15</v>
      </c>
      <c r="N2098" s="654"/>
      <c r="O2098" s="685"/>
      <c r="P2098" s="643"/>
    </row>
    <row r="2099" spans="1:16" s="619" customFormat="1" ht="24" x14ac:dyDescent="0.2">
      <c r="A2099" s="626" t="s">
        <v>4789</v>
      </c>
      <c r="B2099" s="626" t="s">
        <v>1908</v>
      </c>
      <c r="C2099" s="638" t="s">
        <v>108</v>
      </c>
      <c r="D2099" s="626" t="s">
        <v>5102</v>
      </c>
      <c r="E2099" s="636">
        <v>3250</v>
      </c>
      <c r="F2099" s="637"/>
      <c r="G2099" s="626" t="s">
        <v>5103</v>
      </c>
      <c r="H2099" s="638"/>
      <c r="I2099" s="626"/>
      <c r="J2099" s="638"/>
      <c r="K2099" s="645">
        <v>1</v>
      </c>
      <c r="L2099" s="681" t="s">
        <v>5059</v>
      </c>
      <c r="M2099" s="684">
        <v>3250</v>
      </c>
      <c r="N2099" s="654"/>
      <c r="O2099" s="685"/>
      <c r="P2099" s="643"/>
    </row>
    <row r="2100" spans="1:16" s="619" customFormat="1" ht="36" x14ac:dyDescent="0.2">
      <c r="A2100" s="626" t="s">
        <v>4789</v>
      </c>
      <c r="B2100" s="626" t="s">
        <v>2275</v>
      </c>
      <c r="C2100" s="638" t="s">
        <v>108</v>
      </c>
      <c r="D2100" s="626" t="s">
        <v>5104</v>
      </c>
      <c r="E2100" s="636">
        <v>3000</v>
      </c>
      <c r="F2100" s="637"/>
      <c r="G2100" s="626" t="s">
        <v>4883</v>
      </c>
      <c r="H2100" s="638"/>
      <c r="I2100" s="626"/>
      <c r="J2100" s="638"/>
      <c r="K2100" s="645">
        <v>1</v>
      </c>
      <c r="L2100" s="681" t="s">
        <v>5059</v>
      </c>
      <c r="M2100" s="684">
        <v>3000</v>
      </c>
      <c r="N2100" s="654"/>
      <c r="O2100" s="685"/>
      <c r="P2100" s="643"/>
    </row>
    <row r="2101" spans="1:16" s="619" customFormat="1" ht="36" x14ac:dyDescent="0.2">
      <c r="A2101" s="626" t="s">
        <v>4789</v>
      </c>
      <c r="B2101" s="626" t="s">
        <v>2032</v>
      </c>
      <c r="C2101" s="638" t="s">
        <v>108</v>
      </c>
      <c r="D2101" s="626" t="s">
        <v>5105</v>
      </c>
      <c r="E2101" s="636">
        <v>1200</v>
      </c>
      <c r="F2101" s="637"/>
      <c r="G2101" s="626" t="s">
        <v>4959</v>
      </c>
      <c r="H2101" s="638"/>
      <c r="I2101" s="626"/>
      <c r="J2101" s="638"/>
      <c r="K2101" s="645">
        <v>1</v>
      </c>
      <c r="L2101" s="681" t="s">
        <v>5059</v>
      </c>
      <c r="M2101" s="684">
        <v>1200</v>
      </c>
      <c r="N2101" s="654"/>
      <c r="O2101" s="685"/>
      <c r="P2101" s="643"/>
    </row>
    <row r="2102" spans="1:16" s="619" customFormat="1" ht="36" x14ac:dyDescent="0.2">
      <c r="A2102" s="626" t="s">
        <v>4789</v>
      </c>
      <c r="B2102" s="626" t="s">
        <v>2032</v>
      </c>
      <c r="C2102" s="638" t="s">
        <v>108</v>
      </c>
      <c r="D2102" s="626" t="s">
        <v>4969</v>
      </c>
      <c r="E2102" s="636">
        <v>1500</v>
      </c>
      <c r="F2102" s="637"/>
      <c r="G2102" s="626" t="s">
        <v>4903</v>
      </c>
      <c r="H2102" s="638"/>
      <c r="I2102" s="626"/>
      <c r="J2102" s="638"/>
      <c r="K2102" s="645">
        <v>1</v>
      </c>
      <c r="L2102" s="681" t="s">
        <v>5059</v>
      </c>
      <c r="M2102" s="684">
        <v>1500</v>
      </c>
      <c r="N2102" s="654"/>
      <c r="O2102" s="685"/>
      <c r="P2102" s="643"/>
    </row>
    <row r="2103" spans="1:16" s="619" customFormat="1" ht="24" x14ac:dyDescent="0.2">
      <c r="A2103" s="626" t="s">
        <v>4789</v>
      </c>
      <c r="B2103" s="626" t="s">
        <v>1908</v>
      </c>
      <c r="C2103" s="638" t="s">
        <v>108</v>
      </c>
      <c r="D2103" s="626" t="s">
        <v>5106</v>
      </c>
      <c r="E2103" s="636">
        <v>1250</v>
      </c>
      <c r="F2103" s="637"/>
      <c r="G2103" s="626" t="s">
        <v>2243</v>
      </c>
      <c r="H2103" s="638"/>
      <c r="I2103" s="626"/>
      <c r="J2103" s="638"/>
      <c r="K2103" s="645">
        <v>1</v>
      </c>
      <c r="L2103" s="681" t="s">
        <v>5059</v>
      </c>
      <c r="M2103" s="684">
        <v>1250</v>
      </c>
      <c r="N2103" s="654"/>
      <c r="O2103" s="685"/>
      <c r="P2103" s="643"/>
    </row>
    <row r="2104" spans="1:16" s="619" customFormat="1" ht="24" x14ac:dyDescent="0.2">
      <c r="A2104" s="626" t="s">
        <v>4789</v>
      </c>
      <c r="B2104" s="626" t="s">
        <v>1908</v>
      </c>
      <c r="C2104" s="638" t="s">
        <v>108</v>
      </c>
      <c r="D2104" s="626" t="s">
        <v>5063</v>
      </c>
      <c r="E2104" s="636">
        <v>2100</v>
      </c>
      <c r="F2104" s="637"/>
      <c r="G2104" s="626" t="s">
        <v>5022</v>
      </c>
      <c r="H2104" s="638"/>
      <c r="I2104" s="626"/>
      <c r="J2104" s="638"/>
      <c r="K2104" s="645">
        <v>1</v>
      </c>
      <c r="L2104" s="681" t="s">
        <v>5059</v>
      </c>
      <c r="M2104" s="684">
        <v>2100</v>
      </c>
      <c r="N2104" s="654"/>
      <c r="O2104" s="685"/>
      <c r="P2104" s="643"/>
    </row>
    <row r="2105" spans="1:16" s="619" customFormat="1" ht="24" x14ac:dyDescent="0.2">
      <c r="A2105" s="626" t="s">
        <v>4789</v>
      </c>
      <c r="B2105" s="626" t="s">
        <v>1908</v>
      </c>
      <c r="C2105" s="638" t="s">
        <v>108</v>
      </c>
      <c r="D2105" s="626" t="s">
        <v>4875</v>
      </c>
      <c r="E2105" s="636">
        <v>2100</v>
      </c>
      <c r="F2105" s="637"/>
      <c r="G2105" s="626" t="s">
        <v>2625</v>
      </c>
      <c r="H2105" s="638"/>
      <c r="I2105" s="626"/>
      <c r="J2105" s="638"/>
      <c r="K2105" s="645">
        <v>1</v>
      </c>
      <c r="L2105" s="681" t="s">
        <v>5059</v>
      </c>
      <c r="M2105" s="684">
        <v>2100</v>
      </c>
      <c r="N2105" s="654"/>
      <c r="O2105" s="685"/>
      <c r="P2105" s="643"/>
    </row>
    <row r="2106" spans="1:16" s="619" customFormat="1" ht="24" x14ac:dyDescent="0.2">
      <c r="A2106" s="626" t="s">
        <v>4789</v>
      </c>
      <c r="B2106" s="626" t="s">
        <v>1908</v>
      </c>
      <c r="C2106" s="638" t="s">
        <v>108</v>
      </c>
      <c r="D2106" s="626" t="s">
        <v>4986</v>
      </c>
      <c r="E2106" s="636">
        <v>1300</v>
      </c>
      <c r="F2106" s="637"/>
      <c r="G2106" s="626" t="s">
        <v>4983</v>
      </c>
      <c r="H2106" s="638"/>
      <c r="I2106" s="626"/>
      <c r="J2106" s="638"/>
      <c r="K2106" s="645">
        <v>1</v>
      </c>
      <c r="L2106" s="681" t="s">
        <v>5059</v>
      </c>
      <c r="M2106" s="684">
        <v>1300</v>
      </c>
      <c r="N2106" s="654"/>
      <c r="O2106" s="685"/>
      <c r="P2106" s="643"/>
    </row>
    <row r="2107" spans="1:16" s="619" customFormat="1" ht="36" x14ac:dyDescent="0.2">
      <c r="A2107" s="626" t="s">
        <v>4789</v>
      </c>
      <c r="B2107" s="626" t="s">
        <v>1908</v>
      </c>
      <c r="C2107" s="638" t="s">
        <v>108</v>
      </c>
      <c r="D2107" s="626" t="s">
        <v>4934</v>
      </c>
      <c r="E2107" s="636">
        <v>1500</v>
      </c>
      <c r="F2107" s="637"/>
      <c r="G2107" s="626" t="s">
        <v>4935</v>
      </c>
      <c r="H2107" s="638"/>
      <c r="I2107" s="626"/>
      <c r="J2107" s="638"/>
      <c r="K2107" s="645">
        <v>1</v>
      </c>
      <c r="L2107" s="681" t="s">
        <v>5059</v>
      </c>
      <c r="M2107" s="684">
        <v>1500</v>
      </c>
      <c r="N2107" s="654"/>
      <c r="O2107" s="685"/>
      <c r="P2107" s="643"/>
    </row>
    <row r="2108" spans="1:16" s="619" customFormat="1" ht="24" x14ac:dyDescent="0.2">
      <c r="A2108" s="626" t="s">
        <v>4789</v>
      </c>
      <c r="B2108" s="626" t="s">
        <v>1908</v>
      </c>
      <c r="C2108" s="638" t="s">
        <v>108</v>
      </c>
      <c r="D2108" s="626" t="s">
        <v>4938</v>
      </c>
      <c r="E2108" s="636">
        <v>1800</v>
      </c>
      <c r="F2108" s="637"/>
      <c r="G2108" s="626" t="s">
        <v>4885</v>
      </c>
      <c r="H2108" s="638"/>
      <c r="I2108" s="626"/>
      <c r="J2108" s="638"/>
      <c r="K2108" s="645">
        <v>1</v>
      </c>
      <c r="L2108" s="681" t="s">
        <v>5059</v>
      </c>
      <c r="M2108" s="684">
        <v>1800</v>
      </c>
      <c r="N2108" s="654"/>
      <c r="O2108" s="685"/>
      <c r="P2108" s="643"/>
    </row>
    <row r="2109" spans="1:16" s="619" customFormat="1" ht="36" x14ac:dyDescent="0.2">
      <c r="A2109" s="626" t="s">
        <v>4789</v>
      </c>
      <c r="B2109" s="626" t="s">
        <v>1908</v>
      </c>
      <c r="C2109" s="638" t="s">
        <v>108</v>
      </c>
      <c r="D2109" s="626" t="s">
        <v>4940</v>
      </c>
      <c r="E2109" s="636">
        <v>1800</v>
      </c>
      <c r="F2109" s="637"/>
      <c r="G2109" s="626" t="s">
        <v>2816</v>
      </c>
      <c r="H2109" s="638"/>
      <c r="I2109" s="626"/>
      <c r="J2109" s="638"/>
      <c r="K2109" s="645">
        <v>1</v>
      </c>
      <c r="L2109" s="681" t="s">
        <v>5059</v>
      </c>
      <c r="M2109" s="684">
        <v>1800</v>
      </c>
      <c r="N2109" s="654"/>
      <c r="O2109" s="685"/>
      <c r="P2109" s="643"/>
    </row>
    <row r="2110" spans="1:16" s="619" customFormat="1" ht="24" x14ac:dyDescent="0.2">
      <c r="A2110" s="626" t="s">
        <v>4789</v>
      </c>
      <c r="B2110" s="626" t="s">
        <v>1908</v>
      </c>
      <c r="C2110" s="638" t="s">
        <v>108</v>
      </c>
      <c r="D2110" s="626" t="s">
        <v>5096</v>
      </c>
      <c r="E2110" s="636">
        <v>1800</v>
      </c>
      <c r="F2110" s="637"/>
      <c r="G2110" s="626" t="s">
        <v>5097</v>
      </c>
      <c r="H2110" s="638"/>
      <c r="I2110" s="626"/>
      <c r="J2110" s="638"/>
      <c r="K2110" s="645">
        <v>1</v>
      </c>
      <c r="L2110" s="681" t="s">
        <v>5059</v>
      </c>
      <c r="M2110" s="684">
        <v>1800</v>
      </c>
      <c r="N2110" s="654"/>
      <c r="O2110" s="685"/>
      <c r="P2110" s="643"/>
    </row>
    <row r="2111" spans="1:16" s="619" customFormat="1" ht="36" x14ac:dyDescent="0.2">
      <c r="A2111" s="626" t="s">
        <v>4789</v>
      </c>
      <c r="B2111" s="626" t="s">
        <v>1908</v>
      </c>
      <c r="C2111" s="638" t="s">
        <v>108</v>
      </c>
      <c r="D2111" s="626" t="s">
        <v>4938</v>
      </c>
      <c r="E2111" s="636">
        <v>1800</v>
      </c>
      <c r="F2111" s="637"/>
      <c r="G2111" s="626" t="s">
        <v>5095</v>
      </c>
      <c r="H2111" s="638"/>
      <c r="I2111" s="626"/>
      <c r="J2111" s="638"/>
      <c r="K2111" s="645">
        <v>1</v>
      </c>
      <c r="L2111" s="681" t="s">
        <v>5059</v>
      </c>
      <c r="M2111" s="684">
        <v>1800</v>
      </c>
      <c r="N2111" s="654"/>
      <c r="O2111" s="685"/>
      <c r="P2111" s="643"/>
    </row>
    <row r="2112" spans="1:16" s="619" customFormat="1" ht="24" x14ac:dyDescent="0.2">
      <c r="A2112" s="626" t="s">
        <v>4789</v>
      </c>
      <c r="B2112" s="626" t="s">
        <v>1908</v>
      </c>
      <c r="C2112" s="638" t="s">
        <v>108</v>
      </c>
      <c r="D2112" s="626" t="s">
        <v>5084</v>
      </c>
      <c r="E2112" s="636">
        <v>2000</v>
      </c>
      <c r="F2112" s="637"/>
      <c r="G2112" s="626" t="s">
        <v>4905</v>
      </c>
      <c r="H2112" s="638"/>
      <c r="I2112" s="626"/>
      <c r="J2112" s="638"/>
      <c r="K2112" s="645">
        <v>1</v>
      </c>
      <c r="L2112" s="681" t="s">
        <v>5059</v>
      </c>
      <c r="M2112" s="684">
        <v>2000</v>
      </c>
      <c r="N2112" s="654"/>
      <c r="O2112" s="685"/>
      <c r="P2112" s="643"/>
    </row>
    <row r="2113" spans="1:16" s="619" customFormat="1" ht="36" x14ac:dyDescent="0.2">
      <c r="A2113" s="626" t="s">
        <v>4789</v>
      </c>
      <c r="B2113" s="626" t="s">
        <v>1908</v>
      </c>
      <c r="C2113" s="638" t="s">
        <v>108</v>
      </c>
      <c r="D2113" s="626" t="s">
        <v>5081</v>
      </c>
      <c r="E2113" s="636">
        <v>1500</v>
      </c>
      <c r="F2113" s="637"/>
      <c r="G2113" s="626" t="s">
        <v>4979</v>
      </c>
      <c r="H2113" s="638"/>
      <c r="I2113" s="626"/>
      <c r="J2113" s="638"/>
      <c r="K2113" s="645">
        <v>1</v>
      </c>
      <c r="L2113" s="681" t="s">
        <v>5059</v>
      </c>
      <c r="M2113" s="684">
        <v>1500</v>
      </c>
      <c r="N2113" s="654"/>
      <c r="O2113" s="685"/>
      <c r="P2113" s="643"/>
    </row>
    <row r="2114" spans="1:16" s="619" customFormat="1" ht="36" x14ac:dyDescent="0.2">
      <c r="A2114" s="626" t="s">
        <v>4789</v>
      </c>
      <c r="B2114" s="626" t="s">
        <v>1908</v>
      </c>
      <c r="C2114" s="638" t="s">
        <v>108</v>
      </c>
      <c r="D2114" s="626" t="s">
        <v>4868</v>
      </c>
      <c r="E2114" s="636">
        <v>1500</v>
      </c>
      <c r="F2114" s="637"/>
      <c r="G2114" s="626" t="s">
        <v>4869</v>
      </c>
      <c r="H2114" s="638"/>
      <c r="I2114" s="626"/>
      <c r="J2114" s="638"/>
      <c r="K2114" s="645">
        <v>1</v>
      </c>
      <c r="L2114" s="681" t="s">
        <v>5059</v>
      </c>
      <c r="M2114" s="684">
        <v>1500</v>
      </c>
      <c r="N2114" s="654"/>
      <c r="O2114" s="685"/>
      <c r="P2114" s="643"/>
    </row>
    <row r="2115" spans="1:16" s="619" customFormat="1" ht="24" x14ac:dyDescent="0.2">
      <c r="A2115" s="626" t="s">
        <v>4789</v>
      </c>
      <c r="B2115" s="626" t="s">
        <v>1908</v>
      </c>
      <c r="C2115" s="638" t="s">
        <v>108</v>
      </c>
      <c r="D2115" s="626" t="s">
        <v>4868</v>
      </c>
      <c r="E2115" s="636">
        <v>1200</v>
      </c>
      <c r="F2115" s="637"/>
      <c r="G2115" s="626" t="s">
        <v>4872</v>
      </c>
      <c r="H2115" s="638"/>
      <c r="I2115" s="626"/>
      <c r="J2115" s="638"/>
      <c r="K2115" s="645">
        <v>1</v>
      </c>
      <c r="L2115" s="681" t="s">
        <v>5059</v>
      </c>
      <c r="M2115" s="684">
        <v>1200</v>
      </c>
      <c r="N2115" s="654"/>
      <c r="O2115" s="685"/>
      <c r="P2115" s="643"/>
    </row>
    <row r="2116" spans="1:16" s="619" customFormat="1" ht="36" x14ac:dyDescent="0.2">
      <c r="A2116" s="626" t="s">
        <v>4789</v>
      </c>
      <c r="B2116" s="626" t="s">
        <v>2275</v>
      </c>
      <c r="C2116" s="638" t="s">
        <v>108</v>
      </c>
      <c r="D2116" s="626" t="s">
        <v>4890</v>
      </c>
      <c r="E2116" s="636">
        <v>5000</v>
      </c>
      <c r="F2116" s="637"/>
      <c r="G2116" s="626" t="s">
        <v>5107</v>
      </c>
      <c r="H2116" s="638"/>
      <c r="I2116" s="626"/>
      <c r="J2116" s="638"/>
      <c r="K2116" s="645">
        <v>1</v>
      </c>
      <c r="L2116" s="681" t="s">
        <v>5059</v>
      </c>
      <c r="M2116" s="684">
        <v>5000</v>
      </c>
      <c r="N2116" s="654"/>
      <c r="O2116" s="685"/>
      <c r="P2116" s="643"/>
    </row>
    <row r="2117" spans="1:16" s="619" customFormat="1" ht="36" x14ac:dyDescent="0.2">
      <c r="A2117" s="626" t="s">
        <v>4789</v>
      </c>
      <c r="B2117" s="626" t="s">
        <v>1908</v>
      </c>
      <c r="C2117" s="638" t="s">
        <v>108</v>
      </c>
      <c r="D2117" s="626" t="s">
        <v>5085</v>
      </c>
      <c r="E2117" s="636">
        <v>300</v>
      </c>
      <c r="F2117" s="637"/>
      <c r="G2117" s="626" t="s">
        <v>4870</v>
      </c>
      <c r="H2117" s="638"/>
      <c r="I2117" s="626"/>
      <c r="J2117" s="638"/>
      <c r="K2117" s="645">
        <v>1</v>
      </c>
      <c r="L2117" s="681" t="s">
        <v>5059</v>
      </c>
      <c r="M2117" s="684">
        <v>300</v>
      </c>
      <c r="N2117" s="654"/>
      <c r="O2117" s="685"/>
      <c r="P2117" s="643"/>
    </row>
    <row r="2118" spans="1:16" s="619" customFormat="1" ht="36" x14ac:dyDescent="0.2">
      <c r="A2118" s="626" t="s">
        <v>4789</v>
      </c>
      <c r="B2118" s="626" t="s">
        <v>1908</v>
      </c>
      <c r="C2118" s="638" t="s">
        <v>108</v>
      </c>
      <c r="D2118" s="626" t="s">
        <v>5108</v>
      </c>
      <c r="E2118" s="636">
        <v>600</v>
      </c>
      <c r="F2118" s="637"/>
      <c r="G2118" s="626" t="s">
        <v>5109</v>
      </c>
      <c r="H2118" s="638"/>
      <c r="I2118" s="626"/>
      <c r="J2118" s="638"/>
      <c r="K2118" s="645">
        <v>1</v>
      </c>
      <c r="L2118" s="681" t="s">
        <v>5059</v>
      </c>
      <c r="M2118" s="684">
        <v>600</v>
      </c>
      <c r="N2118" s="654"/>
      <c r="O2118" s="685"/>
      <c r="P2118" s="643"/>
    </row>
    <row r="2119" spans="1:16" s="619" customFormat="1" ht="36" x14ac:dyDescent="0.2">
      <c r="A2119" s="626" t="s">
        <v>4789</v>
      </c>
      <c r="B2119" s="626" t="s">
        <v>2032</v>
      </c>
      <c r="C2119" s="638" t="s">
        <v>108</v>
      </c>
      <c r="D2119" s="626" t="s">
        <v>5110</v>
      </c>
      <c r="E2119" s="636">
        <v>5000</v>
      </c>
      <c r="F2119" s="637"/>
      <c r="G2119" s="626" t="s">
        <v>5107</v>
      </c>
      <c r="H2119" s="638"/>
      <c r="I2119" s="626"/>
      <c r="J2119" s="638"/>
      <c r="K2119" s="654"/>
      <c r="L2119" s="681"/>
      <c r="M2119" s="684"/>
      <c r="N2119" s="640">
        <v>1</v>
      </c>
      <c r="O2119" s="685" t="s">
        <v>26</v>
      </c>
      <c r="P2119" s="643">
        <v>5000</v>
      </c>
    </row>
    <row r="2120" spans="1:16" s="619" customFormat="1" ht="24" x14ac:dyDescent="0.2">
      <c r="A2120" s="626" t="s">
        <v>4789</v>
      </c>
      <c r="B2120" s="626" t="s">
        <v>1908</v>
      </c>
      <c r="C2120" s="638" t="s">
        <v>108</v>
      </c>
      <c r="D2120" s="626" t="s">
        <v>5111</v>
      </c>
      <c r="E2120" s="636">
        <v>1800</v>
      </c>
      <c r="F2120" s="637"/>
      <c r="G2120" s="626" t="s">
        <v>5112</v>
      </c>
      <c r="H2120" s="638"/>
      <c r="I2120" s="626"/>
      <c r="J2120" s="638"/>
      <c r="K2120" s="654"/>
      <c r="L2120" s="681"/>
      <c r="M2120" s="684"/>
      <c r="N2120" s="640">
        <v>1</v>
      </c>
      <c r="O2120" s="685" t="s">
        <v>26</v>
      </c>
      <c r="P2120" s="643">
        <v>1800</v>
      </c>
    </row>
    <row r="2121" spans="1:16" s="619" customFormat="1" ht="36" x14ac:dyDescent="0.2">
      <c r="A2121" s="626" t="s">
        <v>4789</v>
      </c>
      <c r="B2121" s="626" t="s">
        <v>2275</v>
      </c>
      <c r="C2121" s="638" t="s">
        <v>108</v>
      </c>
      <c r="D2121" s="626" t="s">
        <v>5113</v>
      </c>
      <c r="E2121" s="636">
        <v>0</v>
      </c>
      <c r="F2121" s="637"/>
      <c r="G2121" s="626" t="s">
        <v>5112</v>
      </c>
      <c r="H2121" s="638"/>
      <c r="I2121" s="626"/>
      <c r="J2121" s="638"/>
      <c r="K2121" s="654"/>
      <c r="L2121" s="681"/>
      <c r="M2121" s="684"/>
      <c r="N2121" s="640">
        <v>1</v>
      </c>
      <c r="O2121" s="685" t="s">
        <v>26</v>
      </c>
      <c r="P2121" s="643">
        <v>0</v>
      </c>
    </row>
    <row r="2122" spans="1:16" s="619" customFormat="1" ht="36" x14ac:dyDescent="0.2">
      <c r="A2122" s="626" t="s">
        <v>4789</v>
      </c>
      <c r="B2122" s="626" t="s">
        <v>2275</v>
      </c>
      <c r="C2122" s="638" t="s">
        <v>108</v>
      </c>
      <c r="D2122" s="626" t="s">
        <v>5114</v>
      </c>
      <c r="E2122" s="636">
        <v>1500</v>
      </c>
      <c r="F2122" s="637"/>
      <c r="G2122" s="626" t="s">
        <v>4874</v>
      </c>
      <c r="H2122" s="638"/>
      <c r="I2122" s="626"/>
      <c r="J2122" s="638"/>
      <c r="K2122" s="654"/>
      <c r="L2122" s="681"/>
      <c r="M2122" s="684"/>
      <c r="N2122" s="640">
        <v>1</v>
      </c>
      <c r="O2122" s="685" t="s">
        <v>26</v>
      </c>
      <c r="P2122" s="643">
        <v>1500</v>
      </c>
    </row>
    <row r="2123" spans="1:16" s="619" customFormat="1" ht="36" x14ac:dyDescent="0.2">
      <c r="A2123" s="626" t="s">
        <v>4789</v>
      </c>
      <c r="B2123" s="626" t="s">
        <v>2275</v>
      </c>
      <c r="C2123" s="638" t="s">
        <v>108</v>
      </c>
      <c r="D2123" s="626" t="s">
        <v>4976</v>
      </c>
      <c r="E2123" s="636">
        <v>1300</v>
      </c>
      <c r="F2123" s="637"/>
      <c r="G2123" s="626" t="s">
        <v>4945</v>
      </c>
      <c r="H2123" s="638"/>
      <c r="I2123" s="626"/>
      <c r="J2123" s="638"/>
      <c r="K2123" s="654"/>
      <c r="L2123" s="681"/>
      <c r="M2123" s="684"/>
      <c r="N2123" s="640">
        <v>1</v>
      </c>
      <c r="O2123" s="685" t="s">
        <v>26</v>
      </c>
      <c r="P2123" s="643">
        <v>1300</v>
      </c>
    </row>
    <row r="2124" spans="1:16" s="619" customFormat="1" ht="36" x14ac:dyDescent="0.2">
      <c r="A2124" s="626" t="s">
        <v>4789</v>
      </c>
      <c r="B2124" s="626" t="s">
        <v>2275</v>
      </c>
      <c r="C2124" s="638" t="s">
        <v>108</v>
      </c>
      <c r="D2124" s="626" t="s">
        <v>5115</v>
      </c>
      <c r="E2124" s="636">
        <v>1500</v>
      </c>
      <c r="F2124" s="637"/>
      <c r="G2124" s="626" t="s">
        <v>4881</v>
      </c>
      <c r="H2124" s="638"/>
      <c r="I2124" s="626"/>
      <c r="J2124" s="638"/>
      <c r="K2124" s="654"/>
      <c r="L2124" s="681"/>
      <c r="M2124" s="684"/>
      <c r="N2124" s="640">
        <v>1</v>
      </c>
      <c r="O2124" s="685" t="s">
        <v>26</v>
      </c>
      <c r="P2124" s="643">
        <v>1500</v>
      </c>
    </row>
    <row r="2125" spans="1:16" s="619" customFormat="1" ht="36" x14ac:dyDescent="0.2">
      <c r="A2125" s="626" t="s">
        <v>4789</v>
      </c>
      <c r="B2125" s="626" t="s">
        <v>2032</v>
      </c>
      <c r="C2125" s="638" t="s">
        <v>108</v>
      </c>
      <c r="D2125" s="626" t="s">
        <v>4892</v>
      </c>
      <c r="E2125" s="636">
        <v>1500</v>
      </c>
      <c r="F2125" s="637"/>
      <c r="G2125" s="626" t="s">
        <v>4903</v>
      </c>
      <c r="H2125" s="638"/>
      <c r="I2125" s="626"/>
      <c r="J2125" s="638"/>
      <c r="K2125" s="654"/>
      <c r="L2125" s="681"/>
      <c r="M2125" s="684"/>
      <c r="N2125" s="640">
        <v>1</v>
      </c>
      <c r="O2125" s="685" t="s">
        <v>26</v>
      </c>
      <c r="P2125" s="643">
        <v>1500</v>
      </c>
    </row>
    <row r="2126" spans="1:16" s="619" customFormat="1" ht="36" x14ac:dyDescent="0.2">
      <c r="A2126" s="626" t="s">
        <v>4789</v>
      </c>
      <c r="B2126" s="626" t="s">
        <v>2275</v>
      </c>
      <c r="C2126" s="638" t="s">
        <v>108</v>
      </c>
      <c r="D2126" s="626" t="s">
        <v>5000</v>
      </c>
      <c r="E2126" s="636">
        <v>1500</v>
      </c>
      <c r="F2126" s="637"/>
      <c r="G2126" s="626" t="s">
        <v>5001</v>
      </c>
      <c r="H2126" s="638"/>
      <c r="I2126" s="626"/>
      <c r="J2126" s="638"/>
      <c r="K2126" s="654"/>
      <c r="L2126" s="681"/>
      <c r="M2126" s="684"/>
      <c r="N2126" s="640">
        <v>1</v>
      </c>
      <c r="O2126" s="685" t="s">
        <v>26</v>
      </c>
      <c r="P2126" s="643">
        <v>1500</v>
      </c>
    </row>
    <row r="2127" spans="1:16" s="619" customFormat="1" ht="36" x14ac:dyDescent="0.2">
      <c r="A2127" s="626" t="s">
        <v>4789</v>
      </c>
      <c r="B2127" s="626" t="s">
        <v>2275</v>
      </c>
      <c r="C2127" s="638" t="s">
        <v>108</v>
      </c>
      <c r="D2127" s="626" t="s">
        <v>5116</v>
      </c>
      <c r="E2127" s="636">
        <v>930</v>
      </c>
      <c r="F2127" s="637"/>
      <c r="G2127" s="626" t="s">
        <v>5117</v>
      </c>
      <c r="H2127" s="638"/>
      <c r="I2127" s="626"/>
      <c r="J2127" s="638"/>
      <c r="K2127" s="654"/>
      <c r="L2127" s="681"/>
      <c r="M2127" s="684"/>
      <c r="N2127" s="640">
        <v>1</v>
      </c>
      <c r="O2127" s="685" t="s">
        <v>26</v>
      </c>
      <c r="P2127" s="643">
        <v>930</v>
      </c>
    </row>
    <row r="2128" spans="1:16" s="619" customFormat="1" ht="36" x14ac:dyDescent="0.2">
      <c r="A2128" s="626" t="s">
        <v>4789</v>
      </c>
      <c r="B2128" s="626" t="s">
        <v>2275</v>
      </c>
      <c r="C2128" s="638" t="s">
        <v>108</v>
      </c>
      <c r="D2128" s="626" t="s">
        <v>5118</v>
      </c>
      <c r="E2128" s="636">
        <v>1000</v>
      </c>
      <c r="F2128" s="637"/>
      <c r="G2128" s="626" t="s">
        <v>4867</v>
      </c>
      <c r="H2128" s="638"/>
      <c r="I2128" s="626"/>
      <c r="J2128" s="638"/>
      <c r="K2128" s="654"/>
      <c r="L2128" s="681"/>
      <c r="M2128" s="684"/>
      <c r="N2128" s="640">
        <v>1</v>
      </c>
      <c r="O2128" s="685" t="s">
        <v>26</v>
      </c>
      <c r="P2128" s="643">
        <v>1000</v>
      </c>
    </row>
    <row r="2129" spans="1:16" s="619" customFormat="1" ht="36" x14ac:dyDescent="0.2">
      <c r="A2129" s="626" t="s">
        <v>4789</v>
      </c>
      <c r="B2129" s="626" t="s">
        <v>2275</v>
      </c>
      <c r="C2129" s="638" t="s">
        <v>108</v>
      </c>
      <c r="D2129" s="626" t="s">
        <v>5119</v>
      </c>
      <c r="E2129" s="636">
        <v>1500</v>
      </c>
      <c r="F2129" s="637"/>
      <c r="G2129" s="626" t="s">
        <v>4932</v>
      </c>
      <c r="H2129" s="638"/>
      <c r="I2129" s="626"/>
      <c r="J2129" s="638"/>
      <c r="K2129" s="654"/>
      <c r="L2129" s="681"/>
      <c r="M2129" s="684"/>
      <c r="N2129" s="640">
        <v>1</v>
      </c>
      <c r="O2129" s="685" t="s">
        <v>26</v>
      </c>
      <c r="P2129" s="643">
        <v>1500</v>
      </c>
    </row>
    <row r="2130" spans="1:16" s="619" customFormat="1" ht="36" x14ac:dyDescent="0.2">
      <c r="A2130" s="626" t="s">
        <v>4789</v>
      </c>
      <c r="B2130" s="626" t="s">
        <v>2275</v>
      </c>
      <c r="C2130" s="638" t="s">
        <v>108</v>
      </c>
      <c r="D2130" s="626" t="s">
        <v>5120</v>
      </c>
      <c r="E2130" s="636">
        <v>1000</v>
      </c>
      <c r="F2130" s="637"/>
      <c r="G2130" s="626" t="s">
        <v>5075</v>
      </c>
      <c r="H2130" s="638"/>
      <c r="I2130" s="626"/>
      <c r="J2130" s="638"/>
      <c r="K2130" s="654"/>
      <c r="L2130" s="681"/>
      <c r="M2130" s="684"/>
      <c r="N2130" s="640">
        <v>1</v>
      </c>
      <c r="O2130" s="685" t="s">
        <v>26</v>
      </c>
      <c r="P2130" s="643">
        <v>1000</v>
      </c>
    </row>
    <row r="2131" spans="1:16" s="619" customFormat="1" ht="36" x14ac:dyDescent="0.2">
      <c r="A2131" s="626" t="s">
        <v>4789</v>
      </c>
      <c r="B2131" s="626" t="s">
        <v>2032</v>
      </c>
      <c r="C2131" s="638" t="s">
        <v>108</v>
      </c>
      <c r="D2131" s="626" t="s">
        <v>5016</v>
      </c>
      <c r="E2131" s="636">
        <v>1500</v>
      </c>
      <c r="F2131" s="637"/>
      <c r="G2131" s="626" t="s">
        <v>4998</v>
      </c>
      <c r="H2131" s="638"/>
      <c r="I2131" s="626"/>
      <c r="J2131" s="638"/>
      <c r="K2131" s="654"/>
      <c r="L2131" s="681"/>
      <c r="M2131" s="684"/>
      <c r="N2131" s="640">
        <v>1</v>
      </c>
      <c r="O2131" s="685" t="s">
        <v>26</v>
      </c>
      <c r="P2131" s="643">
        <v>1500</v>
      </c>
    </row>
    <row r="2132" spans="1:16" s="619" customFormat="1" ht="36" x14ac:dyDescent="0.2">
      <c r="A2132" s="626" t="s">
        <v>4789</v>
      </c>
      <c r="B2132" s="626" t="s">
        <v>2275</v>
      </c>
      <c r="C2132" s="638" t="s">
        <v>108</v>
      </c>
      <c r="D2132" s="626" t="s">
        <v>5121</v>
      </c>
      <c r="E2132" s="636">
        <v>560</v>
      </c>
      <c r="F2132" s="637"/>
      <c r="G2132" s="626" t="s">
        <v>5122</v>
      </c>
      <c r="H2132" s="638"/>
      <c r="I2132" s="626"/>
      <c r="J2132" s="638"/>
      <c r="K2132" s="654"/>
      <c r="L2132" s="681"/>
      <c r="M2132" s="684"/>
      <c r="N2132" s="640">
        <v>1</v>
      </c>
      <c r="O2132" s="685" t="s">
        <v>26</v>
      </c>
      <c r="P2132" s="643">
        <v>560</v>
      </c>
    </row>
    <row r="2133" spans="1:16" s="619" customFormat="1" ht="36" x14ac:dyDescent="0.2">
      <c r="A2133" s="626" t="s">
        <v>4789</v>
      </c>
      <c r="B2133" s="626" t="s">
        <v>2275</v>
      </c>
      <c r="C2133" s="638" t="s">
        <v>108</v>
      </c>
      <c r="D2133" s="626" t="s">
        <v>5123</v>
      </c>
      <c r="E2133" s="636">
        <v>3000</v>
      </c>
      <c r="F2133" s="637"/>
      <c r="G2133" s="626" t="s">
        <v>4883</v>
      </c>
      <c r="H2133" s="638"/>
      <c r="I2133" s="626"/>
      <c r="J2133" s="638"/>
      <c r="K2133" s="654"/>
      <c r="L2133" s="681"/>
      <c r="M2133" s="684"/>
      <c r="N2133" s="640">
        <v>1</v>
      </c>
      <c r="O2133" s="685" t="s">
        <v>26</v>
      </c>
      <c r="P2133" s="643">
        <v>3000</v>
      </c>
    </row>
    <row r="2134" spans="1:16" s="619" customFormat="1" ht="36" x14ac:dyDescent="0.2">
      <c r="A2134" s="626" t="s">
        <v>4789</v>
      </c>
      <c r="B2134" s="626" t="s">
        <v>2275</v>
      </c>
      <c r="C2134" s="638" t="s">
        <v>108</v>
      </c>
      <c r="D2134" s="626" t="s">
        <v>5124</v>
      </c>
      <c r="E2134" s="636">
        <v>930</v>
      </c>
      <c r="F2134" s="637"/>
      <c r="G2134" s="626" t="s">
        <v>5080</v>
      </c>
      <c r="H2134" s="638"/>
      <c r="I2134" s="626"/>
      <c r="J2134" s="638"/>
      <c r="K2134" s="654"/>
      <c r="L2134" s="681"/>
      <c r="M2134" s="684"/>
      <c r="N2134" s="640">
        <v>1</v>
      </c>
      <c r="O2134" s="685" t="s">
        <v>26</v>
      </c>
      <c r="P2134" s="643">
        <v>930</v>
      </c>
    </row>
    <row r="2135" spans="1:16" s="619" customFormat="1" ht="36" x14ac:dyDescent="0.2">
      <c r="A2135" s="626" t="s">
        <v>4789</v>
      </c>
      <c r="B2135" s="626" t="s">
        <v>2275</v>
      </c>
      <c r="C2135" s="638" t="s">
        <v>108</v>
      </c>
      <c r="D2135" s="626" t="s">
        <v>5125</v>
      </c>
      <c r="E2135" s="636">
        <v>1500</v>
      </c>
      <c r="F2135" s="637"/>
      <c r="G2135" s="626" t="s">
        <v>3560</v>
      </c>
      <c r="H2135" s="638"/>
      <c r="I2135" s="626"/>
      <c r="J2135" s="638"/>
      <c r="K2135" s="654"/>
      <c r="L2135" s="681"/>
      <c r="M2135" s="684"/>
      <c r="N2135" s="640">
        <v>1</v>
      </c>
      <c r="O2135" s="685" t="s">
        <v>26</v>
      </c>
      <c r="P2135" s="643">
        <v>1500</v>
      </c>
    </row>
    <row r="2136" spans="1:16" s="619" customFormat="1" ht="36" x14ac:dyDescent="0.2">
      <c r="A2136" s="626" t="s">
        <v>4789</v>
      </c>
      <c r="B2136" s="626" t="s">
        <v>1908</v>
      </c>
      <c r="C2136" s="638" t="s">
        <v>108</v>
      </c>
      <c r="D2136" s="626" t="s">
        <v>5126</v>
      </c>
      <c r="E2136" s="636">
        <v>900</v>
      </c>
      <c r="F2136" s="637"/>
      <c r="G2136" s="626" t="s">
        <v>5127</v>
      </c>
      <c r="H2136" s="638"/>
      <c r="I2136" s="626"/>
      <c r="J2136" s="638"/>
      <c r="K2136" s="654"/>
      <c r="L2136" s="681"/>
      <c r="M2136" s="684"/>
      <c r="N2136" s="640">
        <v>1</v>
      </c>
      <c r="O2136" s="685" t="s">
        <v>26</v>
      </c>
      <c r="P2136" s="643">
        <v>900</v>
      </c>
    </row>
    <row r="2137" spans="1:16" s="619" customFormat="1" ht="36" x14ac:dyDescent="0.2">
      <c r="A2137" s="626" t="s">
        <v>4789</v>
      </c>
      <c r="B2137" s="626" t="s">
        <v>2032</v>
      </c>
      <c r="C2137" s="638" t="s">
        <v>108</v>
      </c>
      <c r="D2137" s="626" t="s">
        <v>5128</v>
      </c>
      <c r="E2137" s="636">
        <v>1300</v>
      </c>
      <c r="F2137" s="637"/>
      <c r="G2137" s="626" t="s">
        <v>4959</v>
      </c>
      <c r="H2137" s="638"/>
      <c r="I2137" s="626"/>
      <c r="J2137" s="638"/>
      <c r="K2137" s="654"/>
      <c r="L2137" s="681"/>
      <c r="M2137" s="684"/>
      <c r="N2137" s="640">
        <v>1</v>
      </c>
      <c r="O2137" s="685" t="s">
        <v>26</v>
      </c>
      <c r="P2137" s="643">
        <v>1300</v>
      </c>
    </row>
    <row r="2138" spans="1:16" s="619" customFormat="1" ht="36" x14ac:dyDescent="0.2">
      <c r="A2138" s="626" t="s">
        <v>4789</v>
      </c>
      <c r="B2138" s="626" t="s">
        <v>2275</v>
      </c>
      <c r="C2138" s="638" t="s">
        <v>108</v>
      </c>
      <c r="D2138" s="626" t="s">
        <v>5129</v>
      </c>
      <c r="E2138" s="636">
        <v>217</v>
      </c>
      <c r="F2138" s="637"/>
      <c r="G2138" s="626" t="s">
        <v>5031</v>
      </c>
      <c r="H2138" s="638"/>
      <c r="I2138" s="626"/>
      <c r="J2138" s="638"/>
      <c r="K2138" s="654"/>
      <c r="L2138" s="681"/>
      <c r="M2138" s="684"/>
      <c r="N2138" s="640">
        <v>1</v>
      </c>
      <c r="O2138" s="685" t="s">
        <v>26</v>
      </c>
      <c r="P2138" s="643">
        <v>217</v>
      </c>
    </row>
    <row r="2139" spans="1:16" s="619" customFormat="1" ht="36" x14ac:dyDescent="0.2">
      <c r="A2139" s="626" t="s">
        <v>4789</v>
      </c>
      <c r="B2139" s="626" t="s">
        <v>2275</v>
      </c>
      <c r="C2139" s="638" t="s">
        <v>108</v>
      </c>
      <c r="D2139" s="626" t="s">
        <v>5130</v>
      </c>
      <c r="E2139" s="636">
        <v>1300</v>
      </c>
      <c r="F2139" s="637"/>
      <c r="G2139" s="626" t="s">
        <v>4901</v>
      </c>
      <c r="H2139" s="638"/>
      <c r="I2139" s="626"/>
      <c r="J2139" s="638"/>
      <c r="K2139" s="654"/>
      <c r="L2139" s="681"/>
      <c r="M2139" s="684"/>
      <c r="N2139" s="640">
        <v>1</v>
      </c>
      <c r="O2139" s="685" t="s">
        <v>26</v>
      </c>
      <c r="P2139" s="643">
        <v>1300</v>
      </c>
    </row>
    <row r="2140" spans="1:16" s="619" customFormat="1" ht="36" x14ac:dyDescent="0.2">
      <c r="A2140" s="626" t="s">
        <v>4789</v>
      </c>
      <c r="B2140" s="626" t="s">
        <v>2275</v>
      </c>
      <c r="C2140" s="638" t="s">
        <v>108</v>
      </c>
      <c r="D2140" s="626" t="s">
        <v>5131</v>
      </c>
      <c r="E2140" s="636">
        <v>1300</v>
      </c>
      <c r="F2140" s="637"/>
      <c r="G2140" s="626" t="s">
        <v>4848</v>
      </c>
      <c r="H2140" s="638"/>
      <c r="I2140" s="626"/>
      <c r="J2140" s="638"/>
      <c r="K2140" s="654"/>
      <c r="L2140" s="681"/>
      <c r="M2140" s="684"/>
      <c r="N2140" s="640">
        <v>1</v>
      </c>
      <c r="O2140" s="685" t="s">
        <v>26</v>
      </c>
      <c r="P2140" s="643">
        <v>1300</v>
      </c>
    </row>
    <row r="2141" spans="1:16" s="619" customFormat="1" ht="36" x14ac:dyDescent="0.2">
      <c r="A2141" s="626" t="s">
        <v>4789</v>
      </c>
      <c r="B2141" s="626" t="s">
        <v>2275</v>
      </c>
      <c r="C2141" s="638" t="s">
        <v>108</v>
      </c>
      <c r="D2141" s="626" t="s">
        <v>5132</v>
      </c>
      <c r="E2141" s="636">
        <v>1500</v>
      </c>
      <c r="F2141" s="637"/>
      <c r="G2141" s="626" t="s">
        <v>4979</v>
      </c>
      <c r="H2141" s="638"/>
      <c r="I2141" s="626"/>
      <c r="J2141" s="638"/>
      <c r="K2141" s="654"/>
      <c r="L2141" s="681"/>
      <c r="M2141" s="684"/>
      <c r="N2141" s="640">
        <v>1</v>
      </c>
      <c r="O2141" s="685" t="s">
        <v>26</v>
      </c>
      <c r="P2141" s="643">
        <v>1500</v>
      </c>
    </row>
    <row r="2142" spans="1:16" s="619" customFormat="1" ht="36" x14ac:dyDescent="0.2">
      <c r="A2142" s="626" t="s">
        <v>4789</v>
      </c>
      <c r="B2142" s="626" t="s">
        <v>2275</v>
      </c>
      <c r="C2142" s="638" t="s">
        <v>108</v>
      </c>
      <c r="D2142" s="626" t="s">
        <v>5133</v>
      </c>
      <c r="E2142" s="636">
        <v>1300</v>
      </c>
      <c r="F2142" s="637"/>
      <c r="G2142" s="626" t="s">
        <v>5134</v>
      </c>
      <c r="H2142" s="638"/>
      <c r="I2142" s="626"/>
      <c r="J2142" s="638"/>
      <c r="K2142" s="654"/>
      <c r="L2142" s="681"/>
      <c r="M2142" s="684"/>
      <c r="N2142" s="640">
        <v>1</v>
      </c>
      <c r="O2142" s="685" t="s">
        <v>26</v>
      </c>
      <c r="P2142" s="643">
        <v>1300</v>
      </c>
    </row>
    <row r="2143" spans="1:16" s="619" customFormat="1" ht="36" x14ac:dyDescent="0.2">
      <c r="A2143" s="626" t="s">
        <v>4789</v>
      </c>
      <c r="B2143" s="626" t="s">
        <v>1908</v>
      </c>
      <c r="C2143" s="638" t="s">
        <v>108</v>
      </c>
      <c r="D2143" s="626" t="s">
        <v>5135</v>
      </c>
      <c r="E2143" s="636">
        <v>1500</v>
      </c>
      <c r="F2143" s="637"/>
      <c r="G2143" s="626" t="s">
        <v>5089</v>
      </c>
      <c r="H2143" s="638"/>
      <c r="I2143" s="626"/>
      <c r="J2143" s="638"/>
      <c r="K2143" s="654"/>
      <c r="L2143" s="681"/>
      <c r="M2143" s="684"/>
      <c r="N2143" s="640">
        <v>1</v>
      </c>
      <c r="O2143" s="685" t="s">
        <v>26</v>
      </c>
      <c r="P2143" s="643">
        <v>1500</v>
      </c>
    </row>
    <row r="2144" spans="1:16" s="619" customFormat="1" ht="36" x14ac:dyDescent="0.2">
      <c r="A2144" s="626" t="s">
        <v>4789</v>
      </c>
      <c r="B2144" s="626" t="s">
        <v>2275</v>
      </c>
      <c r="C2144" s="638" t="s">
        <v>108</v>
      </c>
      <c r="D2144" s="626" t="s">
        <v>4876</v>
      </c>
      <c r="E2144" s="636">
        <v>1900</v>
      </c>
      <c r="F2144" s="637"/>
      <c r="G2144" s="626" t="s">
        <v>5136</v>
      </c>
      <c r="H2144" s="638"/>
      <c r="I2144" s="626"/>
      <c r="J2144" s="638"/>
      <c r="K2144" s="654"/>
      <c r="L2144" s="681"/>
      <c r="M2144" s="684"/>
      <c r="N2144" s="640">
        <v>1</v>
      </c>
      <c r="O2144" s="685" t="s">
        <v>26</v>
      </c>
      <c r="P2144" s="643">
        <v>1900</v>
      </c>
    </row>
    <row r="2145" spans="1:16" s="619" customFormat="1" ht="36" x14ac:dyDescent="0.2">
      <c r="A2145" s="626" t="s">
        <v>4789</v>
      </c>
      <c r="B2145" s="626" t="s">
        <v>2275</v>
      </c>
      <c r="C2145" s="638" t="s">
        <v>108</v>
      </c>
      <c r="D2145" s="626" t="s">
        <v>4943</v>
      </c>
      <c r="E2145" s="636">
        <v>1200</v>
      </c>
      <c r="F2145" s="637"/>
      <c r="G2145" s="626" t="s">
        <v>5137</v>
      </c>
      <c r="H2145" s="638"/>
      <c r="I2145" s="626"/>
      <c r="J2145" s="638"/>
      <c r="K2145" s="654"/>
      <c r="L2145" s="681"/>
      <c r="M2145" s="684"/>
      <c r="N2145" s="640">
        <v>1</v>
      </c>
      <c r="O2145" s="685" t="s">
        <v>26</v>
      </c>
      <c r="P2145" s="643">
        <v>1200</v>
      </c>
    </row>
    <row r="2146" spans="1:16" s="619" customFormat="1" ht="36" x14ac:dyDescent="0.2">
      <c r="A2146" s="626" t="s">
        <v>4789</v>
      </c>
      <c r="B2146" s="626" t="s">
        <v>2032</v>
      </c>
      <c r="C2146" s="638" t="s">
        <v>108</v>
      </c>
      <c r="D2146" s="626" t="s">
        <v>5138</v>
      </c>
      <c r="E2146" s="636">
        <v>5000</v>
      </c>
      <c r="F2146" s="637"/>
      <c r="G2146" s="626" t="s">
        <v>5107</v>
      </c>
      <c r="H2146" s="638"/>
      <c r="I2146" s="626"/>
      <c r="J2146" s="638"/>
      <c r="K2146" s="654"/>
      <c r="L2146" s="681"/>
      <c r="M2146" s="684"/>
      <c r="N2146" s="640">
        <v>1</v>
      </c>
      <c r="O2146" s="685" t="s">
        <v>0</v>
      </c>
      <c r="P2146" s="643">
        <v>5000</v>
      </c>
    </row>
    <row r="2147" spans="1:16" s="619" customFormat="1" ht="36" x14ac:dyDescent="0.2">
      <c r="A2147" s="626" t="s">
        <v>4789</v>
      </c>
      <c r="B2147" s="626" t="s">
        <v>2032</v>
      </c>
      <c r="C2147" s="638" t="s">
        <v>108</v>
      </c>
      <c r="D2147" s="626" t="s">
        <v>5139</v>
      </c>
      <c r="E2147" s="636">
        <v>5000</v>
      </c>
      <c r="F2147" s="637"/>
      <c r="G2147" s="626" t="s">
        <v>5107</v>
      </c>
      <c r="H2147" s="638"/>
      <c r="I2147" s="626"/>
      <c r="J2147" s="638"/>
      <c r="K2147" s="654"/>
      <c r="L2147" s="681"/>
      <c r="M2147" s="684"/>
      <c r="N2147" s="640">
        <v>1</v>
      </c>
      <c r="O2147" s="685" t="s">
        <v>0</v>
      </c>
      <c r="P2147" s="643">
        <v>5000</v>
      </c>
    </row>
    <row r="2148" spans="1:16" s="619" customFormat="1" ht="60" x14ac:dyDescent="0.2">
      <c r="A2148" s="626" t="s">
        <v>4789</v>
      </c>
      <c r="B2148" s="626" t="s">
        <v>5140</v>
      </c>
      <c r="C2148" s="638" t="s">
        <v>108</v>
      </c>
      <c r="D2148" s="626" t="s">
        <v>5141</v>
      </c>
      <c r="E2148" s="636">
        <v>3000</v>
      </c>
      <c r="F2148" s="637"/>
      <c r="G2148" s="626" t="s">
        <v>5142</v>
      </c>
      <c r="H2148" s="638"/>
      <c r="I2148" s="626"/>
      <c r="J2148" s="638"/>
      <c r="K2148" s="654"/>
      <c r="L2148" s="681"/>
      <c r="M2148" s="684"/>
      <c r="N2148" s="640">
        <v>1</v>
      </c>
      <c r="O2148" s="685" t="s">
        <v>0</v>
      </c>
      <c r="P2148" s="643">
        <v>3000</v>
      </c>
    </row>
    <row r="2149" spans="1:16" s="619" customFormat="1" ht="60" x14ac:dyDescent="0.2">
      <c r="A2149" s="626" t="s">
        <v>4789</v>
      </c>
      <c r="B2149" s="626" t="s">
        <v>5140</v>
      </c>
      <c r="C2149" s="638" t="s">
        <v>108</v>
      </c>
      <c r="D2149" s="626" t="s">
        <v>5141</v>
      </c>
      <c r="E2149" s="636">
        <v>3000</v>
      </c>
      <c r="F2149" s="637"/>
      <c r="G2149" s="626" t="s">
        <v>5142</v>
      </c>
      <c r="H2149" s="638"/>
      <c r="I2149" s="626"/>
      <c r="J2149" s="638"/>
      <c r="K2149" s="654"/>
      <c r="L2149" s="681"/>
      <c r="M2149" s="684"/>
      <c r="N2149" s="640">
        <v>1</v>
      </c>
      <c r="O2149" s="685" t="s">
        <v>0</v>
      </c>
      <c r="P2149" s="643">
        <v>3000</v>
      </c>
    </row>
    <row r="2150" spans="1:16" s="619" customFormat="1" ht="60" x14ac:dyDescent="0.2">
      <c r="A2150" s="626" t="s">
        <v>4789</v>
      </c>
      <c r="B2150" s="626" t="s">
        <v>5140</v>
      </c>
      <c r="C2150" s="638" t="s">
        <v>108</v>
      </c>
      <c r="D2150" s="626" t="s">
        <v>5143</v>
      </c>
      <c r="E2150" s="636">
        <v>6000</v>
      </c>
      <c r="F2150" s="637"/>
      <c r="G2150" s="626" t="s">
        <v>5142</v>
      </c>
      <c r="H2150" s="638"/>
      <c r="I2150" s="626"/>
      <c r="J2150" s="638"/>
      <c r="K2150" s="654"/>
      <c r="L2150" s="681"/>
      <c r="M2150" s="684"/>
      <c r="N2150" s="640">
        <v>1</v>
      </c>
      <c r="O2150" s="685" t="s">
        <v>0</v>
      </c>
      <c r="P2150" s="643">
        <v>6000</v>
      </c>
    </row>
    <row r="2151" spans="1:16" s="619" customFormat="1" ht="60" x14ac:dyDescent="0.2">
      <c r="A2151" s="626" t="s">
        <v>4789</v>
      </c>
      <c r="B2151" s="626" t="s">
        <v>5140</v>
      </c>
      <c r="C2151" s="638" t="s">
        <v>108</v>
      </c>
      <c r="D2151" s="626" t="s">
        <v>5144</v>
      </c>
      <c r="E2151" s="636">
        <v>1800</v>
      </c>
      <c r="F2151" s="637"/>
      <c r="G2151" s="626" t="s">
        <v>5145</v>
      </c>
      <c r="H2151" s="638"/>
      <c r="I2151" s="626"/>
      <c r="J2151" s="638"/>
      <c r="K2151" s="654"/>
      <c r="L2151" s="681"/>
      <c r="M2151" s="684"/>
      <c r="N2151" s="640">
        <v>1</v>
      </c>
      <c r="O2151" s="685" t="s">
        <v>0</v>
      </c>
      <c r="P2151" s="643">
        <v>1800</v>
      </c>
    </row>
    <row r="2152" spans="1:16" s="619" customFormat="1" ht="60" x14ac:dyDescent="0.2">
      <c r="A2152" s="626" t="s">
        <v>4789</v>
      </c>
      <c r="B2152" s="626" t="s">
        <v>5140</v>
      </c>
      <c r="C2152" s="638" t="s">
        <v>108</v>
      </c>
      <c r="D2152" s="626" t="s">
        <v>5144</v>
      </c>
      <c r="E2152" s="636">
        <v>1800</v>
      </c>
      <c r="F2152" s="637"/>
      <c r="G2152" s="626" t="s">
        <v>5145</v>
      </c>
      <c r="H2152" s="638"/>
      <c r="I2152" s="626"/>
      <c r="J2152" s="638"/>
      <c r="K2152" s="654"/>
      <c r="L2152" s="681"/>
      <c r="M2152" s="684"/>
      <c r="N2152" s="640">
        <v>1</v>
      </c>
      <c r="O2152" s="685" t="s">
        <v>0</v>
      </c>
      <c r="P2152" s="643">
        <v>1800</v>
      </c>
    </row>
    <row r="2153" spans="1:16" s="619" customFormat="1" ht="60" x14ac:dyDescent="0.2">
      <c r="A2153" s="626" t="s">
        <v>4789</v>
      </c>
      <c r="B2153" s="626" t="s">
        <v>5140</v>
      </c>
      <c r="C2153" s="638" t="s">
        <v>108</v>
      </c>
      <c r="D2153" s="626" t="s">
        <v>5144</v>
      </c>
      <c r="E2153" s="636">
        <v>0</v>
      </c>
      <c r="F2153" s="637"/>
      <c r="G2153" s="626" t="s">
        <v>5145</v>
      </c>
      <c r="H2153" s="638"/>
      <c r="I2153" s="626"/>
      <c r="J2153" s="638"/>
      <c r="K2153" s="654"/>
      <c r="L2153" s="681"/>
      <c r="M2153" s="684"/>
      <c r="N2153" s="640">
        <v>1</v>
      </c>
      <c r="O2153" s="685" t="s">
        <v>0</v>
      </c>
      <c r="P2153" s="643">
        <v>0</v>
      </c>
    </row>
    <row r="2154" spans="1:16" s="619" customFormat="1" ht="60" x14ac:dyDescent="0.2">
      <c r="A2154" s="626" t="s">
        <v>4789</v>
      </c>
      <c r="B2154" s="626" t="s">
        <v>5140</v>
      </c>
      <c r="C2154" s="638" t="s">
        <v>108</v>
      </c>
      <c r="D2154" s="626" t="s">
        <v>5146</v>
      </c>
      <c r="E2154" s="636">
        <v>1500</v>
      </c>
      <c r="F2154" s="637"/>
      <c r="G2154" s="626" t="s">
        <v>4975</v>
      </c>
      <c r="H2154" s="638"/>
      <c r="I2154" s="626"/>
      <c r="J2154" s="638"/>
      <c r="K2154" s="654"/>
      <c r="L2154" s="681"/>
      <c r="M2154" s="684"/>
      <c r="N2154" s="640">
        <v>1</v>
      </c>
      <c r="O2154" s="685" t="s">
        <v>0</v>
      </c>
      <c r="P2154" s="643">
        <v>1500</v>
      </c>
    </row>
    <row r="2155" spans="1:16" s="619" customFormat="1" ht="60" x14ac:dyDescent="0.2">
      <c r="A2155" s="626" t="s">
        <v>4789</v>
      </c>
      <c r="B2155" s="626" t="s">
        <v>5140</v>
      </c>
      <c r="C2155" s="638" t="s">
        <v>108</v>
      </c>
      <c r="D2155" s="626" t="s">
        <v>5146</v>
      </c>
      <c r="E2155" s="636">
        <v>1500</v>
      </c>
      <c r="F2155" s="637"/>
      <c r="G2155" s="626" t="s">
        <v>4975</v>
      </c>
      <c r="H2155" s="638"/>
      <c r="I2155" s="626"/>
      <c r="J2155" s="638"/>
      <c r="K2155" s="654"/>
      <c r="L2155" s="681"/>
      <c r="M2155" s="684"/>
      <c r="N2155" s="640">
        <v>1</v>
      </c>
      <c r="O2155" s="685" t="s">
        <v>0</v>
      </c>
      <c r="P2155" s="643">
        <v>1500</v>
      </c>
    </row>
    <row r="2156" spans="1:16" s="619" customFormat="1" ht="60" x14ac:dyDescent="0.2">
      <c r="A2156" s="626" t="s">
        <v>4789</v>
      </c>
      <c r="B2156" s="626" t="s">
        <v>5140</v>
      </c>
      <c r="C2156" s="638" t="s">
        <v>108</v>
      </c>
      <c r="D2156" s="626" t="s">
        <v>5147</v>
      </c>
      <c r="E2156" s="636">
        <v>1500</v>
      </c>
      <c r="F2156" s="637"/>
      <c r="G2156" s="626" t="s">
        <v>5045</v>
      </c>
      <c r="H2156" s="638"/>
      <c r="I2156" s="626"/>
      <c r="J2156" s="638"/>
      <c r="K2156" s="654"/>
      <c r="L2156" s="681"/>
      <c r="M2156" s="684"/>
      <c r="N2156" s="640">
        <v>1</v>
      </c>
      <c r="O2156" s="685" t="s">
        <v>0</v>
      </c>
      <c r="P2156" s="643">
        <v>1500</v>
      </c>
    </row>
    <row r="2157" spans="1:16" s="619" customFormat="1" ht="60" x14ac:dyDescent="0.2">
      <c r="A2157" s="626" t="s">
        <v>4789</v>
      </c>
      <c r="B2157" s="626" t="s">
        <v>5140</v>
      </c>
      <c r="C2157" s="638" t="s">
        <v>108</v>
      </c>
      <c r="D2157" s="626" t="s">
        <v>5148</v>
      </c>
      <c r="E2157" s="636">
        <v>1500</v>
      </c>
      <c r="F2157" s="637"/>
      <c r="G2157" s="626" t="s">
        <v>5045</v>
      </c>
      <c r="H2157" s="638"/>
      <c r="I2157" s="626"/>
      <c r="J2157" s="638"/>
      <c r="K2157" s="654"/>
      <c r="L2157" s="681"/>
      <c r="M2157" s="684"/>
      <c r="N2157" s="640">
        <v>1</v>
      </c>
      <c r="O2157" s="685" t="s">
        <v>0</v>
      </c>
      <c r="P2157" s="643">
        <v>1500</v>
      </c>
    </row>
    <row r="2158" spans="1:16" s="619" customFormat="1" ht="60" x14ac:dyDescent="0.2">
      <c r="A2158" s="626" t="s">
        <v>4789</v>
      </c>
      <c r="B2158" s="626" t="s">
        <v>5140</v>
      </c>
      <c r="C2158" s="638" t="s">
        <v>108</v>
      </c>
      <c r="D2158" s="626" t="s">
        <v>5149</v>
      </c>
      <c r="E2158" s="636">
        <v>1300</v>
      </c>
      <c r="F2158" s="637"/>
      <c r="G2158" s="626" t="s">
        <v>5150</v>
      </c>
      <c r="H2158" s="638"/>
      <c r="I2158" s="626"/>
      <c r="J2158" s="638"/>
      <c r="K2158" s="654"/>
      <c r="L2158" s="681"/>
      <c r="M2158" s="684"/>
      <c r="N2158" s="640">
        <v>1</v>
      </c>
      <c r="O2158" s="685" t="s">
        <v>0</v>
      </c>
      <c r="P2158" s="643">
        <v>1300</v>
      </c>
    </row>
    <row r="2159" spans="1:16" s="619" customFormat="1" ht="60" x14ac:dyDescent="0.2">
      <c r="A2159" s="626" t="s">
        <v>4789</v>
      </c>
      <c r="B2159" s="626" t="s">
        <v>5140</v>
      </c>
      <c r="C2159" s="638" t="s">
        <v>108</v>
      </c>
      <c r="D2159" s="626" t="s">
        <v>5151</v>
      </c>
      <c r="E2159" s="636">
        <v>1300</v>
      </c>
      <c r="F2159" s="637"/>
      <c r="G2159" s="626" t="s">
        <v>5150</v>
      </c>
      <c r="H2159" s="638"/>
      <c r="I2159" s="626"/>
      <c r="J2159" s="638"/>
      <c r="K2159" s="654"/>
      <c r="L2159" s="681"/>
      <c r="M2159" s="684"/>
      <c r="N2159" s="640">
        <v>1</v>
      </c>
      <c r="O2159" s="685" t="s">
        <v>0</v>
      </c>
      <c r="P2159" s="643">
        <v>1300</v>
      </c>
    </row>
    <row r="2160" spans="1:16" s="619" customFormat="1" ht="60" x14ac:dyDescent="0.2">
      <c r="A2160" s="626" t="s">
        <v>4789</v>
      </c>
      <c r="B2160" s="626" t="s">
        <v>5140</v>
      </c>
      <c r="C2160" s="638" t="s">
        <v>108</v>
      </c>
      <c r="D2160" s="626" t="s">
        <v>5152</v>
      </c>
      <c r="E2160" s="636">
        <v>1500</v>
      </c>
      <c r="F2160" s="637"/>
      <c r="G2160" s="626" t="s">
        <v>4846</v>
      </c>
      <c r="H2160" s="638"/>
      <c r="I2160" s="626"/>
      <c r="J2160" s="638"/>
      <c r="K2160" s="654"/>
      <c r="L2160" s="681"/>
      <c r="M2160" s="684"/>
      <c r="N2160" s="640">
        <v>1</v>
      </c>
      <c r="O2160" s="685" t="s">
        <v>0</v>
      </c>
      <c r="P2160" s="643">
        <v>1500</v>
      </c>
    </row>
    <row r="2161" spans="1:16" s="619" customFormat="1" ht="60" x14ac:dyDescent="0.2">
      <c r="A2161" s="626" t="s">
        <v>4789</v>
      </c>
      <c r="B2161" s="626" t="s">
        <v>5140</v>
      </c>
      <c r="C2161" s="638" t="s">
        <v>108</v>
      </c>
      <c r="D2161" s="626" t="s">
        <v>5152</v>
      </c>
      <c r="E2161" s="636">
        <v>1500</v>
      </c>
      <c r="F2161" s="637"/>
      <c r="G2161" s="626" t="s">
        <v>4846</v>
      </c>
      <c r="H2161" s="638"/>
      <c r="I2161" s="626"/>
      <c r="J2161" s="638"/>
      <c r="K2161" s="654"/>
      <c r="L2161" s="681"/>
      <c r="M2161" s="684"/>
      <c r="N2161" s="640">
        <v>1</v>
      </c>
      <c r="O2161" s="685" t="s">
        <v>0</v>
      </c>
      <c r="P2161" s="643">
        <v>1500</v>
      </c>
    </row>
    <row r="2162" spans="1:16" s="619" customFormat="1" ht="24" x14ac:dyDescent="0.2">
      <c r="A2162" s="626" t="s">
        <v>4789</v>
      </c>
      <c r="B2162" s="626" t="s">
        <v>1908</v>
      </c>
      <c r="C2162" s="638" t="s">
        <v>108</v>
      </c>
      <c r="D2162" s="626" t="s">
        <v>5153</v>
      </c>
      <c r="E2162" s="636">
        <v>1800</v>
      </c>
      <c r="F2162" s="637"/>
      <c r="G2162" s="626" t="s">
        <v>5112</v>
      </c>
      <c r="H2162" s="638"/>
      <c r="I2162" s="626"/>
      <c r="J2162" s="638"/>
      <c r="K2162" s="654"/>
      <c r="L2162" s="681"/>
      <c r="M2162" s="684"/>
      <c r="N2162" s="640">
        <v>1</v>
      </c>
      <c r="O2162" s="685" t="s">
        <v>0</v>
      </c>
      <c r="P2162" s="643">
        <v>1800</v>
      </c>
    </row>
    <row r="2163" spans="1:16" s="619" customFormat="1" ht="24" x14ac:dyDescent="0.2">
      <c r="A2163" s="626" t="s">
        <v>4789</v>
      </c>
      <c r="B2163" s="626" t="s">
        <v>1908</v>
      </c>
      <c r="C2163" s="638" t="s">
        <v>108</v>
      </c>
      <c r="D2163" s="626" t="s">
        <v>5154</v>
      </c>
      <c r="E2163" s="636">
        <v>1072</v>
      </c>
      <c r="F2163" s="637"/>
      <c r="G2163" s="626" t="s">
        <v>5112</v>
      </c>
      <c r="H2163" s="638"/>
      <c r="I2163" s="626"/>
      <c r="J2163" s="638"/>
      <c r="K2163" s="654"/>
      <c r="L2163" s="681"/>
      <c r="M2163" s="684"/>
      <c r="N2163" s="640">
        <v>1</v>
      </c>
      <c r="O2163" s="685" t="s">
        <v>0</v>
      </c>
      <c r="P2163" s="643">
        <v>1072</v>
      </c>
    </row>
    <row r="2164" spans="1:16" s="619" customFormat="1" ht="36" x14ac:dyDescent="0.2">
      <c r="A2164" s="626" t="s">
        <v>4789</v>
      </c>
      <c r="B2164" s="626" t="s">
        <v>2275</v>
      </c>
      <c r="C2164" s="638" t="s">
        <v>108</v>
      </c>
      <c r="D2164" s="626" t="s">
        <v>5154</v>
      </c>
      <c r="E2164" s="636">
        <v>728</v>
      </c>
      <c r="F2164" s="637"/>
      <c r="G2164" s="626" t="s">
        <v>5112</v>
      </c>
      <c r="H2164" s="638"/>
      <c r="I2164" s="626"/>
      <c r="J2164" s="638"/>
      <c r="K2164" s="654"/>
      <c r="L2164" s="681"/>
      <c r="M2164" s="684"/>
      <c r="N2164" s="640">
        <v>1</v>
      </c>
      <c r="O2164" s="685" t="s">
        <v>0</v>
      </c>
      <c r="P2164" s="643">
        <v>728</v>
      </c>
    </row>
    <row r="2165" spans="1:16" s="619" customFormat="1" ht="60" x14ac:dyDescent="0.2">
      <c r="A2165" s="626" t="s">
        <v>4789</v>
      </c>
      <c r="B2165" s="626" t="s">
        <v>5140</v>
      </c>
      <c r="C2165" s="638" t="s">
        <v>108</v>
      </c>
      <c r="D2165" s="626" t="s">
        <v>5155</v>
      </c>
      <c r="E2165" s="636">
        <v>1500</v>
      </c>
      <c r="F2165" s="637"/>
      <c r="G2165" s="626" t="s">
        <v>5156</v>
      </c>
      <c r="H2165" s="638"/>
      <c r="I2165" s="626"/>
      <c r="J2165" s="638"/>
      <c r="K2165" s="654"/>
      <c r="L2165" s="681"/>
      <c r="M2165" s="684"/>
      <c r="N2165" s="640">
        <v>1</v>
      </c>
      <c r="O2165" s="685" t="s">
        <v>0</v>
      </c>
      <c r="P2165" s="643">
        <v>1500</v>
      </c>
    </row>
    <row r="2166" spans="1:16" s="619" customFormat="1" ht="60" x14ac:dyDescent="0.2">
      <c r="A2166" s="626" t="s">
        <v>4789</v>
      </c>
      <c r="B2166" s="626" t="s">
        <v>5140</v>
      </c>
      <c r="C2166" s="638" t="s">
        <v>108</v>
      </c>
      <c r="D2166" s="626" t="s">
        <v>5157</v>
      </c>
      <c r="E2166" s="636">
        <v>1500</v>
      </c>
      <c r="F2166" s="637"/>
      <c r="G2166" s="626" t="s">
        <v>5156</v>
      </c>
      <c r="H2166" s="638"/>
      <c r="I2166" s="626"/>
      <c r="J2166" s="638"/>
      <c r="K2166" s="654"/>
      <c r="L2166" s="681"/>
      <c r="M2166" s="684"/>
      <c r="N2166" s="640">
        <v>1</v>
      </c>
      <c r="O2166" s="685" t="s">
        <v>0</v>
      </c>
      <c r="P2166" s="643">
        <v>1500</v>
      </c>
    </row>
    <row r="2167" spans="1:16" s="619" customFormat="1" ht="60" x14ac:dyDescent="0.2">
      <c r="A2167" s="626" t="s">
        <v>4789</v>
      </c>
      <c r="B2167" s="626" t="s">
        <v>5140</v>
      </c>
      <c r="C2167" s="638" t="s">
        <v>108</v>
      </c>
      <c r="D2167" s="626" t="s">
        <v>5158</v>
      </c>
      <c r="E2167" s="636">
        <v>1800</v>
      </c>
      <c r="F2167" s="637"/>
      <c r="G2167" s="626" t="s">
        <v>2816</v>
      </c>
      <c r="H2167" s="638"/>
      <c r="I2167" s="626"/>
      <c r="J2167" s="638"/>
      <c r="K2167" s="654"/>
      <c r="L2167" s="681"/>
      <c r="M2167" s="684"/>
      <c r="N2167" s="640">
        <v>1</v>
      </c>
      <c r="O2167" s="685" t="s">
        <v>0</v>
      </c>
      <c r="P2167" s="643">
        <v>1800</v>
      </c>
    </row>
    <row r="2168" spans="1:16" s="619" customFormat="1" ht="60" x14ac:dyDescent="0.2">
      <c r="A2168" s="626" t="s">
        <v>4789</v>
      </c>
      <c r="B2168" s="626" t="s">
        <v>5140</v>
      </c>
      <c r="C2168" s="638" t="s">
        <v>108</v>
      </c>
      <c r="D2168" s="626" t="s">
        <v>5158</v>
      </c>
      <c r="E2168" s="636">
        <v>1800</v>
      </c>
      <c r="F2168" s="637"/>
      <c r="G2168" s="626" t="s">
        <v>2816</v>
      </c>
      <c r="H2168" s="638"/>
      <c r="I2168" s="626"/>
      <c r="J2168" s="638"/>
      <c r="K2168" s="654"/>
      <c r="L2168" s="681"/>
      <c r="M2168" s="684"/>
      <c r="N2168" s="640">
        <v>1</v>
      </c>
      <c r="O2168" s="685" t="s">
        <v>0</v>
      </c>
      <c r="P2168" s="643">
        <v>1800</v>
      </c>
    </row>
    <row r="2169" spans="1:16" s="619" customFormat="1" ht="60" x14ac:dyDescent="0.2">
      <c r="A2169" s="626" t="s">
        <v>4789</v>
      </c>
      <c r="B2169" s="626" t="s">
        <v>5140</v>
      </c>
      <c r="C2169" s="638" t="s">
        <v>108</v>
      </c>
      <c r="D2169" s="626" t="s">
        <v>5159</v>
      </c>
      <c r="E2169" s="636">
        <v>3600</v>
      </c>
      <c r="F2169" s="637"/>
      <c r="G2169" s="626" t="s">
        <v>2816</v>
      </c>
      <c r="H2169" s="638"/>
      <c r="I2169" s="626"/>
      <c r="J2169" s="638"/>
      <c r="K2169" s="654"/>
      <c r="L2169" s="681"/>
      <c r="M2169" s="684"/>
      <c r="N2169" s="640">
        <v>1</v>
      </c>
      <c r="O2169" s="685" t="s">
        <v>0</v>
      </c>
      <c r="P2169" s="643">
        <v>3600</v>
      </c>
    </row>
    <row r="2170" spans="1:16" s="619" customFormat="1" ht="36" x14ac:dyDescent="0.2">
      <c r="A2170" s="626" t="s">
        <v>4789</v>
      </c>
      <c r="B2170" s="626" t="s">
        <v>2275</v>
      </c>
      <c r="C2170" s="638" t="s">
        <v>108</v>
      </c>
      <c r="D2170" s="626" t="s">
        <v>5160</v>
      </c>
      <c r="E2170" s="636">
        <v>1500</v>
      </c>
      <c r="F2170" s="637"/>
      <c r="G2170" s="626" t="s">
        <v>4874</v>
      </c>
      <c r="H2170" s="638"/>
      <c r="I2170" s="626"/>
      <c r="J2170" s="638"/>
      <c r="K2170" s="654"/>
      <c r="L2170" s="681"/>
      <c r="M2170" s="684"/>
      <c r="N2170" s="640">
        <v>1</v>
      </c>
      <c r="O2170" s="685" t="s">
        <v>0</v>
      </c>
      <c r="P2170" s="643">
        <v>1500</v>
      </c>
    </row>
    <row r="2171" spans="1:16" s="619" customFormat="1" ht="60" x14ac:dyDescent="0.2">
      <c r="A2171" s="626" t="s">
        <v>4789</v>
      </c>
      <c r="B2171" s="626" t="s">
        <v>5140</v>
      </c>
      <c r="C2171" s="638" t="s">
        <v>108</v>
      </c>
      <c r="D2171" s="626" t="s">
        <v>5161</v>
      </c>
      <c r="E2171" s="636">
        <v>1300</v>
      </c>
      <c r="F2171" s="637"/>
      <c r="G2171" s="626" t="s">
        <v>4945</v>
      </c>
      <c r="H2171" s="638"/>
      <c r="I2171" s="626"/>
      <c r="J2171" s="638"/>
      <c r="K2171" s="654"/>
      <c r="L2171" s="681"/>
      <c r="M2171" s="684"/>
      <c r="N2171" s="640">
        <v>1</v>
      </c>
      <c r="O2171" s="685" t="s">
        <v>0</v>
      </c>
      <c r="P2171" s="643">
        <v>1300</v>
      </c>
    </row>
    <row r="2172" spans="1:16" s="619" customFormat="1" ht="60" x14ac:dyDescent="0.2">
      <c r="A2172" s="626" t="s">
        <v>4789</v>
      </c>
      <c r="B2172" s="626" t="s">
        <v>5140</v>
      </c>
      <c r="C2172" s="638" t="s">
        <v>108</v>
      </c>
      <c r="D2172" s="626" t="s">
        <v>5162</v>
      </c>
      <c r="E2172" s="636">
        <v>1300</v>
      </c>
      <c r="F2172" s="637"/>
      <c r="G2172" s="626" t="s">
        <v>4945</v>
      </c>
      <c r="H2172" s="638"/>
      <c r="I2172" s="626"/>
      <c r="J2172" s="638"/>
      <c r="K2172" s="654"/>
      <c r="L2172" s="681"/>
      <c r="M2172" s="684"/>
      <c r="N2172" s="640">
        <v>1</v>
      </c>
      <c r="O2172" s="685" t="s">
        <v>0</v>
      </c>
      <c r="P2172" s="643">
        <v>1300</v>
      </c>
    </row>
    <row r="2173" spans="1:16" s="619" customFormat="1" ht="60" x14ac:dyDescent="0.2">
      <c r="A2173" s="626" t="s">
        <v>4789</v>
      </c>
      <c r="B2173" s="626" t="s">
        <v>5140</v>
      </c>
      <c r="C2173" s="638" t="s">
        <v>108</v>
      </c>
      <c r="D2173" s="626" t="s">
        <v>5163</v>
      </c>
      <c r="E2173" s="636">
        <v>1500</v>
      </c>
      <c r="F2173" s="637"/>
      <c r="G2173" s="626" t="s">
        <v>4881</v>
      </c>
      <c r="H2173" s="638"/>
      <c r="I2173" s="626"/>
      <c r="J2173" s="638"/>
      <c r="K2173" s="654"/>
      <c r="L2173" s="681"/>
      <c r="M2173" s="684"/>
      <c r="N2173" s="640">
        <v>1</v>
      </c>
      <c r="O2173" s="685" t="s">
        <v>0</v>
      </c>
      <c r="P2173" s="643">
        <v>1500</v>
      </c>
    </row>
    <row r="2174" spans="1:16" s="619" customFormat="1" ht="60" x14ac:dyDescent="0.2">
      <c r="A2174" s="626" t="s">
        <v>4789</v>
      </c>
      <c r="B2174" s="626" t="s">
        <v>5140</v>
      </c>
      <c r="C2174" s="638" t="s">
        <v>108</v>
      </c>
      <c r="D2174" s="626" t="s">
        <v>5164</v>
      </c>
      <c r="E2174" s="636">
        <v>1500</v>
      </c>
      <c r="F2174" s="637"/>
      <c r="G2174" s="626" t="s">
        <v>4881</v>
      </c>
      <c r="H2174" s="638"/>
      <c r="I2174" s="626"/>
      <c r="J2174" s="638"/>
      <c r="K2174" s="654"/>
      <c r="L2174" s="681"/>
      <c r="M2174" s="684"/>
      <c r="N2174" s="640">
        <v>1</v>
      </c>
      <c r="O2174" s="685" t="s">
        <v>0</v>
      </c>
      <c r="P2174" s="643">
        <v>1500</v>
      </c>
    </row>
    <row r="2175" spans="1:16" s="619" customFormat="1" ht="36" x14ac:dyDescent="0.2">
      <c r="A2175" s="626" t="s">
        <v>4789</v>
      </c>
      <c r="B2175" s="626" t="s">
        <v>2032</v>
      </c>
      <c r="C2175" s="638" t="s">
        <v>108</v>
      </c>
      <c r="D2175" s="626" t="s">
        <v>5165</v>
      </c>
      <c r="E2175" s="636">
        <v>1500</v>
      </c>
      <c r="F2175" s="637"/>
      <c r="G2175" s="626" t="s">
        <v>4903</v>
      </c>
      <c r="H2175" s="638"/>
      <c r="I2175" s="626"/>
      <c r="J2175" s="638"/>
      <c r="K2175" s="654"/>
      <c r="L2175" s="681"/>
      <c r="M2175" s="684"/>
      <c r="N2175" s="640">
        <v>1</v>
      </c>
      <c r="O2175" s="685" t="s">
        <v>0</v>
      </c>
      <c r="P2175" s="643">
        <v>1500</v>
      </c>
    </row>
    <row r="2176" spans="1:16" s="619" customFormat="1" ht="36" x14ac:dyDescent="0.2">
      <c r="A2176" s="626" t="s">
        <v>4789</v>
      </c>
      <c r="B2176" s="626" t="s">
        <v>2032</v>
      </c>
      <c r="C2176" s="638" t="s">
        <v>108</v>
      </c>
      <c r="D2176" s="626" t="s">
        <v>5166</v>
      </c>
      <c r="E2176" s="636">
        <v>1500</v>
      </c>
      <c r="F2176" s="637"/>
      <c r="G2176" s="626" t="s">
        <v>4903</v>
      </c>
      <c r="H2176" s="638"/>
      <c r="I2176" s="626"/>
      <c r="J2176" s="638"/>
      <c r="K2176" s="654"/>
      <c r="L2176" s="681"/>
      <c r="M2176" s="684"/>
      <c r="N2176" s="640">
        <v>1</v>
      </c>
      <c r="O2176" s="685" t="s">
        <v>0</v>
      </c>
      <c r="P2176" s="643">
        <v>1500</v>
      </c>
    </row>
    <row r="2177" spans="1:16" s="619" customFormat="1" ht="60" x14ac:dyDescent="0.2">
      <c r="A2177" s="626" t="s">
        <v>4789</v>
      </c>
      <c r="B2177" s="626" t="s">
        <v>5140</v>
      </c>
      <c r="C2177" s="638" t="s">
        <v>108</v>
      </c>
      <c r="D2177" s="626" t="s">
        <v>5167</v>
      </c>
      <c r="E2177" s="636">
        <v>3000</v>
      </c>
      <c r="F2177" s="637"/>
      <c r="G2177" s="626" t="s">
        <v>5022</v>
      </c>
      <c r="H2177" s="638"/>
      <c r="I2177" s="626"/>
      <c r="J2177" s="638"/>
      <c r="K2177" s="654"/>
      <c r="L2177" s="681"/>
      <c r="M2177" s="684"/>
      <c r="N2177" s="640">
        <v>1</v>
      </c>
      <c r="O2177" s="685" t="s">
        <v>0</v>
      </c>
      <c r="P2177" s="643">
        <v>3000</v>
      </c>
    </row>
    <row r="2178" spans="1:16" s="619" customFormat="1" ht="60" x14ac:dyDescent="0.2">
      <c r="A2178" s="626" t="s">
        <v>4789</v>
      </c>
      <c r="B2178" s="626" t="s">
        <v>5140</v>
      </c>
      <c r="C2178" s="638" t="s">
        <v>108</v>
      </c>
      <c r="D2178" s="626" t="s">
        <v>5168</v>
      </c>
      <c r="E2178" s="636">
        <v>3000</v>
      </c>
      <c r="F2178" s="637"/>
      <c r="G2178" s="626" t="s">
        <v>5022</v>
      </c>
      <c r="H2178" s="638"/>
      <c r="I2178" s="626"/>
      <c r="J2178" s="638"/>
      <c r="K2178" s="654"/>
      <c r="L2178" s="681"/>
      <c r="M2178" s="684"/>
      <c r="N2178" s="640">
        <v>1</v>
      </c>
      <c r="O2178" s="685" t="s">
        <v>0</v>
      </c>
      <c r="P2178" s="643">
        <v>3000</v>
      </c>
    </row>
    <row r="2179" spans="1:16" s="619" customFormat="1" ht="60" x14ac:dyDescent="0.2">
      <c r="A2179" s="626" t="s">
        <v>4789</v>
      </c>
      <c r="B2179" s="626" t="s">
        <v>5140</v>
      </c>
      <c r="C2179" s="638" t="s">
        <v>108</v>
      </c>
      <c r="D2179" s="626" t="s">
        <v>5063</v>
      </c>
      <c r="E2179" s="636">
        <v>6000</v>
      </c>
      <c r="F2179" s="637"/>
      <c r="G2179" s="626" t="s">
        <v>5022</v>
      </c>
      <c r="H2179" s="638"/>
      <c r="I2179" s="626"/>
      <c r="J2179" s="638"/>
      <c r="K2179" s="654"/>
      <c r="L2179" s="681"/>
      <c r="M2179" s="684"/>
      <c r="N2179" s="640">
        <v>1</v>
      </c>
      <c r="O2179" s="685" t="s">
        <v>0</v>
      </c>
      <c r="P2179" s="643">
        <v>6000</v>
      </c>
    </row>
    <row r="2180" spans="1:16" s="619" customFormat="1" ht="60" x14ac:dyDescent="0.2">
      <c r="A2180" s="626" t="s">
        <v>4789</v>
      </c>
      <c r="B2180" s="626" t="s">
        <v>5140</v>
      </c>
      <c r="C2180" s="638" t="s">
        <v>108</v>
      </c>
      <c r="D2180" s="626" t="s">
        <v>5169</v>
      </c>
      <c r="E2180" s="636">
        <v>2000</v>
      </c>
      <c r="F2180" s="637"/>
      <c r="G2180" s="626" t="s">
        <v>4905</v>
      </c>
      <c r="H2180" s="638"/>
      <c r="I2180" s="626"/>
      <c r="J2180" s="638"/>
      <c r="K2180" s="654"/>
      <c r="L2180" s="681"/>
      <c r="M2180" s="684"/>
      <c r="N2180" s="640">
        <v>1</v>
      </c>
      <c r="O2180" s="685" t="s">
        <v>0</v>
      </c>
      <c r="P2180" s="643">
        <v>2000</v>
      </c>
    </row>
    <row r="2181" spans="1:16" s="619" customFormat="1" ht="60" x14ac:dyDescent="0.2">
      <c r="A2181" s="626" t="s">
        <v>4789</v>
      </c>
      <c r="B2181" s="626" t="s">
        <v>5140</v>
      </c>
      <c r="C2181" s="638" t="s">
        <v>108</v>
      </c>
      <c r="D2181" s="626" t="s">
        <v>5170</v>
      </c>
      <c r="E2181" s="636">
        <v>2000</v>
      </c>
      <c r="F2181" s="637"/>
      <c r="G2181" s="626" t="s">
        <v>4905</v>
      </c>
      <c r="H2181" s="638"/>
      <c r="I2181" s="626"/>
      <c r="J2181" s="638"/>
      <c r="K2181" s="654"/>
      <c r="L2181" s="681"/>
      <c r="M2181" s="684"/>
      <c r="N2181" s="640">
        <v>1</v>
      </c>
      <c r="O2181" s="685" t="s">
        <v>0</v>
      </c>
      <c r="P2181" s="643">
        <v>2000</v>
      </c>
    </row>
    <row r="2182" spans="1:16" s="619" customFormat="1" ht="60" x14ac:dyDescent="0.2">
      <c r="A2182" s="626" t="s">
        <v>4789</v>
      </c>
      <c r="B2182" s="626" t="s">
        <v>5140</v>
      </c>
      <c r="C2182" s="638" t="s">
        <v>108</v>
      </c>
      <c r="D2182" s="626" t="s">
        <v>5171</v>
      </c>
      <c r="E2182" s="636">
        <v>4000</v>
      </c>
      <c r="F2182" s="637"/>
      <c r="G2182" s="626" t="s">
        <v>4905</v>
      </c>
      <c r="H2182" s="638"/>
      <c r="I2182" s="626"/>
      <c r="J2182" s="638"/>
      <c r="K2182" s="654"/>
      <c r="L2182" s="681"/>
      <c r="M2182" s="684"/>
      <c r="N2182" s="640">
        <v>1</v>
      </c>
      <c r="O2182" s="685" t="s">
        <v>0</v>
      </c>
      <c r="P2182" s="643">
        <v>4000</v>
      </c>
    </row>
    <row r="2183" spans="1:16" s="619" customFormat="1" ht="60" x14ac:dyDescent="0.2">
      <c r="A2183" s="626" t="s">
        <v>4789</v>
      </c>
      <c r="B2183" s="626" t="s">
        <v>5140</v>
      </c>
      <c r="C2183" s="638" t="s">
        <v>108</v>
      </c>
      <c r="D2183" s="626" t="s">
        <v>5172</v>
      </c>
      <c r="E2183" s="636">
        <v>1500</v>
      </c>
      <c r="F2183" s="637"/>
      <c r="G2183" s="626" t="s">
        <v>5001</v>
      </c>
      <c r="H2183" s="638"/>
      <c r="I2183" s="626"/>
      <c r="J2183" s="638"/>
      <c r="K2183" s="654"/>
      <c r="L2183" s="681"/>
      <c r="M2183" s="684"/>
      <c r="N2183" s="640">
        <v>1</v>
      </c>
      <c r="O2183" s="685" t="s">
        <v>0</v>
      </c>
      <c r="P2183" s="643">
        <v>1500</v>
      </c>
    </row>
    <row r="2184" spans="1:16" s="619" customFormat="1" ht="60" x14ac:dyDescent="0.2">
      <c r="A2184" s="626" t="s">
        <v>4789</v>
      </c>
      <c r="B2184" s="626" t="s">
        <v>5140</v>
      </c>
      <c r="C2184" s="638" t="s">
        <v>108</v>
      </c>
      <c r="D2184" s="626" t="s">
        <v>5173</v>
      </c>
      <c r="E2184" s="636">
        <v>1500</v>
      </c>
      <c r="F2184" s="637"/>
      <c r="G2184" s="626" t="s">
        <v>5001</v>
      </c>
      <c r="H2184" s="638"/>
      <c r="I2184" s="626"/>
      <c r="J2184" s="638"/>
      <c r="K2184" s="654"/>
      <c r="L2184" s="681"/>
      <c r="M2184" s="684"/>
      <c r="N2184" s="640">
        <v>1</v>
      </c>
      <c r="O2184" s="685" t="s">
        <v>0</v>
      </c>
      <c r="P2184" s="643">
        <v>1500</v>
      </c>
    </row>
    <row r="2185" spans="1:16" s="619" customFormat="1" ht="60" x14ac:dyDescent="0.2">
      <c r="A2185" s="626" t="s">
        <v>4789</v>
      </c>
      <c r="B2185" s="626" t="s">
        <v>5140</v>
      </c>
      <c r="C2185" s="638" t="s">
        <v>108</v>
      </c>
      <c r="D2185" s="626" t="s">
        <v>5174</v>
      </c>
      <c r="E2185" s="636">
        <v>950</v>
      </c>
      <c r="F2185" s="637"/>
      <c r="G2185" s="626" t="s">
        <v>5117</v>
      </c>
      <c r="H2185" s="638"/>
      <c r="I2185" s="626"/>
      <c r="J2185" s="638"/>
      <c r="K2185" s="654"/>
      <c r="L2185" s="681"/>
      <c r="M2185" s="684"/>
      <c r="N2185" s="640">
        <v>1</v>
      </c>
      <c r="O2185" s="685" t="s">
        <v>0</v>
      </c>
      <c r="P2185" s="643">
        <v>950</v>
      </c>
    </row>
    <row r="2186" spans="1:16" s="619" customFormat="1" ht="60" x14ac:dyDescent="0.2">
      <c r="A2186" s="626" t="s">
        <v>4789</v>
      </c>
      <c r="B2186" s="626" t="s">
        <v>5140</v>
      </c>
      <c r="C2186" s="638" t="s">
        <v>108</v>
      </c>
      <c r="D2186" s="626" t="s">
        <v>5174</v>
      </c>
      <c r="E2186" s="636">
        <v>950</v>
      </c>
      <c r="F2186" s="637"/>
      <c r="G2186" s="626" t="s">
        <v>5117</v>
      </c>
      <c r="H2186" s="638"/>
      <c r="I2186" s="626"/>
      <c r="J2186" s="638"/>
      <c r="K2186" s="654"/>
      <c r="L2186" s="681"/>
      <c r="M2186" s="684"/>
      <c r="N2186" s="640">
        <v>1</v>
      </c>
      <c r="O2186" s="685" t="s">
        <v>0</v>
      </c>
      <c r="P2186" s="643">
        <v>950</v>
      </c>
    </row>
    <row r="2187" spans="1:16" s="619" customFormat="1" ht="60" x14ac:dyDescent="0.2">
      <c r="A2187" s="626" t="s">
        <v>4789</v>
      </c>
      <c r="B2187" s="626" t="s">
        <v>5140</v>
      </c>
      <c r="C2187" s="638" t="s">
        <v>108</v>
      </c>
      <c r="D2187" s="626" t="s">
        <v>5175</v>
      </c>
      <c r="E2187" s="636">
        <v>1100</v>
      </c>
      <c r="F2187" s="637"/>
      <c r="G2187" s="626" t="s">
        <v>4867</v>
      </c>
      <c r="H2187" s="638"/>
      <c r="I2187" s="626"/>
      <c r="J2187" s="638"/>
      <c r="K2187" s="654"/>
      <c r="L2187" s="681"/>
      <c r="M2187" s="684"/>
      <c r="N2187" s="640">
        <v>1</v>
      </c>
      <c r="O2187" s="685" t="s">
        <v>0</v>
      </c>
      <c r="P2187" s="643">
        <v>1100</v>
      </c>
    </row>
    <row r="2188" spans="1:16" s="619" customFormat="1" ht="60" x14ac:dyDescent="0.2">
      <c r="A2188" s="626" t="s">
        <v>4789</v>
      </c>
      <c r="B2188" s="626" t="s">
        <v>5140</v>
      </c>
      <c r="C2188" s="638" t="s">
        <v>108</v>
      </c>
      <c r="D2188" s="626" t="s">
        <v>5175</v>
      </c>
      <c r="E2188" s="636">
        <v>1100</v>
      </c>
      <c r="F2188" s="637"/>
      <c r="G2188" s="626" t="s">
        <v>4867</v>
      </c>
      <c r="H2188" s="638"/>
      <c r="I2188" s="626"/>
      <c r="J2188" s="638"/>
      <c r="K2188" s="654"/>
      <c r="L2188" s="681"/>
      <c r="M2188" s="684"/>
      <c r="N2188" s="640">
        <v>1</v>
      </c>
      <c r="O2188" s="685" t="s">
        <v>0</v>
      </c>
      <c r="P2188" s="643">
        <v>1100</v>
      </c>
    </row>
    <row r="2189" spans="1:16" s="619" customFormat="1" ht="60" x14ac:dyDescent="0.2">
      <c r="A2189" s="626" t="s">
        <v>4789</v>
      </c>
      <c r="B2189" s="626" t="s">
        <v>5140</v>
      </c>
      <c r="C2189" s="638" t="s">
        <v>108</v>
      </c>
      <c r="D2189" s="626" t="s">
        <v>5176</v>
      </c>
      <c r="E2189" s="636">
        <v>1500</v>
      </c>
      <c r="F2189" s="637"/>
      <c r="G2189" s="626" t="s">
        <v>4859</v>
      </c>
      <c r="H2189" s="638"/>
      <c r="I2189" s="626"/>
      <c r="J2189" s="638"/>
      <c r="K2189" s="654"/>
      <c r="L2189" s="681"/>
      <c r="M2189" s="684"/>
      <c r="N2189" s="640">
        <v>1</v>
      </c>
      <c r="O2189" s="685" t="s">
        <v>0</v>
      </c>
      <c r="P2189" s="643">
        <v>1500</v>
      </c>
    </row>
    <row r="2190" spans="1:16" s="619" customFormat="1" ht="60" x14ac:dyDescent="0.2">
      <c r="A2190" s="626" t="s">
        <v>4789</v>
      </c>
      <c r="B2190" s="626" t="s">
        <v>5140</v>
      </c>
      <c r="C2190" s="638" t="s">
        <v>108</v>
      </c>
      <c r="D2190" s="626" t="s">
        <v>5176</v>
      </c>
      <c r="E2190" s="636">
        <v>1500</v>
      </c>
      <c r="F2190" s="637"/>
      <c r="G2190" s="626" t="s">
        <v>4859</v>
      </c>
      <c r="H2190" s="638"/>
      <c r="I2190" s="626"/>
      <c r="J2190" s="638"/>
      <c r="K2190" s="654"/>
      <c r="L2190" s="681"/>
      <c r="M2190" s="684"/>
      <c r="N2190" s="640">
        <v>1</v>
      </c>
      <c r="O2190" s="685" t="s">
        <v>0</v>
      </c>
      <c r="P2190" s="643">
        <v>1500</v>
      </c>
    </row>
    <row r="2191" spans="1:16" s="619" customFormat="1" ht="60" x14ac:dyDescent="0.2">
      <c r="A2191" s="626" t="s">
        <v>4789</v>
      </c>
      <c r="B2191" s="626" t="s">
        <v>5140</v>
      </c>
      <c r="C2191" s="638" t="s">
        <v>108</v>
      </c>
      <c r="D2191" s="626" t="s">
        <v>5177</v>
      </c>
      <c r="E2191" s="636">
        <v>2000</v>
      </c>
      <c r="F2191" s="637"/>
      <c r="G2191" s="626" t="s">
        <v>5178</v>
      </c>
      <c r="H2191" s="638"/>
      <c r="I2191" s="626"/>
      <c r="J2191" s="638"/>
      <c r="K2191" s="654"/>
      <c r="L2191" s="681"/>
      <c r="M2191" s="684"/>
      <c r="N2191" s="640">
        <v>1</v>
      </c>
      <c r="O2191" s="685" t="s">
        <v>0</v>
      </c>
      <c r="P2191" s="643">
        <v>2000</v>
      </c>
    </row>
    <row r="2192" spans="1:16" s="619" customFormat="1" ht="60" x14ac:dyDescent="0.2">
      <c r="A2192" s="626" t="s">
        <v>4789</v>
      </c>
      <c r="B2192" s="626" t="s">
        <v>5140</v>
      </c>
      <c r="C2192" s="638" t="s">
        <v>108</v>
      </c>
      <c r="D2192" s="626" t="s">
        <v>5177</v>
      </c>
      <c r="E2192" s="636">
        <v>2000</v>
      </c>
      <c r="F2192" s="637"/>
      <c r="G2192" s="626" t="s">
        <v>5178</v>
      </c>
      <c r="H2192" s="638"/>
      <c r="I2192" s="626"/>
      <c r="J2192" s="638"/>
      <c r="K2192" s="654"/>
      <c r="L2192" s="681"/>
      <c r="M2192" s="684"/>
      <c r="N2192" s="640">
        <v>1</v>
      </c>
      <c r="O2192" s="685" t="s">
        <v>0</v>
      </c>
      <c r="P2192" s="643">
        <v>2000</v>
      </c>
    </row>
    <row r="2193" spans="1:16" s="619" customFormat="1" ht="60" x14ac:dyDescent="0.2">
      <c r="A2193" s="626" t="s">
        <v>4789</v>
      </c>
      <c r="B2193" s="626" t="s">
        <v>5140</v>
      </c>
      <c r="C2193" s="638" t="s">
        <v>108</v>
      </c>
      <c r="D2193" s="626" t="s">
        <v>5179</v>
      </c>
      <c r="E2193" s="636">
        <v>1500</v>
      </c>
      <c r="F2193" s="637"/>
      <c r="G2193" s="626" t="s">
        <v>4932</v>
      </c>
      <c r="H2193" s="638"/>
      <c r="I2193" s="626"/>
      <c r="J2193" s="638"/>
      <c r="K2193" s="654"/>
      <c r="L2193" s="681"/>
      <c r="M2193" s="684"/>
      <c r="N2193" s="640">
        <v>1</v>
      </c>
      <c r="O2193" s="685" t="s">
        <v>0</v>
      </c>
      <c r="P2193" s="643">
        <v>1500</v>
      </c>
    </row>
    <row r="2194" spans="1:16" s="619" customFormat="1" ht="60" x14ac:dyDescent="0.2">
      <c r="A2194" s="626" t="s">
        <v>4789</v>
      </c>
      <c r="B2194" s="626" t="s">
        <v>5140</v>
      </c>
      <c r="C2194" s="638" t="s">
        <v>108</v>
      </c>
      <c r="D2194" s="626" t="s">
        <v>5179</v>
      </c>
      <c r="E2194" s="636">
        <v>1500</v>
      </c>
      <c r="F2194" s="637"/>
      <c r="G2194" s="626" t="s">
        <v>4932</v>
      </c>
      <c r="H2194" s="638"/>
      <c r="I2194" s="626"/>
      <c r="J2194" s="638"/>
      <c r="K2194" s="654"/>
      <c r="L2194" s="681"/>
      <c r="M2194" s="684"/>
      <c r="N2194" s="640">
        <v>1</v>
      </c>
      <c r="O2194" s="685" t="s">
        <v>0</v>
      </c>
      <c r="P2194" s="643">
        <v>1500</v>
      </c>
    </row>
    <row r="2195" spans="1:16" s="619" customFormat="1" ht="60" x14ac:dyDescent="0.2">
      <c r="A2195" s="626" t="s">
        <v>4789</v>
      </c>
      <c r="B2195" s="626" t="s">
        <v>5140</v>
      </c>
      <c r="C2195" s="638" t="s">
        <v>108</v>
      </c>
      <c r="D2195" s="626" t="s">
        <v>5180</v>
      </c>
      <c r="E2195" s="636">
        <v>1300</v>
      </c>
      <c r="F2195" s="637"/>
      <c r="G2195" s="626" t="s">
        <v>5093</v>
      </c>
      <c r="H2195" s="638"/>
      <c r="I2195" s="626"/>
      <c r="J2195" s="638"/>
      <c r="K2195" s="654"/>
      <c r="L2195" s="681"/>
      <c r="M2195" s="684"/>
      <c r="N2195" s="640">
        <v>1</v>
      </c>
      <c r="O2195" s="685" t="s">
        <v>0</v>
      </c>
      <c r="P2195" s="643">
        <v>1300</v>
      </c>
    </row>
    <row r="2196" spans="1:16" s="619" customFormat="1" ht="60" x14ac:dyDescent="0.2">
      <c r="A2196" s="626" t="s">
        <v>4789</v>
      </c>
      <c r="B2196" s="626" t="s">
        <v>5140</v>
      </c>
      <c r="C2196" s="638" t="s">
        <v>108</v>
      </c>
      <c r="D2196" s="626" t="s">
        <v>5180</v>
      </c>
      <c r="E2196" s="636">
        <v>1300</v>
      </c>
      <c r="F2196" s="637"/>
      <c r="G2196" s="626" t="s">
        <v>5093</v>
      </c>
      <c r="H2196" s="638"/>
      <c r="I2196" s="626"/>
      <c r="J2196" s="638"/>
      <c r="K2196" s="654"/>
      <c r="L2196" s="681"/>
      <c r="M2196" s="684"/>
      <c r="N2196" s="640">
        <v>1</v>
      </c>
      <c r="O2196" s="685" t="s">
        <v>0</v>
      </c>
      <c r="P2196" s="643">
        <v>1300</v>
      </c>
    </row>
    <row r="2197" spans="1:16" s="619" customFormat="1" ht="60" x14ac:dyDescent="0.2">
      <c r="A2197" s="626" t="s">
        <v>4789</v>
      </c>
      <c r="B2197" s="626" t="s">
        <v>5140</v>
      </c>
      <c r="C2197" s="638" t="s">
        <v>108</v>
      </c>
      <c r="D2197" s="626" t="s">
        <v>5181</v>
      </c>
      <c r="E2197" s="636">
        <v>3500</v>
      </c>
      <c r="F2197" s="637"/>
      <c r="G2197" s="626" t="s">
        <v>2625</v>
      </c>
      <c r="H2197" s="638"/>
      <c r="I2197" s="626"/>
      <c r="J2197" s="638"/>
      <c r="K2197" s="654"/>
      <c r="L2197" s="681"/>
      <c r="M2197" s="684"/>
      <c r="N2197" s="640">
        <v>1</v>
      </c>
      <c r="O2197" s="685" t="s">
        <v>0</v>
      </c>
      <c r="P2197" s="643">
        <v>3500</v>
      </c>
    </row>
    <row r="2198" spans="1:16" s="619" customFormat="1" ht="60" x14ac:dyDescent="0.2">
      <c r="A2198" s="626" t="s">
        <v>4789</v>
      </c>
      <c r="B2198" s="626" t="s">
        <v>5140</v>
      </c>
      <c r="C2198" s="638" t="s">
        <v>108</v>
      </c>
      <c r="D2198" s="626" t="s">
        <v>5181</v>
      </c>
      <c r="E2198" s="636">
        <v>3500</v>
      </c>
      <c r="F2198" s="637"/>
      <c r="G2198" s="626" t="s">
        <v>2625</v>
      </c>
      <c r="H2198" s="638"/>
      <c r="I2198" s="626"/>
      <c r="J2198" s="638"/>
      <c r="K2198" s="654"/>
      <c r="L2198" s="681"/>
      <c r="M2198" s="684"/>
      <c r="N2198" s="640">
        <v>1</v>
      </c>
      <c r="O2198" s="685" t="s">
        <v>0</v>
      </c>
      <c r="P2198" s="643">
        <v>3500</v>
      </c>
    </row>
    <row r="2199" spans="1:16" s="619" customFormat="1" ht="60" x14ac:dyDescent="0.2">
      <c r="A2199" s="626" t="s">
        <v>4789</v>
      </c>
      <c r="B2199" s="626" t="s">
        <v>5140</v>
      </c>
      <c r="C2199" s="638" t="s">
        <v>108</v>
      </c>
      <c r="D2199" s="626" t="s">
        <v>5181</v>
      </c>
      <c r="E2199" s="636">
        <v>7000</v>
      </c>
      <c r="F2199" s="637"/>
      <c r="G2199" s="626" t="s">
        <v>2625</v>
      </c>
      <c r="H2199" s="638"/>
      <c r="I2199" s="626"/>
      <c r="J2199" s="638"/>
      <c r="K2199" s="654"/>
      <c r="L2199" s="681"/>
      <c r="M2199" s="684"/>
      <c r="N2199" s="640">
        <v>1</v>
      </c>
      <c r="O2199" s="685" t="s">
        <v>0</v>
      </c>
      <c r="P2199" s="643">
        <v>7000</v>
      </c>
    </row>
    <row r="2200" spans="1:16" s="619" customFormat="1" ht="36" x14ac:dyDescent="0.2">
      <c r="A2200" s="626" t="s">
        <v>4789</v>
      </c>
      <c r="B2200" s="626" t="s">
        <v>2275</v>
      </c>
      <c r="C2200" s="638" t="s">
        <v>108</v>
      </c>
      <c r="D2200" s="626" t="s">
        <v>5182</v>
      </c>
      <c r="E2200" s="636">
        <v>380</v>
      </c>
      <c r="F2200" s="637"/>
      <c r="G2200" s="626" t="s">
        <v>5183</v>
      </c>
      <c r="H2200" s="638"/>
      <c r="I2200" s="626"/>
      <c r="J2200" s="638"/>
      <c r="K2200" s="654"/>
      <c r="L2200" s="681"/>
      <c r="M2200" s="684"/>
      <c r="N2200" s="640">
        <v>1</v>
      </c>
      <c r="O2200" s="685" t="s">
        <v>0</v>
      </c>
      <c r="P2200" s="643">
        <v>380</v>
      </c>
    </row>
    <row r="2201" spans="1:16" s="619" customFormat="1" ht="60" x14ac:dyDescent="0.2">
      <c r="A2201" s="626" t="s">
        <v>4789</v>
      </c>
      <c r="B2201" s="626" t="s">
        <v>5140</v>
      </c>
      <c r="C2201" s="638" t="s">
        <v>108</v>
      </c>
      <c r="D2201" s="626" t="s">
        <v>5184</v>
      </c>
      <c r="E2201" s="636">
        <v>1900</v>
      </c>
      <c r="F2201" s="637"/>
      <c r="G2201" s="626" t="s">
        <v>5183</v>
      </c>
      <c r="H2201" s="638"/>
      <c r="I2201" s="626"/>
      <c r="J2201" s="638"/>
      <c r="K2201" s="654"/>
      <c r="L2201" s="681"/>
      <c r="M2201" s="684"/>
      <c r="N2201" s="640">
        <v>1</v>
      </c>
      <c r="O2201" s="685" t="s">
        <v>0</v>
      </c>
      <c r="P2201" s="643">
        <v>1900</v>
      </c>
    </row>
    <row r="2202" spans="1:16" s="619" customFormat="1" ht="60" x14ac:dyDescent="0.2">
      <c r="A2202" s="626" t="s">
        <v>4789</v>
      </c>
      <c r="B2202" s="626" t="s">
        <v>5140</v>
      </c>
      <c r="C2202" s="638" t="s">
        <v>108</v>
      </c>
      <c r="D2202" s="626" t="s">
        <v>5184</v>
      </c>
      <c r="E2202" s="636">
        <v>1900</v>
      </c>
      <c r="F2202" s="637"/>
      <c r="G2202" s="626" t="s">
        <v>5183</v>
      </c>
      <c r="H2202" s="638"/>
      <c r="I2202" s="626"/>
      <c r="J2202" s="638"/>
      <c r="K2202" s="654"/>
      <c r="L2202" s="681"/>
      <c r="M2202" s="684"/>
      <c r="N2202" s="640">
        <v>1</v>
      </c>
      <c r="O2202" s="685" t="s">
        <v>0</v>
      </c>
      <c r="P2202" s="643">
        <v>1900</v>
      </c>
    </row>
    <row r="2203" spans="1:16" s="619" customFormat="1" ht="60" x14ac:dyDescent="0.2">
      <c r="A2203" s="626" t="s">
        <v>4789</v>
      </c>
      <c r="B2203" s="626" t="s">
        <v>5140</v>
      </c>
      <c r="C2203" s="638" t="s">
        <v>108</v>
      </c>
      <c r="D2203" s="626" t="s">
        <v>5185</v>
      </c>
      <c r="E2203" s="636">
        <v>1000</v>
      </c>
      <c r="F2203" s="637"/>
      <c r="G2203" s="626" t="s">
        <v>5186</v>
      </c>
      <c r="H2203" s="638"/>
      <c r="I2203" s="626"/>
      <c r="J2203" s="638"/>
      <c r="K2203" s="654"/>
      <c r="L2203" s="681"/>
      <c r="M2203" s="684"/>
      <c r="N2203" s="640">
        <v>1</v>
      </c>
      <c r="O2203" s="685" t="s">
        <v>0</v>
      </c>
      <c r="P2203" s="643">
        <v>1000</v>
      </c>
    </row>
    <row r="2204" spans="1:16" s="619" customFormat="1" ht="60" x14ac:dyDescent="0.2">
      <c r="A2204" s="626" t="s">
        <v>4789</v>
      </c>
      <c r="B2204" s="626" t="s">
        <v>5140</v>
      </c>
      <c r="C2204" s="638" t="s">
        <v>108</v>
      </c>
      <c r="D2204" s="626" t="s">
        <v>5187</v>
      </c>
      <c r="E2204" s="636">
        <v>1200</v>
      </c>
      <c r="F2204" s="637"/>
      <c r="G2204" s="626" t="s">
        <v>4851</v>
      </c>
      <c r="H2204" s="638"/>
      <c r="I2204" s="626"/>
      <c r="J2204" s="638"/>
      <c r="K2204" s="654"/>
      <c r="L2204" s="681"/>
      <c r="M2204" s="684"/>
      <c r="N2204" s="640">
        <v>1</v>
      </c>
      <c r="O2204" s="685" t="s">
        <v>0</v>
      </c>
      <c r="P2204" s="643">
        <v>1200</v>
      </c>
    </row>
    <row r="2205" spans="1:16" s="619" customFormat="1" ht="60" x14ac:dyDescent="0.2">
      <c r="A2205" s="626" t="s">
        <v>4789</v>
      </c>
      <c r="B2205" s="626" t="s">
        <v>5140</v>
      </c>
      <c r="C2205" s="638" t="s">
        <v>108</v>
      </c>
      <c r="D2205" s="626" t="s">
        <v>5187</v>
      </c>
      <c r="E2205" s="636">
        <v>1200</v>
      </c>
      <c r="F2205" s="637"/>
      <c r="G2205" s="626" t="s">
        <v>4851</v>
      </c>
      <c r="H2205" s="638"/>
      <c r="I2205" s="626"/>
      <c r="J2205" s="638"/>
      <c r="K2205" s="654"/>
      <c r="L2205" s="681"/>
      <c r="M2205" s="684"/>
      <c r="N2205" s="640">
        <v>1</v>
      </c>
      <c r="O2205" s="685" t="s">
        <v>0</v>
      </c>
      <c r="P2205" s="643">
        <v>1200</v>
      </c>
    </row>
    <row r="2206" spans="1:16" s="619" customFormat="1" ht="60" x14ac:dyDescent="0.2">
      <c r="A2206" s="626" t="s">
        <v>4789</v>
      </c>
      <c r="B2206" s="626" t="s">
        <v>5140</v>
      </c>
      <c r="C2206" s="638" t="s">
        <v>108</v>
      </c>
      <c r="D2206" s="626" t="s">
        <v>4934</v>
      </c>
      <c r="E2206" s="636">
        <v>1500</v>
      </c>
      <c r="F2206" s="637"/>
      <c r="G2206" s="626" t="s">
        <v>4935</v>
      </c>
      <c r="H2206" s="638"/>
      <c r="I2206" s="626"/>
      <c r="J2206" s="638"/>
      <c r="K2206" s="654"/>
      <c r="L2206" s="681"/>
      <c r="M2206" s="684"/>
      <c r="N2206" s="640">
        <v>1</v>
      </c>
      <c r="O2206" s="685" t="s">
        <v>0</v>
      </c>
      <c r="P2206" s="643">
        <v>1500</v>
      </c>
    </row>
    <row r="2207" spans="1:16" s="619" customFormat="1" ht="60" x14ac:dyDescent="0.2">
      <c r="A2207" s="626" t="s">
        <v>4789</v>
      </c>
      <c r="B2207" s="626" t="s">
        <v>5140</v>
      </c>
      <c r="C2207" s="638" t="s">
        <v>108</v>
      </c>
      <c r="D2207" s="626" t="s">
        <v>4934</v>
      </c>
      <c r="E2207" s="636">
        <v>1500</v>
      </c>
      <c r="F2207" s="637"/>
      <c r="G2207" s="626" t="s">
        <v>4935</v>
      </c>
      <c r="H2207" s="638"/>
      <c r="I2207" s="626"/>
      <c r="J2207" s="638"/>
      <c r="K2207" s="654"/>
      <c r="L2207" s="681"/>
      <c r="M2207" s="684"/>
      <c r="N2207" s="640">
        <v>1</v>
      </c>
      <c r="O2207" s="685" t="s">
        <v>0</v>
      </c>
      <c r="P2207" s="643">
        <v>1500</v>
      </c>
    </row>
    <row r="2208" spans="1:16" s="619" customFormat="1" ht="60" x14ac:dyDescent="0.2">
      <c r="A2208" s="626" t="s">
        <v>4789</v>
      </c>
      <c r="B2208" s="626" t="s">
        <v>5140</v>
      </c>
      <c r="C2208" s="638" t="s">
        <v>108</v>
      </c>
      <c r="D2208" s="626" t="s">
        <v>4934</v>
      </c>
      <c r="E2208" s="636">
        <v>3000</v>
      </c>
      <c r="F2208" s="637"/>
      <c r="G2208" s="626" t="s">
        <v>4935</v>
      </c>
      <c r="H2208" s="638"/>
      <c r="I2208" s="626"/>
      <c r="J2208" s="638"/>
      <c r="K2208" s="654"/>
      <c r="L2208" s="681"/>
      <c r="M2208" s="684"/>
      <c r="N2208" s="640">
        <v>1</v>
      </c>
      <c r="O2208" s="685" t="s">
        <v>0</v>
      </c>
      <c r="P2208" s="643">
        <v>3000</v>
      </c>
    </row>
    <row r="2209" spans="1:16" s="619" customFormat="1" ht="60" x14ac:dyDescent="0.2">
      <c r="A2209" s="626" t="s">
        <v>4789</v>
      </c>
      <c r="B2209" s="626" t="s">
        <v>5140</v>
      </c>
      <c r="C2209" s="638" t="s">
        <v>108</v>
      </c>
      <c r="D2209" s="626" t="s">
        <v>5188</v>
      </c>
      <c r="E2209" s="636">
        <v>857.14</v>
      </c>
      <c r="F2209" s="637"/>
      <c r="G2209" s="626" t="s">
        <v>5189</v>
      </c>
      <c r="H2209" s="638"/>
      <c r="I2209" s="626"/>
      <c r="J2209" s="638"/>
      <c r="K2209" s="654"/>
      <c r="L2209" s="681"/>
      <c r="M2209" s="684"/>
      <c r="N2209" s="640">
        <v>1</v>
      </c>
      <c r="O2209" s="685" t="s">
        <v>0</v>
      </c>
      <c r="P2209" s="643">
        <v>857.14</v>
      </c>
    </row>
    <row r="2210" spans="1:16" s="619" customFormat="1" ht="60" x14ac:dyDescent="0.2">
      <c r="A2210" s="626" t="s">
        <v>4789</v>
      </c>
      <c r="B2210" s="626" t="s">
        <v>5140</v>
      </c>
      <c r="C2210" s="638" t="s">
        <v>108</v>
      </c>
      <c r="D2210" s="626" t="s">
        <v>5188</v>
      </c>
      <c r="E2210" s="636">
        <v>1200</v>
      </c>
      <c r="F2210" s="637"/>
      <c r="G2210" s="626" t="s">
        <v>5189</v>
      </c>
      <c r="H2210" s="638"/>
      <c r="I2210" s="626"/>
      <c r="J2210" s="638"/>
      <c r="K2210" s="654"/>
      <c r="L2210" s="681"/>
      <c r="M2210" s="684"/>
      <c r="N2210" s="640">
        <v>1</v>
      </c>
      <c r="O2210" s="685" t="s">
        <v>0</v>
      </c>
      <c r="P2210" s="643">
        <v>1200</v>
      </c>
    </row>
    <row r="2211" spans="1:16" s="619" customFormat="1" ht="60" x14ac:dyDescent="0.2">
      <c r="A2211" s="626" t="s">
        <v>4789</v>
      </c>
      <c r="B2211" s="626" t="s">
        <v>5140</v>
      </c>
      <c r="C2211" s="638" t="s">
        <v>108</v>
      </c>
      <c r="D2211" s="626" t="s">
        <v>5188</v>
      </c>
      <c r="E2211" s="636">
        <v>2400</v>
      </c>
      <c r="F2211" s="637"/>
      <c r="G2211" s="626" t="s">
        <v>5189</v>
      </c>
      <c r="H2211" s="638"/>
      <c r="I2211" s="626"/>
      <c r="J2211" s="638"/>
      <c r="K2211" s="654"/>
      <c r="L2211" s="681"/>
      <c r="M2211" s="684"/>
      <c r="N2211" s="640">
        <v>1</v>
      </c>
      <c r="O2211" s="685" t="s">
        <v>0</v>
      </c>
      <c r="P2211" s="643">
        <v>2400</v>
      </c>
    </row>
    <row r="2212" spans="1:16" s="619" customFormat="1" ht="60" x14ac:dyDescent="0.2">
      <c r="A2212" s="626" t="s">
        <v>4789</v>
      </c>
      <c r="B2212" s="626" t="s">
        <v>5140</v>
      </c>
      <c r="C2212" s="638" t="s">
        <v>108</v>
      </c>
      <c r="D2212" s="626" t="s">
        <v>5190</v>
      </c>
      <c r="E2212" s="636">
        <v>1000</v>
      </c>
      <c r="F2212" s="637"/>
      <c r="G2212" s="626" t="s">
        <v>5075</v>
      </c>
      <c r="H2212" s="638"/>
      <c r="I2212" s="626"/>
      <c r="J2212" s="638"/>
      <c r="K2212" s="654"/>
      <c r="L2212" s="681"/>
      <c r="M2212" s="684"/>
      <c r="N2212" s="640">
        <v>1</v>
      </c>
      <c r="O2212" s="685" t="s">
        <v>0</v>
      </c>
      <c r="P2212" s="643">
        <v>1000</v>
      </c>
    </row>
    <row r="2213" spans="1:16" s="619" customFormat="1" ht="60" x14ac:dyDescent="0.2">
      <c r="A2213" s="626" t="s">
        <v>4789</v>
      </c>
      <c r="B2213" s="626" t="s">
        <v>5140</v>
      </c>
      <c r="C2213" s="638" t="s">
        <v>108</v>
      </c>
      <c r="D2213" s="626" t="s">
        <v>5190</v>
      </c>
      <c r="E2213" s="636">
        <v>1000</v>
      </c>
      <c r="F2213" s="637"/>
      <c r="G2213" s="626" t="s">
        <v>5075</v>
      </c>
      <c r="H2213" s="638"/>
      <c r="I2213" s="626"/>
      <c r="J2213" s="638"/>
      <c r="K2213" s="654"/>
      <c r="L2213" s="681"/>
      <c r="M2213" s="684"/>
      <c r="N2213" s="640">
        <v>1</v>
      </c>
      <c r="O2213" s="685" t="s">
        <v>0</v>
      </c>
      <c r="P2213" s="643">
        <v>1000</v>
      </c>
    </row>
    <row r="2214" spans="1:16" s="619" customFormat="1" ht="60" x14ac:dyDescent="0.2">
      <c r="A2214" s="626" t="s">
        <v>4789</v>
      </c>
      <c r="B2214" s="626" t="s">
        <v>5140</v>
      </c>
      <c r="C2214" s="638" t="s">
        <v>108</v>
      </c>
      <c r="D2214" s="626" t="s">
        <v>5191</v>
      </c>
      <c r="E2214" s="636">
        <v>950</v>
      </c>
      <c r="F2214" s="637"/>
      <c r="G2214" s="626" t="s">
        <v>5192</v>
      </c>
      <c r="H2214" s="638"/>
      <c r="I2214" s="626"/>
      <c r="J2214" s="638"/>
      <c r="K2214" s="654"/>
      <c r="L2214" s="681"/>
      <c r="M2214" s="684"/>
      <c r="N2214" s="640">
        <v>1</v>
      </c>
      <c r="O2214" s="685" t="s">
        <v>0</v>
      </c>
      <c r="P2214" s="643">
        <v>950</v>
      </c>
    </row>
    <row r="2215" spans="1:16" s="619" customFormat="1" ht="60" x14ac:dyDescent="0.2">
      <c r="A2215" s="626" t="s">
        <v>4789</v>
      </c>
      <c r="B2215" s="626" t="s">
        <v>5140</v>
      </c>
      <c r="C2215" s="638" t="s">
        <v>108</v>
      </c>
      <c r="D2215" s="626" t="s">
        <v>5193</v>
      </c>
      <c r="E2215" s="636">
        <v>950</v>
      </c>
      <c r="F2215" s="637"/>
      <c r="G2215" s="626" t="s">
        <v>5192</v>
      </c>
      <c r="H2215" s="638"/>
      <c r="I2215" s="626"/>
      <c r="J2215" s="638"/>
      <c r="K2215" s="654"/>
      <c r="L2215" s="681"/>
      <c r="M2215" s="684"/>
      <c r="N2215" s="640">
        <v>1</v>
      </c>
      <c r="O2215" s="685" t="s">
        <v>0</v>
      </c>
      <c r="P2215" s="643">
        <v>950</v>
      </c>
    </row>
    <row r="2216" spans="1:16" s="619" customFormat="1" ht="60" x14ac:dyDescent="0.2">
      <c r="A2216" s="626" t="s">
        <v>4789</v>
      </c>
      <c r="B2216" s="626" t="s">
        <v>5140</v>
      </c>
      <c r="C2216" s="638" t="s">
        <v>108</v>
      </c>
      <c r="D2216" s="626" t="s">
        <v>5194</v>
      </c>
      <c r="E2216" s="636">
        <v>1500</v>
      </c>
      <c r="F2216" s="637"/>
      <c r="G2216" s="626" t="s">
        <v>5195</v>
      </c>
      <c r="H2216" s="638"/>
      <c r="I2216" s="626"/>
      <c r="J2216" s="638"/>
      <c r="K2216" s="654"/>
      <c r="L2216" s="681"/>
      <c r="M2216" s="684"/>
      <c r="N2216" s="640">
        <v>1</v>
      </c>
      <c r="O2216" s="685" t="s">
        <v>0</v>
      </c>
      <c r="P2216" s="643">
        <v>1500</v>
      </c>
    </row>
    <row r="2217" spans="1:16" s="619" customFormat="1" ht="60" x14ac:dyDescent="0.2">
      <c r="A2217" s="626" t="s">
        <v>4789</v>
      </c>
      <c r="B2217" s="626" t="s">
        <v>5140</v>
      </c>
      <c r="C2217" s="638" t="s">
        <v>108</v>
      </c>
      <c r="D2217" s="626" t="s">
        <v>5194</v>
      </c>
      <c r="E2217" s="636">
        <v>1500</v>
      </c>
      <c r="F2217" s="637"/>
      <c r="G2217" s="626" t="s">
        <v>5195</v>
      </c>
      <c r="H2217" s="638"/>
      <c r="I2217" s="626"/>
      <c r="J2217" s="638"/>
      <c r="K2217" s="654"/>
      <c r="L2217" s="681"/>
      <c r="M2217" s="684"/>
      <c r="N2217" s="640">
        <v>1</v>
      </c>
      <c r="O2217" s="685" t="s">
        <v>0</v>
      </c>
      <c r="P2217" s="643">
        <v>1500</v>
      </c>
    </row>
    <row r="2218" spans="1:16" s="619" customFormat="1" ht="60" x14ac:dyDescent="0.2">
      <c r="A2218" s="626" t="s">
        <v>4789</v>
      </c>
      <c r="B2218" s="626" t="s">
        <v>5140</v>
      </c>
      <c r="C2218" s="638" t="s">
        <v>108</v>
      </c>
      <c r="D2218" s="626" t="s">
        <v>5196</v>
      </c>
      <c r="E2218" s="636">
        <v>1500</v>
      </c>
      <c r="F2218" s="637"/>
      <c r="G2218" s="626" t="s">
        <v>4869</v>
      </c>
      <c r="H2218" s="638"/>
      <c r="I2218" s="626"/>
      <c r="J2218" s="638"/>
      <c r="K2218" s="654"/>
      <c r="L2218" s="681"/>
      <c r="M2218" s="684"/>
      <c r="N2218" s="640">
        <v>1</v>
      </c>
      <c r="O2218" s="685" t="s">
        <v>0</v>
      </c>
      <c r="P2218" s="643">
        <v>1500</v>
      </c>
    </row>
    <row r="2219" spans="1:16" s="619" customFormat="1" ht="60" x14ac:dyDescent="0.2">
      <c r="A2219" s="626" t="s">
        <v>4789</v>
      </c>
      <c r="B2219" s="626" t="s">
        <v>5140</v>
      </c>
      <c r="C2219" s="638" t="s">
        <v>108</v>
      </c>
      <c r="D2219" s="626" t="s">
        <v>5196</v>
      </c>
      <c r="E2219" s="636">
        <v>1500</v>
      </c>
      <c r="F2219" s="637"/>
      <c r="G2219" s="626" t="s">
        <v>4869</v>
      </c>
      <c r="H2219" s="638"/>
      <c r="I2219" s="626"/>
      <c r="J2219" s="638"/>
      <c r="K2219" s="654"/>
      <c r="L2219" s="681"/>
      <c r="M2219" s="684"/>
      <c r="N2219" s="640">
        <v>1</v>
      </c>
      <c r="O2219" s="685" t="s">
        <v>0</v>
      </c>
      <c r="P2219" s="643">
        <v>1500</v>
      </c>
    </row>
    <row r="2220" spans="1:16" s="619" customFormat="1" ht="60" x14ac:dyDescent="0.2">
      <c r="A2220" s="626" t="s">
        <v>4789</v>
      </c>
      <c r="B2220" s="626" t="s">
        <v>5140</v>
      </c>
      <c r="C2220" s="638" t="s">
        <v>108</v>
      </c>
      <c r="D2220" s="626" t="s">
        <v>5196</v>
      </c>
      <c r="E2220" s="636">
        <v>3000</v>
      </c>
      <c r="F2220" s="637"/>
      <c r="G2220" s="626" t="s">
        <v>4869</v>
      </c>
      <c r="H2220" s="638"/>
      <c r="I2220" s="626"/>
      <c r="J2220" s="638"/>
      <c r="K2220" s="654"/>
      <c r="L2220" s="681"/>
      <c r="M2220" s="684"/>
      <c r="N2220" s="640">
        <v>1</v>
      </c>
      <c r="O2220" s="685" t="s">
        <v>0</v>
      </c>
      <c r="P2220" s="643">
        <v>3000</v>
      </c>
    </row>
    <row r="2221" spans="1:16" s="619" customFormat="1" ht="36" x14ac:dyDescent="0.2">
      <c r="A2221" s="626" t="s">
        <v>4789</v>
      </c>
      <c r="B2221" s="626" t="s">
        <v>2032</v>
      </c>
      <c r="C2221" s="638" t="s">
        <v>108</v>
      </c>
      <c r="D2221" s="626" t="s">
        <v>5197</v>
      </c>
      <c r="E2221" s="636">
        <v>1500</v>
      </c>
      <c r="F2221" s="637"/>
      <c r="G2221" s="626" t="s">
        <v>4998</v>
      </c>
      <c r="H2221" s="638"/>
      <c r="I2221" s="626"/>
      <c r="J2221" s="638"/>
      <c r="K2221" s="654"/>
      <c r="L2221" s="681"/>
      <c r="M2221" s="684"/>
      <c r="N2221" s="640">
        <v>1</v>
      </c>
      <c r="O2221" s="685" t="s">
        <v>0</v>
      </c>
      <c r="P2221" s="643">
        <v>1500</v>
      </c>
    </row>
    <row r="2222" spans="1:16" s="619" customFormat="1" ht="36" x14ac:dyDescent="0.2">
      <c r="A2222" s="626" t="s">
        <v>4789</v>
      </c>
      <c r="B2222" s="626" t="s">
        <v>2032</v>
      </c>
      <c r="C2222" s="638" t="s">
        <v>108</v>
      </c>
      <c r="D2222" s="626" t="s">
        <v>5197</v>
      </c>
      <c r="E2222" s="636">
        <v>1500</v>
      </c>
      <c r="F2222" s="637"/>
      <c r="G2222" s="626" t="s">
        <v>4998</v>
      </c>
      <c r="H2222" s="638"/>
      <c r="I2222" s="626"/>
      <c r="J2222" s="638"/>
      <c r="K2222" s="654"/>
      <c r="L2222" s="681"/>
      <c r="M2222" s="684"/>
      <c r="N2222" s="640">
        <v>1</v>
      </c>
      <c r="O2222" s="685" t="s">
        <v>0</v>
      </c>
      <c r="P2222" s="643">
        <v>1500</v>
      </c>
    </row>
    <row r="2223" spans="1:16" s="619" customFormat="1" ht="60" x14ac:dyDescent="0.2">
      <c r="A2223" s="626" t="s">
        <v>4789</v>
      </c>
      <c r="B2223" s="626" t="s">
        <v>5140</v>
      </c>
      <c r="C2223" s="638" t="s">
        <v>108</v>
      </c>
      <c r="D2223" s="626" t="s">
        <v>5198</v>
      </c>
      <c r="E2223" s="636">
        <v>2200</v>
      </c>
      <c r="F2223" s="637"/>
      <c r="G2223" s="626" t="s">
        <v>5008</v>
      </c>
      <c r="H2223" s="638"/>
      <c r="I2223" s="626"/>
      <c r="J2223" s="638"/>
      <c r="K2223" s="654"/>
      <c r="L2223" s="681"/>
      <c r="M2223" s="684"/>
      <c r="N2223" s="640">
        <v>1</v>
      </c>
      <c r="O2223" s="685" t="s">
        <v>0</v>
      </c>
      <c r="P2223" s="643">
        <v>2200</v>
      </c>
    </row>
    <row r="2224" spans="1:16" s="619" customFormat="1" ht="60" x14ac:dyDescent="0.2">
      <c r="A2224" s="626" t="s">
        <v>4789</v>
      </c>
      <c r="B2224" s="626" t="s">
        <v>5140</v>
      </c>
      <c r="C2224" s="638" t="s">
        <v>108</v>
      </c>
      <c r="D2224" s="626" t="s">
        <v>5198</v>
      </c>
      <c r="E2224" s="636">
        <v>2200</v>
      </c>
      <c r="F2224" s="637"/>
      <c r="G2224" s="626" t="s">
        <v>5008</v>
      </c>
      <c r="H2224" s="638"/>
      <c r="I2224" s="626"/>
      <c r="J2224" s="638"/>
      <c r="K2224" s="654"/>
      <c r="L2224" s="681"/>
      <c r="M2224" s="684"/>
      <c r="N2224" s="640">
        <v>1</v>
      </c>
      <c r="O2224" s="685" t="s">
        <v>0</v>
      </c>
      <c r="P2224" s="643">
        <v>2200</v>
      </c>
    </row>
    <row r="2225" spans="1:16" s="619" customFormat="1" ht="60" x14ac:dyDescent="0.2">
      <c r="A2225" s="626" t="s">
        <v>4789</v>
      </c>
      <c r="B2225" s="626" t="s">
        <v>5140</v>
      </c>
      <c r="C2225" s="638" t="s">
        <v>108</v>
      </c>
      <c r="D2225" s="626" t="s">
        <v>5199</v>
      </c>
      <c r="E2225" s="636">
        <v>407.14</v>
      </c>
      <c r="F2225" s="637"/>
      <c r="G2225" s="626" t="s">
        <v>5200</v>
      </c>
      <c r="H2225" s="638"/>
      <c r="I2225" s="626"/>
      <c r="J2225" s="638"/>
      <c r="K2225" s="654"/>
      <c r="L2225" s="681"/>
      <c r="M2225" s="684"/>
      <c r="N2225" s="640">
        <v>1</v>
      </c>
      <c r="O2225" s="685" t="s">
        <v>0</v>
      </c>
      <c r="P2225" s="643">
        <v>407.14</v>
      </c>
    </row>
    <row r="2226" spans="1:16" s="619" customFormat="1" ht="60" x14ac:dyDescent="0.2">
      <c r="A2226" s="626" t="s">
        <v>4789</v>
      </c>
      <c r="B2226" s="626" t="s">
        <v>5140</v>
      </c>
      <c r="C2226" s="638" t="s">
        <v>108</v>
      </c>
      <c r="D2226" s="626" t="s">
        <v>5199</v>
      </c>
      <c r="E2226" s="636">
        <v>950</v>
      </c>
      <c r="F2226" s="637"/>
      <c r="G2226" s="626" t="s">
        <v>5200</v>
      </c>
      <c r="H2226" s="638"/>
      <c r="I2226" s="626"/>
      <c r="J2226" s="638"/>
      <c r="K2226" s="654"/>
      <c r="L2226" s="681"/>
      <c r="M2226" s="684"/>
      <c r="N2226" s="640">
        <v>1</v>
      </c>
      <c r="O2226" s="685" t="s">
        <v>0</v>
      </c>
      <c r="P2226" s="643">
        <v>950</v>
      </c>
    </row>
    <row r="2227" spans="1:16" s="619" customFormat="1" ht="36" x14ac:dyDescent="0.2">
      <c r="A2227" s="626" t="s">
        <v>4789</v>
      </c>
      <c r="B2227" s="626" t="s">
        <v>2032</v>
      </c>
      <c r="C2227" s="638" t="s">
        <v>108</v>
      </c>
      <c r="D2227" s="626" t="s">
        <v>5201</v>
      </c>
      <c r="E2227" s="636">
        <v>3000</v>
      </c>
      <c r="F2227" s="637"/>
      <c r="G2227" s="626" t="s">
        <v>4883</v>
      </c>
      <c r="H2227" s="638"/>
      <c r="I2227" s="626"/>
      <c r="J2227" s="638"/>
      <c r="K2227" s="654"/>
      <c r="L2227" s="681"/>
      <c r="M2227" s="684"/>
      <c r="N2227" s="640">
        <v>1</v>
      </c>
      <c r="O2227" s="685" t="s">
        <v>0</v>
      </c>
      <c r="P2227" s="643">
        <v>3000</v>
      </c>
    </row>
    <row r="2228" spans="1:16" s="619" customFormat="1" ht="60" x14ac:dyDescent="0.2">
      <c r="A2228" s="626" t="s">
        <v>4789</v>
      </c>
      <c r="B2228" s="626" t="s">
        <v>5140</v>
      </c>
      <c r="C2228" s="638" t="s">
        <v>108</v>
      </c>
      <c r="D2228" s="626" t="s">
        <v>4951</v>
      </c>
      <c r="E2228" s="636">
        <v>950</v>
      </c>
      <c r="F2228" s="637"/>
      <c r="G2228" s="626" t="s">
        <v>5080</v>
      </c>
      <c r="H2228" s="638"/>
      <c r="I2228" s="626"/>
      <c r="J2228" s="638"/>
      <c r="K2228" s="654"/>
      <c r="L2228" s="681"/>
      <c r="M2228" s="684"/>
      <c r="N2228" s="640">
        <v>1</v>
      </c>
      <c r="O2228" s="685" t="s">
        <v>0</v>
      </c>
      <c r="P2228" s="643">
        <v>950</v>
      </c>
    </row>
    <row r="2229" spans="1:16" s="619" customFormat="1" ht="60" x14ac:dyDescent="0.2">
      <c r="A2229" s="626" t="s">
        <v>4789</v>
      </c>
      <c r="B2229" s="626" t="s">
        <v>5140</v>
      </c>
      <c r="C2229" s="638" t="s">
        <v>108</v>
      </c>
      <c r="D2229" s="626" t="s">
        <v>4951</v>
      </c>
      <c r="E2229" s="636">
        <v>950</v>
      </c>
      <c r="F2229" s="637"/>
      <c r="G2229" s="626" t="s">
        <v>5080</v>
      </c>
      <c r="H2229" s="638"/>
      <c r="I2229" s="626"/>
      <c r="J2229" s="638"/>
      <c r="K2229" s="654"/>
      <c r="L2229" s="681"/>
      <c r="M2229" s="684"/>
      <c r="N2229" s="640">
        <v>1</v>
      </c>
      <c r="O2229" s="685" t="s">
        <v>0</v>
      </c>
      <c r="P2229" s="643">
        <v>950</v>
      </c>
    </row>
    <row r="2230" spans="1:16" s="619" customFormat="1" ht="60" x14ac:dyDescent="0.2">
      <c r="A2230" s="626" t="s">
        <v>4789</v>
      </c>
      <c r="B2230" s="626" t="s">
        <v>5140</v>
      </c>
      <c r="C2230" s="638" t="s">
        <v>108</v>
      </c>
      <c r="D2230" s="626" t="s">
        <v>5202</v>
      </c>
      <c r="E2230" s="636">
        <v>1500</v>
      </c>
      <c r="F2230" s="637"/>
      <c r="G2230" s="626" t="s">
        <v>3560</v>
      </c>
      <c r="H2230" s="638"/>
      <c r="I2230" s="626"/>
      <c r="J2230" s="638"/>
      <c r="K2230" s="654"/>
      <c r="L2230" s="681"/>
      <c r="M2230" s="684"/>
      <c r="N2230" s="640">
        <v>1</v>
      </c>
      <c r="O2230" s="685" t="s">
        <v>0</v>
      </c>
      <c r="P2230" s="643">
        <v>1500</v>
      </c>
    </row>
    <row r="2231" spans="1:16" s="619" customFormat="1" ht="60" x14ac:dyDescent="0.2">
      <c r="A2231" s="626" t="s">
        <v>4789</v>
      </c>
      <c r="B2231" s="626" t="s">
        <v>5140</v>
      </c>
      <c r="C2231" s="638" t="s">
        <v>108</v>
      </c>
      <c r="D2231" s="626" t="s">
        <v>5202</v>
      </c>
      <c r="E2231" s="636">
        <v>1500</v>
      </c>
      <c r="F2231" s="637"/>
      <c r="G2231" s="626" t="s">
        <v>3560</v>
      </c>
      <c r="H2231" s="638"/>
      <c r="I2231" s="626"/>
      <c r="J2231" s="638"/>
      <c r="K2231" s="654"/>
      <c r="L2231" s="681"/>
      <c r="M2231" s="684"/>
      <c r="N2231" s="640">
        <v>1</v>
      </c>
      <c r="O2231" s="685" t="s">
        <v>0</v>
      </c>
      <c r="P2231" s="643">
        <v>1500</v>
      </c>
    </row>
    <row r="2232" spans="1:16" s="619" customFormat="1" ht="60" x14ac:dyDescent="0.2">
      <c r="A2232" s="626" t="s">
        <v>4789</v>
      </c>
      <c r="B2232" s="626" t="s">
        <v>5140</v>
      </c>
      <c r="C2232" s="638" t="s">
        <v>108</v>
      </c>
      <c r="D2232" s="626" t="s">
        <v>5203</v>
      </c>
      <c r="E2232" s="636">
        <v>950</v>
      </c>
      <c r="F2232" s="637"/>
      <c r="G2232" s="626" t="s">
        <v>5127</v>
      </c>
      <c r="H2232" s="638"/>
      <c r="I2232" s="626"/>
      <c r="J2232" s="638"/>
      <c r="K2232" s="654"/>
      <c r="L2232" s="681"/>
      <c r="M2232" s="684"/>
      <c r="N2232" s="640">
        <v>1</v>
      </c>
      <c r="O2232" s="685" t="s">
        <v>0</v>
      </c>
      <c r="P2232" s="643">
        <v>950</v>
      </c>
    </row>
    <row r="2233" spans="1:16" s="619" customFormat="1" ht="36" x14ac:dyDescent="0.2">
      <c r="A2233" s="626" t="s">
        <v>4789</v>
      </c>
      <c r="B2233" s="626" t="s">
        <v>2032</v>
      </c>
      <c r="C2233" s="638" t="s">
        <v>108</v>
      </c>
      <c r="D2233" s="626" t="s">
        <v>5204</v>
      </c>
      <c r="E2233" s="636">
        <v>1300</v>
      </c>
      <c r="F2233" s="637"/>
      <c r="G2233" s="626" t="s">
        <v>4959</v>
      </c>
      <c r="H2233" s="638"/>
      <c r="I2233" s="626"/>
      <c r="J2233" s="638"/>
      <c r="K2233" s="654"/>
      <c r="L2233" s="681"/>
      <c r="M2233" s="684"/>
      <c r="N2233" s="640">
        <v>1</v>
      </c>
      <c r="O2233" s="685" t="s">
        <v>0</v>
      </c>
      <c r="P2233" s="643">
        <v>1300</v>
      </c>
    </row>
    <row r="2234" spans="1:16" s="619" customFormat="1" ht="36" x14ac:dyDescent="0.2">
      <c r="A2234" s="626" t="s">
        <v>4789</v>
      </c>
      <c r="B2234" s="626" t="s">
        <v>2032</v>
      </c>
      <c r="C2234" s="638" t="s">
        <v>108</v>
      </c>
      <c r="D2234" s="626" t="s">
        <v>5204</v>
      </c>
      <c r="E2234" s="636">
        <v>1300</v>
      </c>
      <c r="F2234" s="637"/>
      <c r="G2234" s="626" t="s">
        <v>4959</v>
      </c>
      <c r="H2234" s="638"/>
      <c r="I2234" s="626"/>
      <c r="J2234" s="638"/>
      <c r="K2234" s="654"/>
      <c r="L2234" s="681"/>
      <c r="M2234" s="684"/>
      <c r="N2234" s="640">
        <v>1</v>
      </c>
      <c r="O2234" s="685" t="s">
        <v>0</v>
      </c>
      <c r="P2234" s="643">
        <v>1300</v>
      </c>
    </row>
    <row r="2235" spans="1:16" s="619" customFormat="1" ht="60" x14ac:dyDescent="0.2">
      <c r="A2235" s="626" t="s">
        <v>4789</v>
      </c>
      <c r="B2235" s="626" t="s">
        <v>5140</v>
      </c>
      <c r="C2235" s="638" t="s">
        <v>108</v>
      </c>
      <c r="D2235" s="626" t="s">
        <v>5205</v>
      </c>
      <c r="E2235" s="636">
        <v>1800</v>
      </c>
      <c r="F2235" s="637"/>
      <c r="G2235" s="626" t="s">
        <v>4885</v>
      </c>
      <c r="H2235" s="638"/>
      <c r="I2235" s="626"/>
      <c r="J2235" s="638"/>
      <c r="K2235" s="654"/>
      <c r="L2235" s="681"/>
      <c r="M2235" s="684"/>
      <c r="N2235" s="640">
        <v>1</v>
      </c>
      <c r="O2235" s="685" t="s">
        <v>0</v>
      </c>
      <c r="P2235" s="643">
        <v>1800</v>
      </c>
    </row>
    <row r="2236" spans="1:16" s="619" customFormat="1" ht="60" x14ac:dyDescent="0.2">
      <c r="A2236" s="626" t="s">
        <v>4789</v>
      </c>
      <c r="B2236" s="626" t="s">
        <v>5140</v>
      </c>
      <c r="C2236" s="638" t="s">
        <v>108</v>
      </c>
      <c r="D2236" s="626" t="s">
        <v>5205</v>
      </c>
      <c r="E2236" s="636">
        <v>1800</v>
      </c>
      <c r="F2236" s="637"/>
      <c r="G2236" s="626" t="s">
        <v>4885</v>
      </c>
      <c r="H2236" s="638"/>
      <c r="I2236" s="626"/>
      <c r="J2236" s="638"/>
      <c r="K2236" s="654"/>
      <c r="L2236" s="681"/>
      <c r="M2236" s="684"/>
      <c r="N2236" s="640">
        <v>1</v>
      </c>
      <c r="O2236" s="685" t="s">
        <v>0</v>
      </c>
      <c r="P2236" s="643">
        <v>1800</v>
      </c>
    </row>
    <row r="2237" spans="1:16" s="619" customFormat="1" ht="60" x14ac:dyDescent="0.2">
      <c r="A2237" s="626" t="s">
        <v>4789</v>
      </c>
      <c r="B2237" s="626" t="s">
        <v>5140</v>
      </c>
      <c r="C2237" s="638" t="s">
        <v>108</v>
      </c>
      <c r="D2237" s="626" t="s">
        <v>5205</v>
      </c>
      <c r="E2237" s="636">
        <v>3600</v>
      </c>
      <c r="F2237" s="637"/>
      <c r="G2237" s="626" t="s">
        <v>4885</v>
      </c>
      <c r="H2237" s="638"/>
      <c r="I2237" s="626"/>
      <c r="J2237" s="638"/>
      <c r="K2237" s="654"/>
      <c r="L2237" s="681"/>
      <c r="M2237" s="684"/>
      <c r="N2237" s="640">
        <v>1</v>
      </c>
      <c r="O2237" s="685" t="s">
        <v>0</v>
      </c>
      <c r="P2237" s="643">
        <v>3600</v>
      </c>
    </row>
    <row r="2238" spans="1:16" s="619" customFormat="1" ht="60" x14ac:dyDescent="0.2">
      <c r="A2238" s="626" t="s">
        <v>4789</v>
      </c>
      <c r="B2238" s="626" t="s">
        <v>5140</v>
      </c>
      <c r="C2238" s="638" t="s">
        <v>108</v>
      </c>
      <c r="D2238" s="626" t="s">
        <v>5206</v>
      </c>
      <c r="E2238" s="636">
        <v>1300</v>
      </c>
      <c r="F2238" s="637"/>
      <c r="G2238" s="626" t="s">
        <v>4901</v>
      </c>
      <c r="H2238" s="638"/>
      <c r="I2238" s="626"/>
      <c r="J2238" s="638"/>
      <c r="K2238" s="654"/>
      <c r="L2238" s="681"/>
      <c r="M2238" s="684"/>
      <c r="N2238" s="640">
        <v>1</v>
      </c>
      <c r="O2238" s="685" t="s">
        <v>0</v>
      </c>
      <c r="P2238" s="643">
        <v>1300</v>
      </c>
    </row>
    <row r="2239" spans="1:16" s="619" customFormat="1" ht="60" x14ac:dyDescent="0.2">
      <c r="A2239" s="626" t="s">
        <v>4789</v>
      </c>
      <c r="B2239" s="626" t="s">
        <v>5140</v>
      </c>
      <c r="C2239" s="638" t="s">
        <v>108</v>
      </c>
      <c r="D2239" s="626" t="s">
        <v>5206</v>
      </c>
      <c r="E2239" s="636">
        <v>1300</v>
      </c>
      <c r="F2239" s="637"/>
      <c r="G2239" s="626" t="s">
        <v>4901</v>
      </c>
      <c r="H2239" s="638"/>
      <c r="I2239" s="626"/>
      <c r="J2239" s="638"/>
      <c r="K2239" s="654"/>
      <c r="L2239" s="681"/>
      <c r="M2239" s="684"/>
      <c r="N2239" s="640">
        <v>1</v>
      </c>
      <c r="O2239" s="685" t="s">
        <v>0</v>
      </c>
      <c r="P2239" s="643">
        <v>1300</v>
      </c>
    </row>
    <row r="2240" spans="1:16" s="619" customFormat="1" ht="60" x14ac:dyDescent="0.2">
      <c r="A2240" s="626" t="s">
        <v>4789</v>
      </c>
      <c r="B2240" s="626" t="s">
        <v>5140</v>
      </c>
      <c r="C2240" s="638" t="s">
        <v>108</v>
      </c>
      <c r="D2240" s="626" t="s">
        <v>5187</v>
      </c>
      <c r="E2240" s="636">
        <v>1200</v>
      </c>
      <c r="F2240" s="637"/>
      <c r="G2240" s="626" t="s">
        <v>5023</v>
      </c>
      <c r="H2240" s="638"/>
      <c r="I2240" s="626"/>
      <c r="J2240" s="638"/>
      <c r="K2240" s="654"/>
      <c r="L2240" s="681"/>
      <c r="M2240" s="684"/>
      <c r="N2240" s="640">
        <v>1</v>
      </c>
      <c r="O2240" s="685" t="s">
        <v>0</v>
      </c>
      <c r="P2240" s="643">
        <v>1200</v>
      </c>
    </row>
    <row r="2241" spans="1:16" s="619" customFormat="1" ht="60" x14ac:dyDescent="0.2">
      <c r="A2241" s="626" t="s">
        <v>4789</v>
      </c>
      <c r="B2241" s="626" t="s">
        <v>5140</v>
      </c>
      <c r="C2241" s="638" t="s">
        <v>108</v>
      </c>
      <c r="D2241" s="626" t="s">
        <v>5187</v>
      </c>
      <c r="E2241" s="636">
        <v>1200</v>
      </c>
      <c r="F2241" s="637"/>
      <c r="G2241" s="626" t="s">
        <v>5023</v>
      </c>
      <c r="H2241" s="638"/>
      <c r="I2241" s="626"/>
      <c r="J2241" s="638"/>
      <c r="K2241" s="654"/>
      <c r="L2241" s="681"/>
      <c r="M2241" s="684"/>
      <c r="N2241" s="640">
        <v>1</v>
      </c>
      <c r="O2241" s="685" t="s">
        <v>0</v>
      </c>
      <c r="P2241" s="643">
        <v>1200</v>
      </c>
    </row>
    <row r="2242" spans="1:16" s="619" customFormat="1" ht="36" x14ac:dyDescent="0.2">
      <c r="A2242" s="626" t="s">
        <v>4789</v>
      </c>
      <c r="B2242" s="626" t="s">
        <v>2275</v>
      </c>
      <c r="C2242" s="638" t="s">
        <v>108</v>
      </c>
      <c r="D2242" s="626" t="s">
        <v>5207</v>
      </c>
      <c r="E2242" s="636">
        <v>475</v>
      </c>
      <c r="F2242" s="637"/>
      <c r="G2242" s="626" t="s">
        <v>5208</v>
      </c>
      <c r="H2242" s="638"/>
      <c r="I2242" s="626"/>
      <c r="J2242" s="638"/>
      <c r="K2242" s="654"/>
      <c r="L2242" s="681"/>
      <c r="M2242" s="684"/>
      <c r="N2242" s="640">
        <v>1</v>
      </c>
      <c r="O2242" s="685" t="s">
        <v>0</v>
      </c>
      <c r="P2242" s="643">
        <v>475</v>
      </c>
    </row>
    <row r="2243" spans="1:16" s="619" customFormat="1" ht="60" x14ac:dyDescent="0.2">
      <c r="A2243" s="626" t="s">
        <v>4789</v>
      </c>
      <c r="B2243" s="626" t="s">
        <v>5140</v>
      </c>
      <c r="C2243" s="638" t="s">
        <v>108</v>
      </c>
      <c r="D2243" s="626" t="s">
        <v>5209</v>
      </c>
      <c r="E2243" s="636">
        <v>1300</v>
      </c>
      <c r="F2243" s="637"/>
      <c r="G2243" s="626" t="s">
        <v>4848</v>
      </c>
      <c r="H2243" s="638"/>
      <c r="I2243" s="626"/>
      <c r="J2243" s="638"/>
      <c r="K2243" s="654"/>
      <c r="L2243" s="681"/>
      <c r="M2243" s="684"/>
      <c r="N2243" s="640">
        <v>1</v>
      </c>
      <c r="O2243" s="685" t="s">
        <v>0</v>
      </c>
      <c r="P2243" s="643">
        <v>1300</v>
      </c>
    </row>
    <row r="2244" spans="1:16" s="619" customFormat="1" ht="60" x14ac:dyDescent="0.2">
      <c r="A2244" s="626" t="s">
        <v>4789</v>
      </c>
      <c r="B2244" s="626" t="s">
        <v>5140</v>
      </c>
      <c r="C2244" s="638" t="s">
        <v>108</v>
      </c>
      <c r="D2244" s="626" t="s">
        <v>5209</v>
      </c>
      <c r="E2244" s="636">
        <v>650</v>
      </c>
      <c r="F2244" s="637"/>
      <c r="G2244" s="626" t="s">
        <v>4848</v>
      </c>
      <c r="H2244" s="638"/>
      <c r="I2244" s="626"/>
      <c r="J2244" s="638"/>
      <c r="K2244" s="654"/>
      <c r="L2244" s="681"/>
      <c r="M2244" s="684"/>
      <c r="N2244" s="640">
        <v>1</v>
      </c>
      <c r="O2244" s="685" t="s">
        <v>0</v>
      </c>
      <c r="P2244" s="643">
        <v>650</v>
      </c>
    </row>
    <row r="2245" spans="1:16" s="619" customFormat="1" ht="60" x14ac:dyDescent="0.2">
      <c r="A2245" s="626" t="s">
        <v>4789</v>
      </c>
      <c r="B2245" s="626" t="s">
        <v>5140</v>
      </c>
      <c r="C2245" s="638" t="s">
        <v>108</v>
      </c>
      <c r="D2245" s="626" t="s">
        <v>5210</v>
      </c>
      <c r="E2245" s="636">
        <v>1500</v>
      </c>
      <c r="F2245" s="637"/>
      <c r="G2245" s="626" t="s">
        <v>5020</v>
      </c>
      <c r="H2245" s="638"/>
      <c r="I2245" s="626"/>
      <c r="J2245" s="638"/>
      <c r="K2245" s="654"/>
      <c r="L2245" s="681"/>
      <c r="M2245" s="684"/>
      <c r="N2245" s="640">
        <v>1</v>
      </c>
      <c r="O2245" s="685" t="s">
        <v>0</v>
      </c>
      <c r="P2245" s="643">
        <v>1500</v>
      </c>
    </row>
    <row r="2246" spans="1:16" s="619" customFormat="1" ht="60" x14ac:dyDescent="0.2">
      <c r="A2246" s="626" t="s">
        <v>4789</v>
      </c>
      <c r="B2246" s="626" t="s">
        <v>5140</v>
      </c>
      <c r="C2246" s="638" t="s">
        <v>108</v>
      </c>
      <c r="D2246" s="626" t="s">
        <v>5210</v>
      </c>
      <c r="E2246" s="636">
        <v>1500</v>
      </c>
      <c r="F2246" s="637"/>
      <c r="G2246" s="626" t="s">
        <v>5020</v>
      </c>
      <c r="H2246" s="638"/>
      <c r="I2246" s="626"/>
      <c r="J2246" s="638"/>
      <c r="K2246" s="654"/>
      <c r="L2246" s="681"/>
      <c r="M2246" s="684"/>
      <c r="N2246" s="640">
        <v>1</v>
      </c>
      <c r="O2246" s="685" t="s">
        <v>0</v>
      </c>
      <c r="P2246" s="643">
        <v>1500</v>
      </c>
    </row>
    <row r="2247" spans="1:16" s="619" customFormat="1" ht="60" x14ac:dyDescent="0.2">
      <c r="A2247" s="626" t="s">
        <v>4789</v>
      </c>
      <c r="B2247" s="626" t="s">
        <v>5140</v>
      </c>
      <c r="C2247" s="638" t="s">
        <v>108</v>
      </c>
      <c r="D2247" s="626" t="s">
        <v>5211</v>
      </c>
      <c r="E2247" s="636">
        <v>1500</v>
      </c>
      <c r="F2247" s="637"/>
      <c r="G2247" s="626" t="s">
        <v>4979</v>
      </c>
      <c r="H2247" s="638"/>
      <c r="I2247" s="626"/>
      <c r="J2247" s="638"/>
      <c r="K2247" s="654"/>
      <c r="L2247" s="681"/>
      <c r="M2247" s="684"/>
      <c r="N2247" s="640">
        <v>1</v>
      </c>
      <c r="O2247" s="685" t="s">
        <v>0</v>
      </c>
      <c r="P2247" s="643">
        <v>1500</v>
      </c>
    </row>
    <row r="2248" spans="1:16" s="619" customFormat="1" ht="60" x14ac:dyDescent="0.2">
      <c r="A2248" s="626" t="s">
        <v>4789</v>
      </c>
      <c r="B2248" s="626" t="s">
        <v>5140</v>
      </c>
      <c r="C2248" s="638" t="s">
        <v>108</v>
      </c>
      <c r="D2248" s="626" t="s">
        <v>5211</v>
      </c>
      <c r="E2248" s="636">
        <v>1500</v>
      </c>
      <c r="F2248" s="637"/>
      <c r="G2248" s="626" t="s">
        <v>4979</v>
      </c>
      <c r="H2248" s="638"/>
      <c r="I2248" s="626"/>
      <c r="J2248" s="638"/>
      <c r="K2248" s="654"/>
      <c r="L2248" s="681"/>
      <c r="M2248" s="684"/>
      <c r="N2248" s="640">
        <v>1</v>
      </c>
      <c r="O2248" s="685" t="s">
        <v>0</v>
      </c>
      <c r="P2248" s="643">
        <v>1500</v>
      </c>
    </row>
    <row r="2249" spans="1:16" s="619" customFormat="1" ht="60" x14ac:dyDescent="0.2">
      <c r="A2249" s="626" t="s">
        <v>4789</v>
      </c>
      <c r="B2249" s="626" t="s">
        <v>5140</v>
      </c>
      <c r="C2249" s="638" t="s">
        <v>108</v>
      </c>
      <c r="D2249" s="626" t="s">
        <v>5212</v>
      </c>
      <c r="E2249" s="636">
        <v>1300</v>
      </c>
      <c r="F2249" s="637"/>
      <c r="G2249" s="626" t="s">
        <v>5134</v>
      </c>
      <c r="H2249" s="638"/>
      <c r="I2249" s="626"/>
      <c r="J2249" s="638"/>
      <c r="K2249" s="654"/>
      <c r="L2249" s="681"/>
      <c r="M2249" s="684"/>
      <c r="N2249" s="640">
        <v>1</v>
      </c>
      <c r="O2249" s="685" t="s">
        <v>0</v>
      </c>
      <c r="P2249" s="643">
        <v>1300</v>
      </c>
    </row>
    <row r="2250" spans="1:16" s="619" customFormat="1" ht="60" x14ac:dyDescent="0.2">
      <c r="A2250" s="626" t="s">
        <v>4789</v>
      </c>
      <c r="B2250" s="626" t="s">
        <v>5140</v>
      </c>
      <c r="C2250" s="638" t="s">
        <v>108</v>
      </c>
      <c r="D2250" s="626" t="s">
        <v>5212</v>
      </c>
      <c r="E2250" s="636">
        <v>1300</v>
      </c>
      <c r="F2250" s="637"/>
      <c r="G2250" s="626" t="s">
        <v>5134</v>
      </c>
      <c r="H2250" s="638"/>
      <c r="I2250" s="626"/>
      <c r="J2250" s="638"/>
      <c r="K2250" s="654"/>
      <c r="L2250" s="681"/>
      <c r="M2250" s="684"/>
      <c r="N2250" s="640">
        <v>1</v>
      </c>
      <c r="O2250" s="685" t="s">
        <v>0</v>
      </c>
      <c r="P2250" s="643">
        <v>1300</v>
      </c>
    </row>
    <row r="2251" spans="1:16" s="619" customFormat="1" ht="60" x14ac:dyDescent="0.2">
      <c r="A2251" s="626" t="s">
        <v>4789</v>
      </c>
      <c r="B2251" s="626" t="s">
        <v>5140</v>
      </c>
      <c r="C2251" s="638" t="s">
        <v>108</v>
      </c>
      <c r="D2251" s="626" t="s">
        <v>5213</v>
      </c>
      <c r="E2251" s="636">
        <v>1500</v>
      </c>
      <c r="F2251" s="637"/>
      <c r="G2251" s="626" t="s">
        <v>4865</v>
      </c>
      <c r="H2251" s="638"/>
      <c r="I2251" s="626"/>
      <c r="J2251" s="638"/>
      <c r="K2251" s="654"/>
      <c r="L2251" s="681"/>
      <c r="M2251" s="684"/>
      <c r="N2251" s="640">
        <v>1</v>
      </c>
      <c r="O2251" s="685" t="s">
        <v>0</v>
      </c>
      <c r="P2251" s="643">
        <v>1500</v>
      </c>
    </row>
    <row r="2252" spans="1:16" s="619" customFormat="1" ht="60" x14ac:dyDescent="0.2">
      <c r="A2252" s="626" t="s">
        <v>4789</v>
      </c>
      <c r="B2252" s="626" t="s">
        <v>5140</v>
      </c>
      <c r="C2252" s="638" t="s">
        <v>108</v>
      </c>
      <c r="D2252" s="626" t="s">
        <v>5213</v>
      </c>
      <c r="E2252" s="636">
        <v>1500</v>
      </c>
      <c r="F2252" s="637"/>
      <c r="G2252" s="626" t="s">
        <v>4865</v>
      </c>
      <c r="H2252" s="638"/>
      <c r="I2252" s="626"/>
      <c r="J2252" s="638"/>
      <c r="K2252" s="654"/>
      <c r="L2252" s="681"/>
      <c r="M2252" s="684"/>
      <c r="N2252" s="640">
        <v>1</v>
      </c>
      <c r="O2252" s="685" t="s">
        <v>0</v>
      </c>
      <c r="P2252" s="643">
        <v>1500</v>
      </c>
    </row>
    <row r="2253" spans="1:16" s="619" customFormat="1" ht="48" x14ac:dyDescent="0.2">
      <c r="A2253" s="626" t="s">
        <v>4789</v>
      </c>
      <c r="B2253" s="626" t="s">
        <v>2032</v>
      </c>
      <c r="C2253" s="638" t="s">
        <v>108</v>
      </c>
      <c r="D2253" s="626" t="s">
        <v>5214</v>
      </c>
      <c r="E2253" s="636">
        <v>2000</v>
      </c>
      <c r="F2253" s="637"/>
      <c r="G2253" s="626" t="s">
        <v>5215</v>
      </c>
      <c r="H2253" s="638"/>
      <c r="I2253" s="626"/>
      <c r="J2253" s="638"/>
      <c r="K2253" s="654"/>
      <c r="L2253" s="681"/>
      <c r="M2253" s="684"/>
      <c r="N2253" s="640">
        <v>1</v>
      </c>
      <c r="O2253" s="685" t="s">
        <v>0</v>
      </c>
      <c r="P2253" s="643">
        <v>2000</v>
      </c>
    </row>
    <row r="2254" spans="1:16" s="619" customFormat="1" ht="60" x14ac:dyDescent="0.2">
      <c r="A2254" s="626" t="s">
        <v>4789</v>
      </c>
      <c r="B2254" s="626" t="s">
        <v>5140</v>
      </c>
      <c r="C2254" s="638" t="s">
        <v>108</v>
      </c>
      <c r="D2254" s="626" t="s">
        <v>5214</v>
      </c>
      <c r="E2254" s="636">
        <v>1200</v>
      </c>
      <c r="F2254" s="637"/>
      <c r="G2254" s="626" t="s">
        <v>5215</v>
      </c>
      <c r="H2254" s="638"/>
      <c r="I2254" s="626"/>
      <c r="J2254" s="638"/>
      <c r="K2254" s="654"/>
      <c r="L2254" s="681"/>
      <c r="M2254" s="684"/>
      <c r="N2254" s="640">
        <v>1</v>
      </c>
      <c r="O2254" s="685" t="s">
        <v>0</v>
      </c>
      <c r="P2254" s="643">
        <v>1200</v>
      </c>
    </row>
    <row r="2255" spans="1:16" s="619" customFormat="1" ht="60" x14ac:dyDescent="0.2">
      <c r="A2255" s="626" t="s">
        <v>4789</v>
      </c>
      <c r="B2255" s="626" t="s">
        <v>5140</v>
      </c>
      <c r="C2255" s="638" t="s">
        <v>108</v>
      </c>
      <c r="D2255" s="626" t="s">
        <v>5216</v>
      </c>
      <c r="E2255" s="636">
        <v>1500</v>
      </c>
      <c r="F2255" s="637"/>
      <c r="G2255" s="626" t="s">
        <v>5095</v>
      </c>
      <c r="H2255" s="638"/>
      <c r="I2255" s="626"/>
      <c r="J2255" s="638"/>
      <c r="K2255" s="654"/>
      <c r="L2255" s="681"/>
      <c r="M2255" s="684"/>
      <c r="N2255" s="640">
        <v>1</v>
      </c>
      <c r="O2255" s="685" t="s">
        <v>0</v>
      </c>
      <c r="P2255" s="643">
        <v>1500</v>
      </c>
    </row>
    <row r="2256" spans="1:16" s="619" customFormat="1" ht="36" x14ac:dyDescent="0.2">
      <c r="A2256" s="626" t="s">
        <v>4789</v>
      </c>
      <c r="B2256" s="626" t="s">
        <v>2032</v>
      </c>
      <c r="C2256" s="638" t="s">
        <v>108</v>
      </c>
      <c r="D2256" s="626" t="s">
        <v>5217</v>
      </c>
      <c r="E2256" s="636">
        <v>1500</v>
      </c>
      <c r="F2256" s="637"/>
      <c r="G2256" s="626" t="s">
        <v>5089</v>
      </c>
      <c r="H2256" s="638"/>
      <c r="I2256" s="626"/>
      <c r="J2256" s="638"/>
      <c r="K2256" s="654"/>
      <c r="L2256" s="681"/>
      <c r="M2256" s="684"/>
      <c r="N2256" s="640">
        <v>1</v>
      </c>
      <c r="O2256" s="685" t="s">
        <v>0</v>
      </c>
      <c r="P2256" s="643">
        <v>1500</v>
      </c>
    </row>
    <row r="2257" spans="1:16" s="619" customFormat="1" ht="36" x14ac:dyDescent="0.2">
      <c r="A2257" s="626" t="s">
        <v>4789</v>
      </c>
      <c r="B2257" s="626" t="s">
        <v>2032</v>
      </c>
      <c r="C2257" s="638" t="s">
        <v>108</v>
      </c>
      <c r="D2257" s="626" t="s">
        <v>5217</v>
      </c>
      <c r="E2257" s="636">
        <v>1500</v>
      </c>
      <c r="F2257" s="637"/>
      <c r="G2257" s="626" t="s">
        <v>5089</v>
      </c>
      <c r="H2257" s="638"/>
      <c r="I2257" s="626"/>
      <c r="J2257" s="638"/>
      <c r="K2257" s="654"/>
      <c r="L2257" s="681"/>
      <c r="M2257" s="684"/>
      <c r="N2257" s="640">
        <v>1</v>
      </c>
      <c r="O2257" s="685" t="s">
        <v>0</v>
      </c>
      <c r="P2257" s="643">
        <v>1500</v>
      </c>
    </row>
    <row r="2258" spans="1:16" s="619" customFormat="1" ht="60" x14ac:dyDescent="0.2">
      <c r="A2258" s="626" t="s">
        <v>4789</v>
      </c>
      <c r="B2258" s="626" t="s">
        <v>5140</v>
      </c>
      <c r="C2258" s="638" t="s">
        <v>108</v>
      </c>
      <c r="D2258" s="626" t="s">
        <v>5218</v>
      </c>
      <c r="E2258" s="636">
        <v>1900</v>
      </c>
      <c r="F2258" s="637"/>
      <c r="G2258" s="626" t="s">
        <v>5136</v>
      </c>
      <c r="H2258" s="638"/>
      <c r="I2258" s="626"/>
      <c r="J2258" s="638"/>
      <c r="K2258" s="654"/>
      <c r="L2258" s="681"/>
      <c r="M2258" s="684"/>
      <c r="N2258" s="640">
        <v>1</v>
      </c>
      <c r="O2258" s="685" t="s">
        <v>0</v>
      </c>
      <c r="P2258" s="643">
        <v>1900</v>
      </c>
    </row>
    <row r="2259" spans="1:16" s="619" customFormat="1" ht="60" x14ac:dyDescent="0.2">
      <c r="A2259" s="626" t="s">
        <v>4789</v>
      </c>
      <c r="B2259" s="626" t="s">
        <v>5140</v>
      </c>
      <c r="C2259" s="638" t="s">
        <v>108</v>
      </c>
      <c r="D2259" s="626" t="s">
        <v>5219</v>
      </c>
      <c r="E2259" s="636">
        <v>850</v>
      </c>
      <c r="F2259" s="637"/>
      <c r="G2259" s="626" t="s">
        <v>5220</v>
      </c>
      <c r="H2259" s="638"/>
      <c r="I2259" s="626"/>
      <c r="J2259" s="638"/>
      <c r="K2259" s="654"/>
      <c r="L2259" s="681"/>
      <c r="M2259" s="684"/>
      <c r="N2259" s="640">
        <v>1</v>
      </c>
      <c r="O2259" s="685" t="s">
        <v>0</v>
      </c>
      <c r="P2259" s="643">
        <v>850</v>
      </c>
    </row>
    <row r="2260" spans="1:16" s="619" customFormat="1" ht="60" x14ac:dyDescent="0.2">
      <c r="A2260" s="626" t="s">
        <v>4789</v>
      </c>
      <c r="B2260" s="626" t="s">
        <v>5140</v>
      </c>
      <c r="C2260" s="638" t="s">
        <v>108</v>
      </c>
      <c r="D2260" s="626" t="s">
        <v>5221</v>
      </c>
      <c r="E2260" s="636">
        <v>1500</v>
      </c>
      <c r="F2260" s="637"/>
      <c r="G2260" s="626" t="s">
        <v>4983</v>
      </c>
      <c r="H2260" s="638"/>
      <c r="I2260" s="626"/>
      <c r="J2260" s="638"/>
      <c r="K2260" s="654"/>
      <c r="L2260" s="681"/>
      <c r="M2260" s="684"/>
      <c r="N2260" s="640">
        <v>1</v>
      </c>
      <c r="O2260" s="685" t="s">
        <v>0</v>
      </c>
      <c r="P2260" s="643">
        <v>1500</v>
      </c>
    </row>
    <row r="2261" spans="1:16" s="619" customFormat="1" ht="60" x14ac:dyDescent="0.2">
      <c r="A2261" s="626" t="s">
        <v>4789</v>
      </c>
      <c r="B2261" s="626" t="s">
        <v>5140</v>
      </c>
      <c r="C2261" s="638" t="s">
        <v>108</v>
      </c>
      <c r="D2261" s="626" t="s">
        <v>5221</v>
      </c>
      <c r="E2261" s="636">
        <v>1500</v>
      </c>
      <c r="F2261" s="637"/>
      <c r="G2261" s="626" t="s">
        <v>4983</v>
      </c>
      <c r="H2261" s="638"/>
      <c r="I2261" s="626"/>
      <c r="J2261" s="638"/>
      <c r="K2261" s="654"/>
      <c r="L2261" s="681"/>
      <c r="M2261" s="684"/>
      <c r="N2261" s="640">
        <v>1</v>
      </c>
      <c r="O2261" s="685" t="s">
        <v>0</v>
      </c>
      <c r="P2261" s="643">
        <v>1500</v>
      </c>
    </row>
    <row r="2262" spans="1:16" s="619" customFormat="1" ht="60" x14ac:dyDescent="0.2">
      <c r="A2262" s="626" t="s">
        <v>4789</v>
      </c>
      <c r="B2262" s="626" t="s">
        <v>5140</v>
      </c>
      <c r="C2262" s="638" t="s">
        <v>108</v>
      </c>
      <c r="D2262" s="626" t="s">
        <v>5221</v>
      </c>
      <c r="E2262" s="636">
        <v>3000</v>
      </c>
      <c r="F2262" s="637"/>
      <c r="G2262" s="626" t="s">
        <v>4983</v>
      </c>
      <c r="H2262" s="638"/>
      <c r="I2262" s="626"/>
      <c r="J2262" s="638"/>
      <c r="K2262" s="654"/>
      <c r="L2262" s="681"/>
      <c r="M2262" s="684"/>
      <c r="N2262" s="640">
        <v>1</v>
      </c>
      <c r="O2262" s="685" t="s">
        <v>0</v>
      </c>
      <c r="P2262" s="643">
        <v>3000</v>
      </c>
    </row>
    <row r="2263" spans="1:16" s="619" customFormat="1" ht="36" x14ac:dyDescent="0.2">
      <c r="A2263" s="626" t="s">
        <v>4789</v>
      </c>
      <c r="B2263" s="626" t="s">
        <v>2275</v>
      </c>
      <c r="C2263" s="638" t="s">
        <v>108</v>
      </c>
      <c r="D2263" s="626" t="s">
        <v>5222</v>
      </c>
      <c r="E2263" s="636">
        <v>1500</v>
      </c>
      <c r="F2263" s="637"/>
      <c r="G2263" s="626" t="s">
        <v>4975</v>
      </c>
      <c r="H2263" s="638"/>
      <c r="I2263" s="626"/>
      <c r="J2263" s="638"/>
      <c r="K2263" s="654"/>
      <c r="L2263" s="681"/>
      <c r="M2263" s="684"/>
      <c r="N2263" s="640">
        <v>1</v>
      </c>
      <c r="O2263" s="685" t="s">
        <v>27</v>
      </c>
      <c r="P2263" s="643">
        <v>1500</v>
      </c>
    </row>
    <row r="2264" spans="1:16" s="619" customFormat="1" ht="36" x14ac:dyDescent="0.2">
      <c r="A2264" s="626" t="s">
        <v>4789</v>
      </c>
      <c r="B2264" s="626" t="s">
        <v>2275</v>
      </c>
      <c r="C2264" s="638" t="s">
        <v>108</v>
      </c>
      <c r="D2264" s="626" t="s">
        <v>5223</v>
      </c>
      <c r="E2264" s="636">
        <v>1500</v>
      </c>
      <c r="F2264" s="637"/>
      <c r="G2264" s="626" t="s">
        <v>5045</v>
      </c>
      <c r="H2264" s="638"/>
      <c r="I2264" s="626"/>
      <c r="J2264" s="638"/>
      <c r="K2264" s="654"/>
      <c r="L2264" s="681"/>
      <c r="M2264" s="684"/>
      <c r="N2264" s="640">
        <v>1</v>
      </c>
      <c r="O2264" s="685" t="s">
        <v>27</v>
      </c>
      <c r="P2264" s="643">
        <v>1500</v>
      </c>
    </row>
    <row r="2265" spans="1:16" s="619" customFormat="1" ht="36" x14ac:dyDescent="0.2">
      <c r="A2265" s="626" t="s">
        <v>4789</v>
      </c>
      <c r="B2265" s="626" t="s">
        <v>2275</v>
      </c>
      <c r="C2265" s="638" t="s">
        <v>108</v>
      </c>
      <c r="D2265" s="626" t="s">
        <v>5151</v>
      </c>
      <c r="E2265" s="636">
        <v>1500</v>
      </c>
      <c r="F2265" s="637"/>
      <c r="G2265" s="626" t="s">
        <v>5150</v>
      </c>
      <c r="H2265" s="638"/>
      <c r="I2265" s="626"/>
      <c r="J2265" s="638"/>
      <c r="K2265" s="654"/>
      <c r="L2265" s="681"/>
      <c r="M2265" s="684"/>
      <c r="N2265" s="640">
        <v>1</v>
      </c>
      <c r="O2265" s="685" t="s">
        <v>27</v>
      </c>
      <c r="P2265" s="643">
        <v>1500</v>
      </c>
    </row>
    <row r="2266" spans="1:16" s="619" customFormat="1" ht="36" x14ac:dyDescent="0.2">
      <c r="A2266" s="626" t="s">
        <v>4789</v>
      </c>
      <c r="B2266" s="626" t="s">
        <v>2275</v>
      </c>
      <c r="C2266" s="638" t="s">
        <v>108</v>
      </c>
      <c r="D2266" s="626" t="s">
        <v>5224</v>
      </c>
      <c r="E2266" s="636">
        <v>1500</v>
      </c>
      <c r="F2266" s="637"/>
      <c r="G2266" s="626" t="s">
        <v>4846</v>
      </c>
      <c r="H2266" s="638"/>
      <c r="I2266" s="626"/>
      <c r="J2266" s="638"/>
      <c r="K2266" s="654"/>
      <c r="L2266" s="681"/>
      <c r="M2266" s="684"/>
      <c r="N2266" s="640">
        <v>1</v>
      </c>
      <c r="O2266" s="685" t="s">
        <v>27</v>
      </c>
      <c r="P2266" s="643">
        <v>1500</v>
      </c>
    </row>
    <row r="2267" spans="1:16" s="619" customFormat="1" ht="24" x14ac:dyDescent="0.2">
      <c r="A2267" s="626" t="s">
        <v>4789</v>
      </c>
      <c r="B2267" s="626" t="s">
        <v>5225</v>
      </c>
      <c r="C2267" s="638" t="s">
        <v>108</v>
      </c>
      <c r="D2267" s="626" t="s">
        <v>5226</v>
      </c>
      <c r="E2267" s="636">
        <v>1800</v>
      </c>
      <c r="F2267" s="637"/>
      <c r="G2267" s="626" t="s">
        <v>5112</v>
      </c>
      <c r="H2267" s="638"/>
      <c r="I2267" s="626"/>
      <c r="J2267" s="638"/>
      <c r="K2267" s="654"/>
      <c r="L2267" s="681"/>
      <c r="M2267" s="684"/>
      <c r="N2267" s="640">
        <v>1</v>
      </c>
      <c r="O2267" s="685" t="s">
        <v>27</v>
      </c>
      <c r="P2267" s="643">
        <v>1800</v>
      </c>
    </row>
    <row r="2268" spans="1:16" s="619" customFormat="1" ht="36" x14ac:dyDescent="0.2">
      <c r="A2268" s="626" t="s">
        <v>4789</v>
      </c>
      <c r="B2268" s="626" t="s">
        <v>2275</v>
      </c>
      <c r="C2268" s="638" t="s">
        <v>108</v>
      </c>
      <c r="D2268" s="626" t="s">
        <v>5227</v>
      </c>
      <c r="E2268" s="636">
        <v>1500</v>
      </c>
      <c r="F2268" s="637"/>
      <c r="G2268" s="626" t="s">
        <v>5156</v>
      </c>
      <c r="H2268" s="638"/>
      <c r="I2268" s="626"/>
      <c r="J2268" s="638"/>
      <c r="K2268" s="654"/>
      <c r="L2268" s="681"/>
      <c r="M2268" s="684"/>
      <c r="N2268" s="640">
        <v>1</v>
      </c>
      <c r="O2268" s="685" t="s">
        <v>27</v>
      </c>
      <c r="P2268" s="643">
        <v>1500</v>
      </c>
    </row>
    <row r="2269" spans="1:16" s="619" customFormat="1" ht="36" x14ac:dyDescent="0.2">
      <c r="A2269" s="626" t="s">
        <v>4789</v>
      </c>
      <c r="B2269" s="626" t="s">
        <v>2275</v>
      </c>
      <c r="C2269" s="638" t="s">
        <v>108</v>
      </c>
      <c r="D2269" s="626" t="s">
        <v>5228</v>
      </c>
      <c r="E2269" s="636">
        <v>1500</v>
      </c>
      <c r="F2269" s="637"/>
      <c r="G2269" s="626" t="s">
        <v>4874</v>
      </c>
      <c r="H2269" s="638"/>
      <c r="I2269" s="626"/>
      <c r="J2269" s="638"/>
      <c r="K2269" s="654"/>
      <c r="L2269" s="681"/>
      <c r="M2269" s="684"/>
      <c r="N2269" s="640">
        <v>1</v>
      </c>
      <c r="O2269" s="685" t="s">
        <v>27</v>
      </c>
      <c r="P2269" s="643">
        <v>1500</v>
      </c>
    </row>
    <row r="2270" spans="1:16" s="619" customFormat="1" ht="36" x14ac:dyDescent="0.2">
      <c r="A2270" s="626" t="s">
        <v>4789</v>
      </c>
      <c r="B2270" s="626" t="s">
        <v>2275</v>
      </c>
      <c r="C2270" s="638" t="s">
        <v>108</v>
      </c>
      <c r="D2270" s="626" t="s">
        <v>5228</v>
      </c>
      <c r="E2270" s="636">
        <v>1500</v>
      </c>
      <c r="F2270" s="637"/>
      <c r="G2270" s="626" t="s">
        <v>4874</v>
      </c>
      <c r="H2270" s="638"/>
      <c r="I2270" s="626"/>
      <c r="J2270" s="638"/>
      <c r="K2270" s="654"/>
      <c r="L2270" s="681"/>
      <c r="M2270" s="684"/>
      <c r="N2270" s="640">
        <v>1</v>
      </c>
      <c r="O2270" s="685" t="s">
        <v>27</v>
      </c>
      <c r="P2270" s="643">
        <v>1500</v>
      </c>
    </row>
    <row r="2271" spans="1:16" s="619" customFormat="1" ht="36" x14ac:dyDescent="0.2">
      <c r="A2271" s="626" t="s">
        <v>4789</v>
      </c>
      <c r="B2271" s="626" t="s">
        <v>2275</v>
      </c>
      <c r="C2271" s="638" t="s">
        <v>108</v>
      </c>
      <c r="D2271" s="626" t="s">
        <v>5229</v>
      </c>
      <c r="E2271" s="636">
        <v>1400</v>
      </c>
      <c r="F2271" s="637"/>
      <c r="G2271" s="626" t="s">
        <v>4945</v>
      </c>
      <c r="H2271" s="638"/>
      <c r="I2271" s="626"/>
      <c r="J2271" s="638"/>
      <c r="K2271" s="654"/>
      <c r="L2271" s="681"/>
      <c r="M2271" s="684"/>
      <c r="N2271" s="640">
        <v>1</v>
      </c>
      <c r="O2271" s="685" t="s">
        <v>27</v>
      </c>
      <c r="P2271" s="643">
        <v>1400</v>
      </c>
    </row>
    <row r="2272" spans="1:16" s="619" customFormat="1" ht="36" x14ac:dyDescent="0.2">
      <c r="A2272" s="626" t="s">
        <v>4789</v>
      </c>
      <c r="B2272" s="626" t="s">
        <v>2275</v>
      </c>
      <c r="C2272" s="638" t="s">
        <v>108</v>
      </c>
      <c r="D2272" s="626" t="s">
        <v>5230</v>
      </c>
      <c r="E2272" s="636">
        <v>1500</v>
      </c>
      <c r="F2272" s="637"/>
      <c r="G2272" s="626" t="s">
        <v>4881</v>
      </c>
      <c r="H2272" s="638"/>
      <c r="I2272" s="626"/>
      <c r="J2272" s="638"/>
      <c r="K2272" s="654"/>
      <c r="L2272" s="681"/>
      <c r="M2272" s="684"/>
      <c r="N2272" s="640">
        <v>1</v>
      </c>
      <c r="O2272" s="685" t="s">
        <v>27</v>
      </c>
      <c r="P2272" s="643">
        <v>1500</v>
      </c>
    </row>
    <row r="2273" spans="1:16" s="619" customFormat="1" ht="36" x14ac:dyDescent="0.2">
      <c r="A2273" s="626" t="s">
        <v>4789</v>
      </c>
      <c r="B2273" s="626" t="s">
        <v>2032</v>
      </c>
      <c r="C2273" s="638" t="s">
        <v>108</v>
      </c>
      <c r="D2273" s="626" t="s">
        <v>5231</v>
      </c>
      <c r="E2273" s="636">
        <v>1500</v>
      </c>
      <c r="F2273" s="637"/>
      <c r="G2273" s="626" t="s">
        <v>4903</v>
      </c>
      <c r="H2273" s="638"/>
      <c r="I2273" s="626"/>
      <c r="J2273" s="638"/>
      <c r="K2273" s="654"/>
      <c r="L2273" s="681"/>
      <c r="M2273" s="684"/>
      <c r="N2273" s="640">
        <v>1</v>
      </c>
      <c r="O2273" s="685" t="s">
        <v>27</v>
      </c>
      <c r="P2273" s="643">
        <v>1500</v>
      </c>
    </row>
    <row r="2274" spans="1:16" s="619" customFormat="1" ht="36" x14ac:dyDescent="0.2">
      <c r="A2274" s="626" t="s">
        <v>4789</v>
      </c>
      <c r="B2274" s="626" t="s">
        <v>2275</v>
      </c>
      <c r="C2274" s="638" t="s">
        <v>108</v>
      </c>
      <c r="D2274" s="626" t="s">
        <v>5232</v>
      </c>
      <c r="E2274" s="636">
        <v>1500</v>
      </c>
      <c r="F2274" s="637"/>
      <c r="G2274" s="626" t="s">
        <v>5001</v>
      </c>
      <c r="H2274" s="638"/>
      <c r="I2274" s="626"/>
      <c r="J2274" s="638"/>
      <c r="K2274" s="654"/>
      <c r="L2274" s="681"/>
      <c r="M2274" s="684"/>
      <c r="N2274" s="640">
        <v>1</v>
      </c>
      <c r="O2274" s="685" t="s">
        <v>27</v>
      </c>
      <c r="P2274" s="643">
        <v>1500</v>
      </c>
    </row>
    <row r="2275" spans="1:16" s="619" customFormat="1" ht="36" x14ac:dyDescent="0.2">
      <c r="A2275" s="626" t="s">
        <v>4789</v>
      </c>
      <c r="B2275" s="626" t="s">
        <v>2275</v>
      </c>
      <c r="C2275" s="638" t="s">
        <v>108</v>
      </c>
      <c r="D2275" s="626" t="s">
        <v>5233</v>
      </c>
      <c r="E2275" s="636">
        <v>1000</v>
      </c>
      <c r="F2275" s="637"/>
      <c r="G2275" s="626" t="s">
        <v>4867</v>
      </c>
      <c r="H2275" s="638"/>
      <c r="I2275" s="626"/>
      <c r="J2275" s="638"/>
      <c r="K2275" s="654"/>
      <c r="L2275" s="681"/>
      <c r="M2275" s="684"/>
      <c r="N2275" s="640">
        <v>1</v>
      </c>
      <c r="O2275" s="685" t="s">
        <v>27</v>
      </c>
      <c r="P2275" s="643">
        <v>1000</v>
      </c>
    </row>
    <row r="2276" spans="1:16" s="619" customFormat="1" ht="36" x14ac:dyDescent="0.2">
      <c r="A2276" s="626" t="s">
        <v>4789</v>
      </c>
      <c r="B2276" s="626" t="s">
        <v>2275</v>
      </c>
      <c r="C2276" s="638" t="s">
        <v>108</v>
      </c>
      <c r="D2276" s="626" t="s">
        <v>5234</v>
      </c>
      <c r="E2276" s="636">
        <v>1500</v>
      </c>
      <c r="F2276" s="637"/>
      <c r="G2276" s="626" t="s">
        <v>4859</v>
      </c>
      <c r="H2276" s="638"/>
      <c r="I2276" s="626"/>
      <c r="J2276" s="638"/>
      <c r="K2276" s="654"/>
      <c r="L2276" s="681"/>
      <c r="M2276" s="684"/>
      <c r="N2276" s="640">
        <v>1</v>
      </c>
      <c r="O2276" s="685" t="s">
        <v>27</v>
      </c>
      <c r="P2276" s="643">
        <v>1500</v>
      </c>
    </row>
    <row r="2277" spans="1:16" s="619" customFormat="1" ht="36" x14ac:dyDescent="0.2">
      <c r="A2277" s="626" t="s">
        <v>4789</v>
      </c>
      <c r="B2277" s="626" t="s">
        <v>2275</v>
      </c>
      <c r="C2277" s="638" t="s">
        <v>108</v>
      </c>
      <c r="D2277" s="626" t="s">
        <v>5235</v>
      </c>
      <c r="E2277" s="636">
        <v>2200</v>
      </c>
      <c r="F2277" s="637"/>
      <c r="G2277" s="626" t="s">
        <v>5178</v>
      </c>
      <c r="H2277" s="638"/>
      <c r="I2277" s="626"/>
      <c r="J2277" s="638"/>
      <c r="K2277" s="654"/>
      <c r="L2277" s="681"/>
      <c r="M2277" s="684"/>
      <c r="N2277" s="640">
        <v>1</v>
      </c>
      <c r="O2277" s="685" t="s">
        <v>27</v>
      </c>
      <c r="P2277" s="643">
        <v>2200</v>
      </c>
    </row>
    <row r="2278" spans="1:16" s="619" customFormat="1" ht="36" x14ac:dyDescent="0.2">
      <c r="A2278" s="626" t="s">
        <v>4789</v>
      </c>
      <c r="B2278" s="626" t="s">
        <v>2275</v>
      </c>
      <c r="C2278" s="638" t="s">
        <v>108</v>
      </c>
      <c r="D2278" s="626" t="s">
        <v>5236</v>
      </c>
      <c r="E2278" s="636">
        <v>1500</v>
      </c>
      <c r="F2278" s="637"/>
      <c r="G2278" s="626" t="s">
        <v>4932</v>
      </c>
      <c r="H2278" s="638"/>
      <c r="I2278" s="626"/>
      <c r="J2278" s="638"/>
      <c r="K2278" s="654"/>
      <c r="L2278" s="681"/>
      <c r="M2278" s="684"/>
      <c r="N2278" s="640">
        <v>1</v>
      </c>
      <c r="O2278" s="685" t="s">
        <v>27</v>
      </c>
      <c r="P2278" s="643">
        <v>1500</v>
      </c>
    </row>
    <row r="2279" spans="1:16" s="619" customFormat="1" ht="36" x14ac:dyDescent="0.2">
      <c r="A2279" s="626" t="s">
        <v>4789</v>
      </c>
      <c r="B2279" s="626" t="s">
        <v>2275</v>
      </c>
      <c r="C2279" s="638" t="s">
        <v>108</v>
      </c>
      <c r="D2279" s="626" t="s">
        <v>5237</v>
      </c>
      <c r="E2279" s="636">
        <v>1900</v>
      </c>
      <c r="F2279" s="637"/>
      <c r="G2279" s="626" t="s">
        <v>5183</v>
      </c>
      <c r="H2279" s="638"/>
      <c r="I2279" s="626"/>
      <c r="J2279" s="638"/>
      <c r="K2279" s="654"/>
      <c r="L2279" s="681"/>
      <c r="M2279" s="684"/>
      <c r="N2279" s="640">
        <v>1</v>
      </c>
      <c r="O2279" s="685" t="s">
        <v>27</v>
      </c>
      <c r="P2279" s="643">
        <v>1900</v>
      </c>
    </row>
    <row r="2280" spans="1:16" s="619" customFormat="1" ht="36" x14ac:dyDescent="0.2">
      <c r="A2280" s="626" t="s">
        <v>4789</v>
      </c>
      <c r="B2280" s="626" t="s">
        <v>2275</v>
      </c>
      <c r="C2280" s="638" t="s">
        <v>108</v>
      </c>
      <c r="D2280" s="626" t="s">
        <v>5238</v>
      </c>
      <c r="E2280" s="636">
        <v>1000</v>
      </c>
      <c r="F2280" s="637"/>
      <c r="G2280" s="626" t="s">
        <v>5186</v>
      </c>
      <c r="H2280" s="638"/>
      <c r="I2280" s="626"/>
      <c r="J2280" s="638"/>
      <c r="K2280" s="654"/>
      <c r="L2280" s="681"/>
      <c r="M2280" s="684"/>
      <c r="N2280" s="640">
        <v>1</v>
      </c>
      <c r="O2280" s="685" t="s">
        <v>27</v>
      </c>
      <c r="P2280" s="643">
        <v>1000</v>
      </c>
    </row>
    <row r="2281" spans="1:16" s="619" customFormat="1" ht="36" x14ac:dyDescent="0.2">
      <c r="A2281" s="626" t="s">
        <v>4789</v>
      </c>
      <c r="B2281" s="626" t="s">
        <v>2032</v>
      </c>
      <c r="C2281" s="638" t="s">
        <v>108</v>
      </c>
      <c r="D2281" s="626" t="s">
        <v>5138</v>
      </c>
      <c r="E2281" s="636">
        <v>3000</v>
      </c>
      <c r="F2281" s="637"/>
      <c r="G2281" s="626" t="s">
        <v>5239</v>
      </c>
      <c r="H2281" s="638"/>
      <c r="I2281" s="626"/>
      <c r="J2281" s="638"/>
      <c r="K2281" s="654"/>
      <c r="L2281" s="681"/>
      <c r="M2281" s="684"/>
      <c r="N2281" s="640">
        <v>1</v>
      </c>
      <c r="O2281" s="685" t="s">
        <v>27</v>
      </c>
      <c r="P2281" s="643">
        <v>3000</v>
      </c>
    </row>
    <row r="2282" spans="1:16" s="619" customFormat="1" ht="36" x14ac:dyDescent="0.2">
      <c r="A2282" s="626" t="s">
        <v>4789</v>
      </c>
      <c r="B2282" s="626" t="s">
        <v>2275</v>
      </c>
      <c r="C2282" s="638" t="s">
        <v>108</v>
      </c>
      <c r="D2282" s="626" t="s">
        <v>5187</v>
      </c>
      <c r="E2282" s="636">
        <v>1200</v>
      </c>
      <c r="F2282" s="637"/>
      <c r="G2282" s="626" t="s">
        <v>4851</v>
      </c>
      <c r="H2282" s="638"/>
      <c r="I2282" s="626"/>
      <c r="J2282" s="638"/>
      <c r="K2282" s="654"/>
      <c r="L2282" s="681"/>
      <c r="M2282" s="684"/>
      <c r="N2282" s="640">
        <v>1</v>
      </c>
      <c r="O2282" s="685" t="s">
        <v>27</v>
      </c>
      <c r="P2282" s="643">
        <v>1200</v>
      </c>
    </row>
    <row r="2283" spans="1:16" s="619" customFormat="1" ht="36" x14ac:dyDescent="0.2">
      <c r="A2283" s="626" t="s">
        <v>4789</v>
      </c>
      <c r="B2283" s="626" t="s">
        <v>2275</v>
      </c>
      <c r="C2283" s="638" t="s">
        <v>108</v>
      </c>
      <c r="D2283" s="626" t="s">
        <v>5240</v>
      </c>
      <c r="E2283" s="636">
        <v>1100</v>
      </c>
      <c r="F2283" s="637"/>
      <c r="G2283" s="626" t="s">
        <v>5075</v>
      </c>
      <c r="H2283" s="638"/>
      <c r="I2283" s="626"/>
      <c r="J2283" s="638"/>
      <c r="K2283" s="654"/>
      <c r="L2283" s="681"/>
      <c r="M2283" s="684"/>
      <c r="N2283" s="640">
        <v>1</v>
      </c>
      <c r="O2283" s="685" t="s">
        <v>27</v>
      </c>
      <c r="P2283" s="643">
        <v>1100</v>
      </c>
    </row>
    <row r="2284" spans="1:16" s="619" customFormat="1" ht="36" x14ac:dyDescent="0.2">
      <c r="A2284" s="626" t="s">
        <v>4789</v>
      </c>
      <c r="B2284" s="626" t="s">
        <v>2275</v>
      </c>
      <c r="C2284" s="638" t="s">
        <v>108</v>
      </c>
      <c r="D2284" s="626" t="s">
        <v>5241</v>
      </c>
      <c r="E2284" s="636">
        <v>950</v>
      </c>
      <c r="F2284" s="637"/>
      <c r="G2284" s="626" t="s">
        <v>5192</v>
      </c>
      <c r="H2284" s="638"/>
      <c r="I2284" s="626"/>
      <c r="J2284" s="638"/>
      <c r="K2284" s="654"/>
      <c r="L2284" s="681"/>
      <c r="M2284" s="684"/>
      <c r="N2284" s="640">
        <v>1</v>
      </c>
      <c r="O2284" s="685" t="s">
        <v>27</v>
      </c>
      <c r="P2284" s="643">
        <v>950</v>
      </c>
    </row>
    <row r="2285" spans="1:16" s="619" customFormat="1" ht="36" x14ac:dyDescent="0.2">
      <c r="A2285" s="626" t="s">
        <v>4789</v>
      </c>
      <c r="B2285" s="626" t="s">
        <v>2275</v>
      </c>
      <c r="C2285" s="638" t="s">
        <v>108</v>
      </c>
      <c r="D2285" s="626" t="s">
        <v>5242</v>
      </c>
      <c r="E2285" s="636">
        <v>1500</v>
      </c>
      <c r="F2285" s="637"/>
      <c r="G2285" s="626" t="s">
        <v>5195</v>
      </c>
      <c r="H2285" s="638"/>
      <c r="I2285" s="626"/>
      <c r="J2285" s="638"/>
      <c r="K2285" s="654"/>
      <c r="L2285" s="681"/>
      <c r="M2285" s="684"/>
      <c r="N2285" s="640">
        <v>1</v>
      </c>
      <c r="O2285" s="685" t="s">
        <v>27</v>
      </c>
      <c r="P2285" s="643">
        <v>1500</v>
      </c>
    </row>
    <row r="2286" spans="1:16" s="619" customFormat="1" ht="36" x14ac:dyDescent="0.2">
      <c r="A2286" s="626" t="s">
        <v>4789</v>
      </c>
      <c r="B2286" s="626" t="s">
        <v>2032</v>
      </c>
      <c r="C2286" s="638" t="s">
        <v>108</v>
      </c>
      <c r="D2286" s="626" t="s">
        <v>5197</v>
      </c>
      <c r="E2286" s="636">
        <v>1500</v>
      </c>
      <c r="F2286" s="637"/>
      <c r="G2286" s="626" t="s">
        <v>4998</v>
      </c>
      <c r="H2286" s="638"/>
      <c r="I2286" s="626"/>
      <c r="J2286" s="638"/>
      <c r="K2286" s="654"/>
      <c r="L2286" s="681"/>
      <c r="M2286" s="684"/>
      <c r="N2286" s="640">
        <v>1</v>
      </c>
      <c r="O2286" s="685" t="s">
        <v>27</v>
      </c>
      <c r="P2286" s="643">
        <v>1500</v>
      </c>
    </row>
    <row r="2287" spans="1:16" s="619" customFormat="1" ht="36" x14ac:dyDescent="0.2">
      <c r="A2287" s="626" t="s">
        <v>4789</v>
      </c>
      <c r="B2287" s="626" t="s">
        <v>2275</v>
      </c>
      <c r="C2287" s="638" t="s">
        <v>108</v>
      </c>
      <c r="D2287" s="626" t="s">
        <v>5243</v>
      </c>
      <c r="E2287" s="636">
        <v>2200</v>
      </c>
      <c r="F2287" s="637"/>
      <c r="G2287" s="626" t="s">
        <v>5008</v>
      </c>
      <c r="H2287" s="638"/>
      <c r="I2287" s="626"/>
      <c r="J2287" s="638"/>
      <c r="K2287" s="654"/>
      <c r="L2287" s="681"/>
      <c r="M2287" s="684"/>
      <c r="N2287" s="640">
        <v>1</v>
      </c>
      <c r="O2287" s="685" t="s">
        <v>27</v>
      </c>
      <c r="P2287" s="643">
        <v>2200</v>
      </c>
    </row>
    <row r="2288" spans="1:16" s="619" customFormat="1" ht="36" x14ac:dyDescent="0.2">
      <c r="A2288" s="626" t="s">
        <v>4789</v>
      </c>
      <c r="B2288" s="626" t="s">
        <v>2275</v>
      </c>
      <c r="C2288" s="638" t="s">
        <v>108</v>
      </c>
      <c r="D2288" s="626" t="s">
        <v>5244</v>
      </c>
      <c r="E2288" s="636">
        <v>950</v>
      </c>
      <c r="F2288" s="637"/>
      <c r="G2288" s="626" t="s">
        <v>5080</v>
      </c>
      <c r="H2288" s="638"/>
      <c r="I2288" s="626"/>
      <c r="J2288" s="638"/>
      <c r="K2288" s="654"/>
      <c r="L2288" s="681"/>
      <c r="M2288" s="684"/>
      <c r="N2288" s="640">
        <v>1</v>
      </c>
      <c r="O2288" s="685" t="s">
        <v>27</v>
      </c>
      <c r="P2288" s="643">
        <v>950</v>
      </c>
    </row>
    <row r="2289" spans="1:16" s="619" customFormat="1" ht="36" x14ac:dyDescent="0.2">
      <c r="A2289" s="626" t="s">
        <v>4789</v>
      </c>
      <c r="B2289" s="626" t="s">
        <v>2275</v>
      </c>
      <c r="C2289" s="638" t="s">
        <v>108</v>
      </c>
      <c r="D2289" s="626" t="s">
        <v>5245</v>
      </c>
      <c r="E2289" s="636">
        <v>1500</v>
      </c>
      <c r="F2289" s="637"/>
      <c r="G2289" s="626" t="s">
        <v>3560</v>
      </c>
      <c r="H2289" s="638"/>
      <c r="I2289" s="626"/>
      <c r="J2289" s="638"/>
      <c r="K2289" s="654"/>
      <c r="L2289" s="681"/>
      <c r="M2289" s="684"/>
      <c r="N2289" s="640">
        <v>1</v>
      </c>
      <c r="O2289" s="685" t="s">
        <v>27</v>
      </c>
      <c r="P2289" s="643">
        <v>1500</v>
      </c>
    </row>
    <row r="2290" spans="1:16" s="619" customFormat="1" ht="36" x14ac:dyDescent="0.2">
      <c r="A2290" s="626" t="s">
        <v>4789</v>
      </c>
      <c r="B2290" s="626" t="s">
        <v>2032</v>
      </c>
      <c r="C2290" s="638" t="s">
        <v>108</v>
      </c>
      <c r="D2290" s="626" t="s">
        <v>5204</v>
      </c>
      <c r="E2290" s="636">
        <v>1300</v>
      </c>
      <c r="F2290" s="637"/>
      <c r="G2290" s="626" t="s">
        <v>4959</v>
      </c>
      <c r="H2290" s="638"/>
      <c r="I2290" s="626"/>
      <c r="J2290" s="638"/>
      <c r="K2290" s="654"/>
      <c r="L2290" s="681"/>
      <c r="M2290" s="684"/>
      <c r="N2290" s="640">
        <v>1</v>
      </c>
      <c r="O2290" s="685" t="s">
        <v>27</v>
      </c>
      <c r="P2290" s="643">
        <v>1300</v>
      </c>
    </row>
    <row r="2291" spans="1:16" s="619" customFormat="1" ht="36" x14ac:dyDescent="0.2">
      <c r="A2291" s="626" t="s">
        <v>4789</v>
      </c>
      <c r="B2291" s="626" t="s">
        <v>2275</v>
      </c>
      <c r="C2291" s="638" t="s">
        <v>108</v>
      </c>
      <c r="D2291" s="626" t="s">
        <v>5246</v>
      </c>
      <c r="E2291" s="636">
        <v>1500</v>
      </c>
      <c r="F2291" s="637"/>
      <c r="G2291" s="626" t="s">
        <v>4901</v>
      </c>
      <c r="H2291" s="638"/>
      <c r="I2291" s="626"/>
      <c r="J2291" s="638"/>
      <c r="K2291" s="654"/>
      <c r="L2291" s="681"/>
      <c r="M2291" s="684"/>
      <c r="N2291" s="640">
        <v>1</v>
      </c>
      <c r="O2291" s="685" t="s">
        <v>27</v>
      </c>
      <c r="P2291" s="643">
        <v>1500</v>
      </c>
    </row>
    <row r="2292" spans="1:16" s="619" customFormat="1" ht="36" x14ac:dyDescent="0.2">
      <c r="A2292" s="626" t="s">
        <v>4789</v>
      </c>
      <c r="B2292" s="626" t="s">
        <v>2275</v>
      </c>
      <c r="C2292" s="638" t="s">
        <v>108</v>
      </c>
      <c r="D2292" s="626" t="s">
        <v>5247</v>
      </c>
      <c r="E2292" s="636">
        <v>1200</v>
      </c>
      <c r="F2292" s="637"/>
      <c r="G2292" s="626" t="s">
        <v>5023</v>
      </c>
      <c r="H2292" s="638"/>
      <c r="I2292" s="626"/>
      <c r="J2292" s="638"/>
      <c r="K2292" s="654"/>
      <c r="L2292" s="681"/>
      <c r="M2292" s="684"/>
      <c r="N2292" s="640">
        <v>1</v>
      </c>
      <c r="O2292" s="685" t="s">
        <v>27</v>
      </c>
      <c r="P2292" s="643">
        <v>1200</v>
      </c>
    </row>
    <row r="2293" spans="1:16" s="619" customFormat="1" ht="36" x14ac:dyDescent="0.2">
      <c r="A2293" s="626" t="s">
        <v>4789</v>
      </c>
      <c r="B2293" s="626" t="s">
        <v>2275</v>
      </c>
      <c r="C2293" s="638" t="s">
        <v>108</v>
      </c>
      <c r="D2293" s="626" t="s">
        <v>5248</v>
      </c>
      <c r="E2293" s="636">
        <v>950</v>
      </c>
      <c r="F2293" s="637"/>
      <c r="G2293" s="626" t="s">
        <v>5249</v>
      </c>
      <c r="H2293" s="638"/>
      <c r="I2293" s="626"/>
      <c r="J2293" s="638"/>
      <c r="K2293" s="654"/>
      <c r="L2293" s="681"/>
      <c r="M2293" s="684"/>
      <c r="N2293" s="640">
        <v>1</v>
      </c>
      <c r="O2293" s="685" t="s">
        <v>27</v>
      </c>
      <c r="P2293" s="643">
        <v>950</v>
      </c>
    </row>
    <row r="2294" spans="1:16" s="619" customFormat="1" ht="36" x14ac:dyDescent="0.2">
      <c r="A2294" s="626" t="s">
        <v>4789</v>
      </c>
      <c r="B2294" s="626" t="s">
        <v>2275</v>
      </c>
      <c r="C2294" s="638" t="s">
        <v>108</v>
      </c>
      <c r="D2294" s="626" t="s">
        <v>5250</v>
      </c>
      <c r="E2294" s="636">
        <v>1500</v>
      </c>
      <c r="F2294" s="637"/>
      <c r="G2294" s="626" t="s">
        <v>5020</v>
      </c>
      <c r="H2294" s="638"/>
      <c r="I2294" s="626"/>
      <c r="J2294" s="638"/>
      <c r="K2294" s="654"/>
      <c r="L2294" s="681"/>
      <c r="M2294" s="684"/>
      <c r="N2294" s="640">
        <v>1</v>
      </c>
      <c r="O2294" s="685" t="s">
        <v>27</v>
      </c>
      <c r="P2294" s="643">
        <v>1500</v>
      </c>
    </row>
    <row r="2295" spans="1:16" s="619" customFormat="1" ht="36" x14ac:dyDescent="0.2">
      <c r="A2295" s="626" t="s">
        <v>4789</v>
      </c>
      <c r="B2295" s="626" t="s">
        <v>2275</v>
      </c>
      <c r="C2295" s="638" t="s">
        <v>108</v>
      </c>
      <c r="D2295" s="626" t="s">
        <v>5251</v>
      </c>
      <c r="E2295" s="636">
        <v>1500</v>
      </c>
      <c r="F2295" s="637"/>
      <c r="G2295" s="626" t="s">
        <v>4979</v>
      </c>
      <c r="H2295" s="638"/>
      <c r="I2295" s="626"/>
      <c r="J2295" s="638"/>
      <c r="K2295" s="654"/>
      <c r="L2295" s="681"/>
      <c r="M2295" s="684"/>
      <c r="N2295" s="640">
        <v>1</v>
      </c>
      <c r="O2295" s="685" t="s">
        <v>27</v>
      </c>
      <c r="P2295" s="643">
        <v>1500</v>
      </c>
    </row>
    <row r="2296" spans="1:16" s="619" customFormat="1" ht="36" x14ac:dyDescent="0.2">
      <c r="A2296" s="626" t="s">
        <v>4789</v>
      </c>
      <c r="B2296" s="626" t="s">
        <v>2275</v>
      </c>
      <c r="C2296" s="638" t="s">
        <v>108</v>
      </c>
      <c r="D2296" s="626" t="s">
        <v>5252</v>
      </c>
      <c r="E2296" s="636">
        <v>1500</v>
      </c>
      <c r="F2296" s="637"/>
      <c r="G2296" s="626" t="s">
        <v>5134</v>
      </c>
      <c r="H2296" s="638"/>
      <c r="I2296" s="626"/>
      <c r="J2296" s="638"/>
      <c r="K2296" s="654"/>
      <c r="L2296" s="681"/>
      <c r="M2296" s="684"/>
      <c r="N2296" s="640">
        <v>1</v>
      </c>
      <c r="O2296" s="685" t="s">
        <v>27</v>
      </c>
      <c r="P2296" s="643">
        <v>1500</v>
      </c>
    </row>
    <row r="2297" spans="1:16" s="619" customFormat="1" ht="36" x14ac:dyDescent="0.2">
      <c r="A2297" s="626" t="s">
        <v>4789</v>
      </c>
      <c r="B2297" s="626" t="s">
        <v>2275</v>
      </c>
      <c r="C2297" s="638" t="s">
        <v>108</v>
      </c>
      <c r="D2297" s="626" t="s">
        <v>5253</v>
      </c>
      <c r="E2297" s="636">
        <v>1300</v>
      </c>
      <c r="F2297" s="637"/>
      <c r="G2297" s="626" t="s">
        <v>5254</v>
      </c>
      <c r="H2297" s="638"/>
      <c r="I2297" s="626"/>
      <c r="J2297" s="638"/>
      <c r="K2297" s="654"/>
      <c r="L2297" s="681"/>
      <c r="M2297" s="684"/>
      <c r="N2297" s="640">
        <v>1</v>
      </c>
      <c r="O2297" s="685" t="s">
        <v>27</v>
      </c>
      <c r="P2297" s="643">
        <v>1300</v>
      </c>
    </row>
    <row r="2298" spans="1:16" s="619" customFormat="1" ht="36" x14ac:dyDescent="0.2">
      <c r="A2298" s="626" t="s">
        <v>4789</v>
      </c>
      <c r="B2298" s="626" t="s">
        <v>2275</v>
      </c>
      <c r="C2298" s="638" t="s">
        <v>108</v>
      </c>
      <c r="D2298" s="626" t="s">
        <v>5255</v>
      </c>
      <c r="E2298" s="636">
        <v>1500</v>
      </c>
      <c r="F2298" s="637"/>
      <c r="G2298" s="626" t="s">
        <v>4865</v>
      </c>
      <c r="H2298" s="638"/>
      <c r="I2298" s="626"/>
      <c r="J2298" s="638"/>
      <c r="K2298" s="654"/>
      <c r="L2298" s="681"/>
      <c r="M2298" s="684"/>
      <c r="N2298" s="640">
        <v>1</v>
      </c>
      <c r="O2298" s="685" t="s">
        <v>27</v>
      </c>
      <c r="P2298" s="643">
        <v>1500</v>
      </c>
    </row>
    <row r="2299" spans="1:16" s="619" customFormat="1" ht="48" x14ac:dyDescent="0.2">
      <c r="A2299" s="626" t="s">
        <v>4789</v>
      </c>
      <c r="B2299" s="626" t="s">
        <v>2032</v>
      </c>
      <c r="C2299" s="638" t="s">
        <v>108</v>
      </c>
      <c r="D2299" s="626" t="s">
        <v>5256</v>
      </c>
      <c r="E2299" s="636">
        <v>2000</v>
      </c>
      <c r="F2299" s="637"/>
      <c r="G2299" s="626" t="s">
        <v>5215</v>
      </c>
      <c r="H2299" s="638"/>
      <c r="I2299" s="626"/>
      <c r="J2299" s="638"/>
      <c r="K2299" s="654"/>
      <c r="L2299" s="681"/>
      <c r="M2299" s="684"/>
      <c r="N2299" s="640">
        <v>1</v>
      </c>
      <c r="O2299" s="685" t="s">
        <v>27</v>
      </c>
      <c r="P2299" s="643">
        <v>2000</v>
      </c>
    </row>
    <row r="2300" spans="1:16" s="619" customFormat="1" ht="36" x14ac:dyDescent="0.2">
      <c r="A2300" s="626" t="s">
        <v>4789</v>
      </c>
      <c r="B2300" s="626" t="s">
        <v>2032</v>
      </c>
      <c r="C2300" s="638" t="s">
        <v>108</v>
      </c>
      <c r="D2300" s="626" t="s">
        <v>5257</v>
      </c>
      <c r="E2300" s="636">
        <v>1500</v>
      </c>
      <c r="F2300" s="637"/>
      <c r="G2300" s="626" t="s">
        <v>5089</v>
      </c>
      <c r="H2300" s="638"/>
      <c r="I2300" s="626"/>
      <c r="J2300" s="638"/>
      <c r="K2300" s="654"/>
      <c r="L2300" s="681"/>
      <c r="M2300" s="684"/>
      <c r="N2300" s="640">
        <v>1</v>
      </c>
      <c r="O2300" s="685" t="s">
        <v>27</v>
      </c>
      <c r="P2300" s="643">
        <v>1500</v>
      </c>
    </row>
    <row r="2301" spans="1:16" s="619" customFormat="1" ht="36" x14ac:dyDescent="0.2">
      <c r="A2301" s="626" t="s">
        <v>4789</v>
      </c>
      <c r="B2301" s="626" t="s">
        <v>2275</v>
      </c>
      <c r="C2301" s="638" t="s">
        <v>108</v>
      </c>
      <c r="D2301" s="626" t="s">
        <v>5250</v>
      </c>
      <c r="E2301" s="636">
        <v>1500</v>
      </c>
      <c r="F2301" s="637"/>
      <c r="G2301" s="626" t="s">
        <v>5220</v>
      </c>
      <c r="H2301" s="638"/>
      <c r="I2301" s="626"/>
      <c r="J2301" s="638"/>
      <c r="K2301" s="654"/>
      <c r="L2301" s="681"/>
      <c r="M2301" s="684"/>
      <c r="N2301" s="640">
        <v>1</v>
      </c>
      <c r="O2301" s="685" t="s">
        <v>27</v>
      </c>
      <c r="P2301" s="643">
        <v>1500</v>
      </c>
    </row>
    <row r="2302" spans="1:16" s="619" customFormat="1" ht="36" x14ac:dyDescent="0.2">
      <c r="A2302" s="626" t="s">
        <v>4789</v>
      </c>
      <c r="B2302" s="626" t="s">
        <v>2275</v>
      </c>
      <c r="C2302" s="638" t="s">
        <v>108</v>
      </c>
      <c r="D2302" s="626" t="s">
        <v>5258</v>
      </c>
      <c r="E2302" s="636">
        <v>1500</v>
      </c>
      <c r="F2302" s="637"/>
      <c r="G2302" s="626" t="s">
        <v>5045</v>
      </c>
      <c r="H2302" s="638"/>
      <c r="I2302" s="626"/>
      <c r="J2302" s="638"/>
      <c r="K2302" s="654"/>
      <c r="L2302" s="681"/>
      <c r="M2302" s="684"/>
      <c r="N2302" s="640">
        <v>1</v>
      </c>
      <c r="O2302" s="685" t="s">
        <v>1</v>
      </c>
      <c r="P2302" s="643">
        <v>1500</v>
      </c>
    </row>
    <row r="2303" spans="1:16" s="619" customFormat="1" ht="24" x14ac:dyDescent="0.2">
      <c r="A2303" s="626" t="s">
        <v>4789</v>
      </c>
      <c r="B2303" s="626" t="s">
        <v>1908</v>
      </c>
      <c r="C2303" s="638" t="s">
        <v>108</v>
      </c>
      <c r="D2303" s="626" t="s">
        <v>5259</v>
      </c>
      <c r="E2303" s="636">
        <v>1300</v>
      </c>
      <c r="F2303" s="637"/>
      <c r="G2303" s="626" t="s">
        <v>5150</v>
      </c>
      <c r="H2303" s="638"/>
      <c r="I2303" s="626"/>
      <c r="J2303" s="638"/>
      <c r="K2303" s="654"/>
      <c r="L2303" s="681"/>
      <c r="M2303" s="684"/>
      <c r="N2303" s="640">
        <v>1</v>
      </c>
      <c r="O2303" s="685" t="s">
        <v>1</v>
      </c>
      <c r="P2303" s="643">
        <v>1300</v>
      </c>
    </row>
    <row r="2304" spans="1:16" s="619" customFormat="1" ht="36" x14ac:dyDescent="0.2">
      <c r="A2304" s="626" t="s">
        <v>4789</v>
      </c>
      <c r="B2304" s="626" t="s">
        <v>2275</v>
      </c>
      <c r="C2304" s="638" t="s">
        <v>108</v>
      </c>
      <c r="D2304" s="626" t="s">
        <v>5260</v>
      </c>
      <c r="E2304" s="636">
        <v>1500</v>
      </c>
      <c r="F2304" s="637"/>
      <c r="G2304" s="626" t="s">
        <v>4846</v>
      </c>
      <c r="H2304" s="638"/>
      <c r="I2304" s="626"/>
      <c r="J2304" s="638"/>
      <c r="K2304" s="654"/>
      <c r="L2304" s="681"/>
      <c r="M2304" s="684"/>
      <c r="N2304" s="640">
        <v>1</v>
      </c>
      <c r="O2304" s="685" t="s">
        <v>1</v>
      </c>
      <c r="P2304" s="643">
        <v>1500</v>
      </c>
    </row>
    <row r="2305" spans="1:16" s="619" customFormat="1" ht="24" x14ac:dyDescent="0.2">
      <c r="A2305" s="626" t="s">
        <v>4789</v>
      </c>
      <c r="B2305" s="626" t="s">
        <v>1908</v>
      </c>
      <c r="C2305" s="638" t="s">
        <v>108</v>
      </c>
      <c r="D2305" s="626" t="s">
        <v>5226</v>
      </c>
      <c r="E2305" s="636">
        <v>1800</v>
      </c>
      <c r="F2305" s="637"/>
      <c r="G2305" s="626" t="s">
        <v>5112</v>
      </c>
      <c r="H2305" s="638"/>
      <c r="I2305" s="626"/>
      <c r="J2305" s="638"/>
      <c r="K2305" s="654"/>
      <c r="L2305" s="681"/>
      <c r="M2305" s="684"/>
      <c r="N2305" s="640">
        <v>1</v>
      </c>
      <c r="O2305" s="685" t="s">
        <v>1</v>
      </c>
      <c r="P2305" s="643">
        <v>1800</v>
      </c>
    </row>
    <row r="2306" spans="1:16" s="619" customFormat="1" ht="36" x14ac:dyDescent="0.2">
      <c r="A2306" s="626" t="s">
        <v>4789</v>
      </c>
      <c r="B2306" s="626" t="s">
        <v>2275</v>
      </c>
      <c r="C2306" s="638" t="s">
        <v>108</v>
      </c>
      <c r="D2306" s="626" t="s">
        <v>5261</v>
      </c>
      <c r="E2306" s="636">
        <v>317</v>
      </c>
      <c r="F2306" s="637"/>
      <c r="G2306" s="626" t="s">
        <v>5262</v>
      </c>
      <c r="H2306" s="638"/>
      <c r="I2306" s="626"/>
      <c r="J2306" s="638"/>
      <c r="K2306" s="654"/>
      <c r="L2306" s="681"/>
      <c r="M2306" s="684"/>
      <c r="N2306" s="640">
        <v>1</v>
      </c>
      <c r="O2306" s="685" t="s">
        <v>1</v>
      </c>
      <c r="P2306" s="643">
        <v>317</v>
      </c>
    </row>
    <row r="2307" spans="1:16" s="619" customFormat="1" ht="36" x14ac:dyDescent="0.2">
      <c r="A2307" s="626" t="s">
        <v>4789</v>
      </c>
      <c r="B2307" s="626" t="s">
        <v>2275</v>
      </c>
      <c r="C2307" s="638" t="s">
        <v>108</v>
      </c>
      <c r="D2307" s="626" t="s">
        <v>5263</v>
      </c>
      <c r="E2307" s="636">
        <v>1500</v>
      </c>
      <c r="F2307" s="637"/>
      <c r="G2307" s="626" t="s">
        <v>5156</v>
      </c>
      <c r="H2307" s="638"/>
      <c r="I2307" s="626"/>
      <c r="J2307" s="638"/>
      <c r="K2307" s="654"/>
      <c r="L2307" s="681"/>
      <c r="M2307" s="684"/>
      <c r="N2307" s="640">
        <v>1</v>
      </c>
      <c r="O2307" s="685" t="s">
        <v>1</v>
      </c>
      <c r="P2307" s="643">
        <v>1500</v>
      </c>
    </row>
    <row r="2308" spans="1:16" s="619" customFormat="1" ht="36" x14ac:dyDescent="0.2">
      <c r="A2308" s="626" t="s">
        <v>4789</v>
      </c>
      <c r="B2308" s="626" t="s">
        <v>1908</v>
      </c>
      <c r="C2308" s="638" t="s">
        <v>108</v>
      </c>
      <c r="D2308" s="626" t="s">
        <v>5264</v>
      </c>
      <c r="E2308" s="636">
        <v>1300</v>
      </c>
      <c r="F2308" s="637"/>
      <c r="G2308" s="626" t="s">
        <v>4945</v>
      </c>
      <c r="H2308" s="638"/>
      <c r="I2308" s="626"/>
      <c r="J2308" s="638"/>
      <c r="K2308" s="654"/>
      <c r="L2308" s="681"/>
      <c r="M2308" s="684"/>
      <c r="N2308" s="640">
        <v>1</v>
      </c>
      <c r="O2308" s="685" t="s">
        <v>1</v>
      </c>
      <c r="P2308" s="643">
        <v>1300</v>
      </c>
    </row>
    <row r="2309" spans="1:16" s="619" customFormat="1" ht="36" x14ac:dyDescent="0.2">
      <c r="A2309" s="626" t="s">
        <v>4789</v>
      </c>
      <c r="B2309" s="626" t="s">
        <v>2275</v>
      </c>
      <c r="C2309" s="638" t="s">
        <v>108</v>
      </c>
      <c r="D2309" s="626" t="s">
        <v>5265</v>
      </c>
      <c r="E2309" s="636">
        <v>1500</v>
      </c>
      <c r="F2309" s="637"/>
      <c r="G2309" s="626" t="s">
        <v>4881</v>
      </c>
      <c r="H2309" s="638"/>
      <c r="I2309" s="626"/>
      <c r="J2309" s="638"/>
      <c r="K2309" s="654"/>
      <c r="L2309" s="681"/>
      <c r="M2309" s="684"/>
      <c r="N2309" s="640">
        <v>1</v>
      </c>
      <c r="O2309" s="685" t="s">
        <v>1</v>
      </c>
      <c r="P2309" s="643">
        <v>1500</v>
      </c>
    </row>
    <row r="2310" spans="1:16" s="619" customFormat="1" ht="36" x14ac:dyDescent="0.2">
      <c r="A2310" s="626" t="s">
        <v>4789</v>
      </c>
      <c r="B2310" s="626" t="s">
        <v>2032</v>
      </c>
      <c r="C2310" s="638" t="s">
        <v>108</v>
      </c>
      <c r="D2310" s="626" t="s">
        <v>5266</v>
      </c>
      <c r="E2310" s="636">
        <v>1500</v>
      </c>
      <c r="F2310" s="637"/>
      <c r="G2310" s="626" t="s">
        <v>4903</v>
      </c>
      <c r="H2310" s="638"/>
      <c r="I2310" s="626"/>
      <c r="J2310" s="638"/>
      <c r="K2310" s="654"/>
      <c r="L2310" s="681"/>
      <c r="M2310" s="684"/>
      <c r="N2310" s="640">
        <v>1</v>
      </c>
      <c r="O2310" s="685" t="s">
        <v>1</v>
      </c>
      <c r="P2310" s="643">
        <v>1500</v>
      </c>
    </row>
    <row r="2311" spans="1:16" s="619" customFormat="1" ht="36" x14ac:dyDescent="0.2">
      <c r="A2311" s="626" t="s">
        <v>4789</v>
      </c>
      <c r="B2311" s="626" t="s">
        <v>2275</v>
      </c>
      <c r="C2311" s="638" t="s">
        <v>108</v>
      </c>
      <c r="D2311" s="626" t="s">
        <v>5267</v>
      </c>
      <c r="E2311" s="636">
        <v>1500</v>
      </c>
      <c r="F2311" s="637"/>
      <c r="G2311" s="626" t="s">
        <v>5001</v>
      </c>
      <c r="H2311" s="638"/>
      <c r="I2311" s="626"/>
      <c r="J2311" s="638"/>
      <c r="K2311" s="654"/>
      <c r="L2311" s="681"/>
      <c r="M2311" s="684"/>
      <c r="N2311" s="640">
        <v>1</v>
      </c>
      <c r="O2311" s="685" t="s">
        <v>1</v>
      </c>
      <c r="P2311" s="643">
        <v>1500</v>
      </c>
    </row>
    <row r="2312" spans="1:16" s="619" customFormat="1" ht="36" x14ac:dyDescent="0.2">
      <c r="A2312" s="626" t="s">
        <v>4789</v>
      </c>
      <c r="B2312" s="626" t="s">
        <v>2275</v>
      </c>
      <c r="C2312" s="638" t="s">
        <v>108</v>
      </c>
      <c r="D2312" s="626" t="s">
        <v>4890</v>
      </c>
      <c r="E2312" s="636">
        <v>3620</v>
      </c>
      <c r="F2312" s="637"/>
      <c r="G2312" s="626" t="s">
        <v>5268</v>
      </c>
      <c r="H2312" s="638"/>
      <c r="I2312" s="626"/>
      <c r="J2312" s="638"/>
      <c r="K2312" s="654"/>
      <c r="L2312" s="681"/>
      <c r="M2312" s="684"/>
      <c r="N2312" s="640">
        <v>1</v>
      </c>
      <c r="O2312" s="685" t="s">
        <v>1</v>
      </c>
      <c r="P2312" s="643">
        <v>3620</v>
      </c>
    </row>
    <row r="2313" spans="1:16" s="619" customFormat="1" ht="36" x14ac:dyDescent="0.2">
      <c r="A2313" s="626" t="s">
        <v>4789</v>
      </c>
      <c r="B2313" s="626" t="s">
        <v>2275</v>
      </c>
      <c r="C2313" s="638" t="s">
        <v>108</v>
      </c>
      <c r="D2313" s="626" t="s">
        <v>5269</v>
      </c>
      <c r="E2313" s="636">
        <v>1403</v>
      </c>
      <c r="F2313" s="637"/>
      <c r="G2313" s="626" t="s">
        <v>5270</v>
      </c>
      <c r="H2313" s="638"/>
      <c r="I2313" s="626"/>
      <c r="J2313" s="638"/>
      <c r="K2313" s="654"/>
      <c r="L2313" s="681"/>
      <c r="M2313" s="684"/>
      <c r="N2313" s="640">
        <v>1</v>
      </c>
      <c r="O2313" s="685" t="s">
        <v>1</v>
      </c>
      <c r="P2313" s="643">
        <v>1403</v>
      </c>
    </row>
    <row r="2314" spans="1:16" s="619" customFormat="1" ht="36" x14ac:dyDescent="0.2">
      <c r="A2314" s="626" t="s">
        <v>4789</v>
      </c>
      <c r="B2314" s="626" t="s">
        <v>2275</v>
      </c>
      <c r="C2314" s="638" t="s">
        <v>108</v>
      </c>
      <c r="D2314" s="626" t="s">
        <v>5271</v>
      </c>
      <c r="E2314" s="636">
        <v>1500</v>
      </c>
      <c r="F2314" s="637"/>
      <c r="G2314" s="626" t="s">
        <v>4859</v>
      </c>
      <c r="H2314" s="638"/>
      <c r="I2314" s="626"/>
      <c r="J2314" s="638"/>
      <c r="K2314" s="654"/>
      <c r="L2314" s="681"/>
      <c r="M2314" s="684"/>
      <c r="N2314" s="640">
        <v>1</v>
      </c>
      <c r="O2314" s="685" t="s">
        <v>1</v>
      </c>
      <c r="P2314" s="643">
        <v>1500</v>
      </c>
    </row>
    <row r="2315" spans="1:16" s="619" customFormat="1" ht="36" x14ac:dyDescent="0.2">
      <c r="A2315" s="626" t="s">
        <v>4789</v>
      </c>
      <c r="B2315" s="626" t="s">
        <v>2275</v>
      </c>
      <c r="C2315" s="638" t="s">
        <v>108</v>
      </c>
      <c r="D2315" s="626" t="s">
        <v>5272</v>
      </c>
      <c r="E2315" s="636">
        <v>2000</v>
      </c>
      <c r="F2315" s="637"/>
      <c r="G2315" s="626" t="s">
        <v>5178</v>
      </c>
      <c r="H2315" s="638"/>
      <c r="I2315" s="626"/>
      <c r="J2315" s="638"/>
      <c r="K2315" s="654"/>
      <c r="L2315" s="681"/>
      <c r="M2315" s="684"/>
      <c r="N2315" s="640">
        <v>1</v>
      </c>
      <c r="O2315" s="685" t="s">
        <v>1</v>
      </c>
      <c r="P2315" s="643">
        <v>2000</v>
      </c>
    </row>
    <row r="2316" spans="1:16" s="619" customFormat="1" ht="36" x14ac:dyDescent="0.2">
      <c r="A2316" s="626" t="s">
        <v>4789</v>
      </c>
      <c r="B2316" s="626" t="s">
        <v>2275</v>
      </c>
      <c r="C2316" s="638" t="s">
        <v>108</v>
      </c>
      <c r="D2316" s="626" t="s">
        <v>5273</v>
      </c>
      <c r="E2316" s="636">
        <v>1500</v>
      </c>
      <c r="F2316" s="637"/>
      <c r="G2316" s="626" t="s">
        <v>4932</v>
      </c>
      <c r="H2316" s="638"/>
      <c r="I2316" s="626"/>
      <c r="J2316" s="638"/>
      <c r="K2316" s="654"/>
      <c r="L2316" s="681"/>
      <c r="M2316" s="684"/>
      <c r="N2316" s="640">
        <v>1</v>
      </c>
      <c r="O2316" s="685" t="s">
        <v>1</v>
      </c>
      <c r="P2316" s="643">
        <v>1500</v>
      </c>
    </row>
    <row r="2317" spans="1:16" s="619" customFormat="1" ht="48" x14ac:dyDescent="0.2">
      <c r="A2317" s="626" t="s">
        <v>4789</v>
      </c>
      <c r="B2317" s="626" t="s">
        <v>2275</v>
      </c>
      <c r="C2317" s="638" t="s">
        <v>108</v>
      </c>
      <c r="D2317" s="626" t="s">
        <v>5274</v>
      </c>
      <c r="E2317" s="636">
        <v>1300</v>
      </c>
      <c r="F2317" s="637"/>
      <c r="G2317" s="626" t="s">
        <v>5093</v>
      </c>
      <c r="H2317" s="638"/>
      <c r="I2317" s="626"/>
      <c r="J2317" s="638"/>
      <c r="K2317" s="654"/>
      <c r="L2317" s="681"/>
      <c r="M2317" s="684"/>
      <c r="N2317" s="640">
        <v>1</v>
      </c>
      <c r="O2317" s="685" t="s">
        <v>1</v>
      </c>
      <c r="P2317" s="643">
        <v>1300</v>
      </c>
    </row>
    <row r="2318" spans="1:16" s="619" customFormat="1" ht="48" x14ac:dyDescent="0.2">
      <c r="A2318" s="626" t="s">
        <v>4789</v>
      </c>
      <c r="B2318" s="626" t="s">
        <v>2275</v>
      </c>
      <c r="C2318" s="638" t="s">
        <v>108</v>
      </c>
      <c r="D2318" s="626" t="s">
        <v>5274</v>
      </c>
      <c r="E2318" s="636">
        <v>1300</v>
      </c>
      <c r="F2318" s="637"/>
      <c r="G2318" s="626" t="s">
        <v>5093</v>
      </c>
      <c r="H2318" s="638"/>
      <c r="I2318" s="626"/>
      <c r="J2318" s="638"/>
      <c r="K2318" s="654"/>
      <c r="L2318" s="681"/>
      <c r="M2318" s="684"/>
      <c r="N2318" s="640">
        <v>1</v>
      </c>
      <c r="O2318" s="685" t="s">
        <v>1</v>
      </c>
      <c r="P2318" s="643">
        <v>1300</v>
      </c>
    </row>
    <row r="2319" spans="1:16" s="619" customFormat="1" ht="24" x14ac:dyDescent="0.2">
      <c r="A2319" s="626" t="s">
        <v>4789</v>
      </c>
      <c r="B2319" s="626" t="s">
        <v>1908</v>
      </c>
      <c r="C2319" s="638" t="s">
        <v>108</v>
      </c>
      <c r="D2319" s="626" t="s">
        <v>5275</v>
      </c>
      <c r="E2319" s="636">
        <v>1900</v>
      </c>
      <c r="F2319" s="637"/>
      <c r="G2319" s="626" t="s">
        <v>5183</v>
      </c>
      <c r="H2319" s="638"/>
      <c r="I2319" s="626"/>
      <c r="J2319" s="638"/>
      <c r="K2319" s="654"/>
      <c r="L2319" s="681"/>
      <c r="M2319" s="684"/>
      <c r="N2319" s="640">
        <v>1</v>
      </c>
      <c r="O2319" s="685" t="s">
        <v>1</v>
      </c>
      <c r="P2319" s="643">
        <v>1900</v>
      </c>
    </row>
    <row r="2320" spans="1:16" s="619" customFormat="1" ht="48" x14ac:dyDescent="0.2">
      <c r="A2320" s="626" t="s">
        <v>4789</v>
      </c>
      <c r="B2320" s="626" t="s">
        <v>2032</v>
      </c>
      <c r="C2320" s="638" t="s">
        <v>108</v>
      </c>
      <c r="D2320" s="626" t="s">
        <v>5276</v>
      </c>
      <c r="E2320" s="636">
        <v>2000</v>
      </c>
      <c r="F2320" s="637"/>
      <c r="G2320" s="626" t="s">
        <v>5277</v>
      </c>
      <c r="H2320" s="638"/>
      <c r="I2320" s="626"/>
      <c r="J2320" s="638"/>
      <c r="K2320" s="654"/>
      <c r="L2320" s="681"/>
      <c r="M2320" s="684"/>
      <c r="N2320" s="640">
        <v>1</v>
      </c>
      <c r="O2320" s="685" t="s">
        <v>1</v>
      </c>
      <c r="P2320" s="643">
        <v>2000</v>
      </c>
    </row>
    <row r="2321" spans="1:16" s="619" customFormat="1" ht="48" x14ac:dyDescent="0.2">
      <c r="A2321" s="626" t="s">
        <v>4789</v>
      </c>
      <c r="B2321" s="626" t="s">
        <v>2032</v>
      </c>
      <c r="C2321" s="638" t="s">
        <v>108</v>
      </c>
      <c r="D2321" s="626" t="s">
        <v>5276</v>
      </c>
      <c r="E2321" s="636">
        <v>2000</v>
      </c>
      <c r="F2321" s="637"/>
      <c r="G2321" s="626" t="s">
        <v>5277</v>
      </c>
      <c r="H2321" s="638"/>
      <c r="I2321" s="626"/>
      <c r="J2321" s="638"/>
      <c r="K2321" s="654"/>
      <c r="L2321" s="681"/>
      <c r="M2321" s="684"/>
      <c r="N2321" s="640">
        <v>1</v>
      </c>
      <c r="O2321" s="685" t="s">
        <v>1</v>
      </c>
      <c r="P2321" s="643">
        <v>2000</v>
      </c>
    </row>
    <row r="2322" spans="1:16" s="619" customFormat="1" ht="36" x14ac:dyDescent="0.2">
      <c r="A2322" s="626" t="s">
        <v>4789</v>
      </c>
      <c r="B2322" s="626" t="s">
        <v>2275</v>
      </c>
      <c r="C2322" s="638" t="s">
        <v>108</v>
      </c>
      <c r="D2322" s="626" t="s">
        <v>5278</v>
      </c>
      <c r="E2322" s="636">
        <v>1000</v>
      </c>
      <c r="F2322" s="637"/>
      <c r="G2322" s="626" t="s">
        <v>5186</v>
      </c>
      <c r="H2322" s="638"/>
      <c r="I2322" s="626"/>
      <c r="J2322" s="638"/>
      <c r="K2322" s="654"/>
      <c r="L2322" s="681"/>
      <c r="M2322" s="684"/>
      <c r="N2322" s="640">
        <v>1</v>
      </c>
      <c r="O2322" s="685" t="s">
        <v>1</v>
      </c>
      <c r="P2322" s="643">
        <v>1000</v>
      </c>
    </row>
    <row r="2323" spans="1:16" s="619" customFormat="1" ht="36" x14ac:dyDescent="0.2">
      <c r="A2323" s="626" t="s">
        <v>4789</v>
      </c>
      <c r="B2323" s="626" t="s">
        <v>2032</v>
      </c>
      <c r="C2323" s="638" t="s">
        <v>108</v>
      </c>
      <c r="D2323" s="626" t="s">
        <v>5279</v>
      </c>
      <c r="E2323" s="636">
        <v>3000</v>
      </c>
      <c r="F2323" s="637"/>
      <c r="G2323" s="626" t="s">
        <v>5239</v>
      </c>
      <c r="H2323" s="638"/>
      <c r="I2323" s="626"/>
      <c r="J2323" s="638"/>
      <c r="K2323" s="654"/>
      <c r="L2323" s="681"/>
      <c r="M2323" s="684"/>
      <c r="N2323" s="640">
        <v>1</v>
      </c>
      <c r="O2323" s="685" t="s">
        <v>1</v>
      </c>
      <c r="P2323" s="643">
        <v>3000</v>
      </c>
    </row>
    <row r="2324" spans="1:16" s="619" customFormat="1" ht="36" x14ac:dyDescent="0.2">
      <c r="A2324" s="626" t="s">
        <v>4789</v>
      </c>
      <c r="B2324" s="626" t="s">
        <v>2275</v>
      </c>
      <c r="C2324" s="638" t="s">
        <v>108</v>
      </c>
      <c r="D2324" s="626" t="s">
        <v>5187</v>
      </c>
      <c r="E2324" s="636">
        <v>1200</v>
      </c>
      <c r="F2324" s="637"/>
      <c r="G2324" s="626" t="s">
        <v>4851</v>
      </c>
      <c r="H2324" s="638"/>
      <c r="I2324" s="626"/>
      <c r="J2324" s="638"/>
      <c r="K2324" s="654"/>
      <c r="L2324" s="681"/>
      <c r="M2324" s="684"/>
      <c r="N2324" s="640">
        <v>1</v>
      </c>
      <c r="O2324" s="685" t="s">
        <v>1</v>
      </c>
      <c r="P2324" s="643">
        <v>1200</v>
      </c>
    </row>
    <row r="2325" spans="1:16" s="619" customFormat="1" ht="36" x14ac:dyDescent="0.2">
      <c r="A2325" s="626" t="s">
        <v>4789</v>
      </c>
      <c r="B2325" s="626" t="s">
        <v>2275</v>
      </c>
      <c r="C2325" s="638" t="s">
        <v>108</v>
      </c>
      <c r="D2325" s="626" t="s">
        <v>5280</v>
      </c>
      <c r="E2325" s="636">
        <v>1000</v>
      </c>
      <c r="F2325" s="637"/>
      <c r="G2325" s="626" t="s">
        <v>5075</v>
      </c>
      <c r="H2325" s="638"/>
      <c r="I2325" s="626"/>
      <c r="J2325" s="638"/>
      <c r="K2325" s="654"/>
      <c r="L2325" s="681"/>
      <c r="M2325" s="684"/>
      <c r="N2325" s="640">
        <v>1</v>
      </c>
      <c r="O2325" s="685" t="s">
        <v>1</v>
      </c>
      <c r="P2325" s="643">
        <v>1000</v>
      </c>
    </row>
    <row r="2326" spans="1:16" s="619" customFormat="1" ht="36" x14ac:dyDescent="0.2">
      <c r="A2326" s="626" t="s">
        <v>4789</v>
      </c>
      <c r="B2326" s="626" t="s">
        <v>2275</v>
      </c>
      <c r="C2326" s="638" t="s">
        <v>108</v>
      </c>
      <c r="D2326" s="626" t="s">
        <v>5281</v>
      </c>
      <c r="E2326" s="636">
        <v>950</v>
      </c>
      <c r="F2326" s="637"/>
      <c r="G2326" s="626" t="s">
        <v>5192</v>
      </c>
      <c r="H2326" s="638"/>
      <c r="I2326" s="626"/>
      <c r="J2326" s="638"/>
      <c r="K2326" s="654"/>
      <c r="L2326" s="681"/>
      <c r="M2326" s="684"/>
      <c r="N2326" s="640">
        <v>1</v>
      </c>
      <c r="O2326" s="685" t="s">
        <v>1</v>
      </c>
      <c r="P2326" s="643">
        <v>950</v>
      </c>
    </row>
    <row r="2327" spans="1:16" s="619" customFormat="1" ht="36" x14ac:dyDescent="0.2">
      <c r="A2327" s="626" t="s">
        <v>4789</v>
      </c>
      <c r="B2327" s="626" t="s">
        <v>2275</v>
      </c>
      <c r="C2327" s="638" t="s">
        <v>108</v>
      </c>
      <c r="D2327" s="626" t="s">
        <v>5282</v>
      </c>
      <c r="E2327" s="636">
        <v>1500</v>
      </c>
      <c r="F2327" s="637"/>
      <c r="G2327" s="626" t="s">
        <v>5195</v>
      </c>
      <c r="H2327" s="638"/>
      <c r="I2327" s="626"/>
      <c r="J2327" s="638"/>
      <c r="K2327" s="654"/>
      <c r="L2327" s="681"/>
      <c r="M2327" s="684"/>
      <c r="N2327" s="640">
        <v>1</v>
      </c>
      <c r="O2327" s="685" t="s">
        <v>1</v>
      </c>
      <c r="P2327" s="643">
        <v>1500</v>
      </c>
    </row>
    <row r="2328" spans="1:16" s="619" customFormat="1" ht="36" x14ac:dyDescent="0.2">
      <c r="A2328" s="626" t="s">
        <v>4789</v>
      </c>
      <c r="B2328" s="626" t="s">
        <v>2032</v>
      </c>
      <c r="C2328" s="638" t="s">
        <v>108</v>
      </c>
      <c r="D2328" s="626" t="s">
        <v>5283</v>
      </c>
      <c r="E2328" s="636">
        <v>1500</v>
      </c>
      <c r="F2328" s="637"/>
      <c r="G2328" s="626" t="s">
        <v>4998</v>
      </c>
      <c r="H2328" s="638"/>
      <c r="I2328" s="626"/>
      <c r="J2328" s="638"/>
      <c r="K2328" s="654"/>
      <c r="L2328" s="681"/>
      <c r="M2328" s="684"/>
      <c r="N2328" s="640">
        <v>1</v>
      </c>
      <c r="O2328" s="685" t="s">
        <v>1</v>
      </c>
      <c r="P2328" s="643">
        <v>1500</v>
      </c>
    </row>
    <row r="2329" spans="1:16" s="619" customFormat="1" ht="36" x14ac:dyDescent="0.2">
      <c r="A2329" s="626" t="s">
        <v>4789</v>
      </c>
      <c r="B2329" s="626" t="s">
        <v>2275</v>
      </c>
      <c r="C2329" s="638" t="s">
        <v>108</v>
      </c>
      <c r="D2329" s="626" t="s">
        <v>5284</v>
      </c>
      <c r="E2329" s="636">
        <v>2200</v>
      </c>
      <c r="F2329" s="637"/>
      <c r="G2329" s="626" t="s">
        <v>5008</v>
      </c>
      <c r="H2329" s="638"/>
      <c r="I2329" s="626"/>
      <c r="J2329" s="638"/>
      <c r="K2329" s="654"/>
      <c r="L2329" s="681"/>
      <c r="M2329" s="684"/>
      <c r="N2329" s="640">
        <v>1</v>
      </c>
      <c r="O2329" s="685" t="s">
        <v>1</v>
      </c>
      <c r="P2329" s="643">
        <v>2200</v>
      </c>
    </row>
    <row r="2330" spans="1:16" s="619" customFormat="1" ht="36" x14ac:dyDescent="0.2">
      <c r="A2330" s="626" t="s">
        <v>4789</v>
      </c>
      <c r="B2330" s="626" t="s">
        <v>2275</v>
      </c>
      <c r="C2330" s="638" t="s">
        <v>108</v>
      </c>
      <c r="D2330" s="626" t="s">
        <v>5199</v>
      </c>
      <c r="E2330" s="636">
        <v>380</v>
      </c>
      <c r="F2330" s="637"/>
      <c r="G2330" s="626" t="s">
        <v>5200</v>
      </c>
      <c r="H2330" s="638"/>
      <c r="I2330" s="626"/>
      <c r="J2330" s="638"/>
      <c r="K2330" s="654"/>
      <c r="L2330" s="681"/>
      <c r="M2330" s="684"/>
      <c r="N2330" s="640">
        <v>1</v>
      </c>
      <c r="O2330" s="685" t="s">
        <v>1</v>
      </c>
      <c r="P2330" s="643">
        <v>380</v>
      </c>
    </row>
    <row r="2331" spans="1:16" s="619" customFormat="1" ht="36" x14ac:dyDescent="0.2">
      <c r="A2331" s="626" t="s">
        <v>4789</v>
      </c>
      <c r="B2331" s="626" t="s">
        <v>2275</v>
      </c>
      <c r="C2331" s="638" t="s">
        <v>108</v>
      </c>
      <c r="D2331" s="626" t="s">
        <v>5285</v>
      </c>
      <c r="E2331" s="636">
        <v>1500</v>
      </c>
      <c r="F2331" s="637"/>
      <c r="G2331" s="626" t="s">
        <v>3560</v>
      </c>
      <c r="H2331" s="638"/>
      <c r="I2331" s="626"/>
      <c r="J2331" s="638"/>
      <c r="K2331" s="654"/>
      <c r="L2331" s="681"/>
      <c r="M2331" s="684"/>
      <c r="N2331" s="640">
        <v>1</v>
      </c>
      <c r="O2331" s="685" t="s">
        <v>1</v>
      </c>
      <c r="P2331" s="643">
        <v>1500</v>
      </c>
    </row>
    <row r="2332" spans="1:16" s="619" customFormat="1" ht="36" x14ac:dyDescent="0.2">
      <c r="A2332" s="626" t="s">
        <v>4789</v>
      </c>
      <c r="B2332" s="626" t="s">
        <v>2032</v>
      </c>
      <c r="C2332" s="638" t="s">
        <v>108</v>
      </c>
      <c r="D2332" s="626" t="s">
        <v>5286</v>
      </c>
      <c r="E2332" s="636">
        <v>1300</v>
      </c>
      <c r="F2332" s="637"/>
      <c r="G2332" s="626" t="s">
        <v>4959</v>
      </c>
      <c r="H2332" s="638"/>
      <c r="I2332" s="626"/>
      <c r="J2332" s="638"/>
      <c r="K2332" s="654"/>
      <c r="L2332" s="681"/>
      <c r="M2332" s="684"/>
      <c r="N2332" s="640">
        <v>1</v>
      </c>
      <c r="O2332" s="685" t="s">
        <v>1</v>
      </c>
      <c r="P2332" s="643">
        <v>1300</v>
      </c>
    </row>
    <row r="2333" spans="1:16" s="619" customFormat="1" ht="36" x14ac:dyDescent="0.2">
      <c r="A2333" s="626" t="s">
        <v>4789</v>
      </c>
      <c r="B2333" s="626" t="s">
        <v>2275</v>
      </c>
      <c r="C2333" s="638" t="s">
        <v>108</v>
      </c>
      <c r="D2333" s="626" t="s">
        <v>5287</v>
      </c>
      <c r="E2333" s="636">
        <v>1000</v>
      </c>
      <c r="F2333" s="637"/>
      <c r="G2333" s="626" t="s">
        <v>5288</v>
      </c>
      <c r="H2333" s="638"/>
      <c r="I2333" s="626"/>
      <c r="J2333" s="638"/>
      <c r="K2333" s="654"/>
      <c r="L2333" s="681"/>
      <c r="M2333" s="684"/>
      <c r="N2333" s="640">
        <v>1</v>
      </c>
      <c r="O2333" s="685" t="s">
        <v>1</v>
      </c>
      <c r="P2333" s="643">
        <v>1000</v>
      </c>
    </row>
    <row r="2334" spans="1:16" s="619" customFormat="1" ht="36" x14ac:dyDescent="0.2">
      <c r="A2334" s="626" t="s">
        <v>4789</v>
      </c>
      <c r="B2334" s="626" t="s">
        <v>2275</v>
      </c>
      <c r="C2334" s="638" t="s">
        <v>108</v>
      </c>
      <c r="D2334" s="626" t="s">
        <v>5289</v>
      </c>
      <c r="E2334" s="636">
        <v>1300</v>
      </c>
      <c r="F2334" s="637"/>
      <c r="G2334" s="626" t="s">
        <v>4901</v>
      </c>
      <c r="H2334" s="638"/>
      <c r="I2334" s="626"/>
      <c r="J2334" s="638"/>
      <c r="K2334" s="654"/>
      <c r="L2334" s="681"/>
      <c r="M2334" s="684"/>
      <c r="N2334" s="640">
        <v>1</v>
      </c>
      <c r="O2334" s="685" t="s">
        <v>1</v>
      </c>
      <c r="P2334" s="643">
        <v>1300</v>
      </c>
    </row>
    <row r="2335" spans="1:16" s="619" customFormat="1" ht="36" x14ac:dyDescent="0.2">
      <c r="A2335" s="626" t="s">
        <v>4789</v>
      </c>
      <c r="B2335" s="626" t="s">
        <v>2275</v>
      </c>
      <c r="C2335" s="638" t="s">
        <v>108</v>
      </c>
      <c r="D2335" s="626" t="s">
        <v>5290</v>
      </c>
      <c r="E2335" s="636">
        <v>1122</v>
      </c>
      <c r="F2335" s="637"/>
      <c r="G2335" s="626" t="s">
        <v>5291</v>
      </c>
      <c r="H2335" s="638"/>
      <c r="I2335" s="626"/>
      <c r="J2335" s="638"/>
      <c r="K2335" s="654"/>
      <c r="L2335" s="681"/>
      <c r="M2335" s="684"/>
      <c r="N2335" s="640">
        <v>1</v>
      </c>
      <c r="O2335" s="685" t="s">
        <v>1</v>
      </c>
      <c r="P2335" s="643">
        <v>1122</v>
      </c>
    </row>
    <row r="2336" spans="1:16" s="619" customFormat="1" ht="36" x14ac:dyDescent="0.2">
      <c r="A2336" s="626" t="s">
        <v>4789</v>
      </c>
      <c r="B2336" s="626" t="s">
        <v>2275</v>
      </c>
      <c r="C2336" s="638" t="s">
        <v>108</v>
      </c>
      <c r="D2336" s="626" t="s">
        <v>5187</v>
      </c>
      <c r="E2336" s="636">
        <v>1200</v>
      </c>
      <c r="F2336" s="637"/>
      <c r="G2336" s="626" t="s">
        <v>5023</v>
      </c>
      <c r="H2336" s="638"/>
      <c r="I2336" s="626"/>
      <c r="J2336" s="638"/>
      <c r="K2336" s="654"/>
      <c r="L2336" s="681"/>
      <c r="M2336" s="684"/>
      <c r="N2336" s="640">
        <v>1</v>
      </c>
      <c r="O2336" s="685" t="s">
        <v>1</v>
      </c>
      <c r="P2336" s="643">
        <v>1200</v>
      </c>
    </row>
    <row r="2337" spans="1:16" s="619" customFormat="1" ht="36" x14ac:dyDescent="0.2">
      <c r="A2337" s="626" t="s">
        <v>4789</v>
      </c>
      <c r="B2337" s="626" t="s">
        <v>2275</v>
      </c>
      <c r="C2337" s="638" t="s">
        <v>108</v>
      </c>
      <c r="D2337" s="626" t="s">
        <v>5292</v>
      </c>
      <c r="E2337" s="636">
        <v>950</v>
      </c>
      <c r="F2337" s="637"/>
      <c r="G2337" s="626" t="s">
        <v>5249</v>
      </c>
      <c r="H2337" s="638"/>
      <c r="I2337" s="626"/>
      <c r="J2337" s="638"/>
      <c r="K2337" s="654"/>
      <c r="L2337" s="681"/>
      <c r="M2337" s="684"/>
      <c r="N2337" s="640">
        <v>1</v>
      </c>
      <c r="O2337" s="685" t="s">
        <v>1</v>
      </c>
      <c r="P2337" s="643">
        <v>950</v>
      </c>
    </row>
    <row r="2338" spans="1:16" s="619" customFormat="1" ht="36" x14ac:dyDescent="0.2">
      <c r="A2338" s="626" t="s">
        <v>4789</v>
      </c>
      <c r="B2338" s="626" t="s">
        <v>2275</v>
      </c>
      <c r="C2338" s="638" t="s">
        <v>108</v>
      </c>
      <c r="D2338" s="626" t="s">
        <v>5293</v>
      </c>
      <c r="E2338" s="636">
        <v>1500</v>
      </c>
      <c r="F2338" s="637"/>
      <c r="G2338" s="626" t="s">
        <v>5020</v>
      </c>
      <c r="H2338" s="638"/>
      <c r="I2338" s="626"/>
      <c r="J2338" s="638"/>
      <c r="K2338" s="654"/>
      <c r="L2338" s="681"/>
      <c r="M2338" s="684"/>
      <c r="N2338" s="640">
        <v>1</v>
      </c>
      <c r="O2338" s="685" t="s">
        <v>1</v>
      </c>
      <c r="P2338" s="643">
        <v>1500</v>
      </c>
    </row>
    <row r="2339" spans="1:16" s="619" customFormat="1" ht="36" x14ac:dyDescent="0.2">
      <c r="A2339" s="626" t="s">
        <v>4789</v>
      </c>
      <c r="B2339" s="626" t="s">
        <v>2275</v>
      </c>
      <c r="C2339" s="638" t="s">
        <v>108</v>
      </c>
      <c r="D2339" s="626" t="s">
        <v>5294</v>
      </c>
      <c r="E2339" s="636">
        <v>1500</v>
      </c>
      <c r="F2339" s="637"/>
      <c r="G2339" s="626" t="s">
        <v>4979</v>
      </c>
      <c r="H2339" s="638"/>
      <c r="I2339" s="626"/>
      <c r="J2339" s="638"/>
      <c r="K2339" s="654"/>
      <c r="L2339" s="681"/>
      <c r="M2339" s="684"/>
      <c r="N2339" s="640">
        <v>1</v>
      </c>
      <c r="O2339" s="685" t="s">
        <v>1</v>
      </c>
      <c r="P2339" s="643">
        <v>1500</v>
      </c>
    </row>
    <row r="2340" spans="1:16" s="619" customFormat="1" ht="36" x14ac:dyDescent="0.2">
      <c r="A2340" s="626" t="s">
        <v>4789</v>
      </c>
      <c r="B2340" s="626" t="s">
        <v>1908</v>
      </c>
      <c r="C2340" s="638" t="s">
        <v>108</v>
      </c>
      <c r="D2340" s="626" t="s">
        <v>5295</v>
      </c>
      <c r="E2340" s="636">
        <v>1300</v>
      </c>
      <c r="F2340" s="637"/>
      <c r="G2340" s="626" t="s">
        <v>5134</v>
      </c>
      <c r="H2340" s="638"/>
      <c r="I2340" s="626"/>
      <c r="J2340" s="638"/>
      <c r="K2340" s="654"/>
      <c r="L2340" s="681"/>
      <c r="M2340" s="684"/>
      <c r="N2340" s="640">
        <v>1</v>
      </c>
      <c r="O2340" s="685" t="s">
        <v>1</v>
      </c>
      <c r="P2340" s="643">
        <v>1300</v>
      </c>
    </row>
    <row r="2341" spans="1:16" s="619" customFormat="1" ht="36" x14ac:dyDescent="0.2">
      <c r="A2341" s="626" t="s">
        <v>4789</v>
      </c>
      <c r="B2341" s="626" t="s">
        <v>2275</v>
      </c>
      <c r="C2341" s="638" t="s">
        <v>108</v>
      </c>
      <c r="D2341" s="626" t="s">
        <v>5296</v>
      </c>
      <c r="E2341" s="636">
        <v>1500</v>
      </c>
      <c r="F2341" s="637"/>
      <c r="G2341" s="626" t="s">
        <v>4865</v>
      </c>
      <c r="H2341" s="638"/>
      <c r="I2341" s="626"/>
      <c r="J2341" s="638"/>
      <c r="K2341" s="654"/>
      <c r="L2341" s="681"/>
      <c r="M2341" s="684"/>
      <c r="N2341" s="640">
        <v>1</v>
      </c>
      <c r="O2341" s="685" t="s">
        <v>1</v>
      </c>
      <c r="P2341" s="643">
        <v>1500</v>
      </c>
    </row>
    <row r="2342" spans="1:16" s="619" customFormat="1" ht="48" x14ac:dyDescent="0.2">
      <c r="A2342" s="626" t="s">
        <v>4789</v>
      </c>
      <c r="B2342" s="626" t="s">
        <v>2032</v>
      </c>
      <c r="C2342" s="638" t="s">
        <v>108</v>
      </c>
      <c r="D2342" s="626" t="s">
        <v>5297</v>
      </c>
      <c r="E2342" s="636">
        <v>2000</v>
      </c>
      <c r="F2342" s="637"/>
      <c r="G2342" s="626" t="s">
        <v>5215</v>
      </c>
      <c r="H2342" s="638"/>
      <c r="I2342" s="626"/>
      <c r="J2342" s="638"/>
      <c r="K2342" s="654"/>
      <c r="L2342" s="681"/>
      <c r="M2342" s="684"/>
      <c r="N2342" s="640">
        <v>1</v>
      </c>
      <c r="O2342" s="685" t="s">
        <v>1</v>
      </c>
      <c r="P2342" s="643">
        <v>2000</v>
      </c>
    </row>
    <row r="2343" spans="1:16" s="619" customFormat="1" ht="36" x14ac:dyDescent="0.2">
      <c r="A2343" s="626" t="s">
        <v>4789</v>
      </c>
      <c r="B2343" s="626" t="s">
        <v>2032</v>
      </c>
      <c r="C2343" s="638" t="s">
        <v>108</v>
      </c>
      <c r="D2343" s="626" t="s">
        <v>5257</v>
      </c>
      <c r="E2343" s="636">
        <v>1500</v>
      </c>
      <c r="F2343" s="637"/>
      <c r="G2343" s="626" t="s">
        <v>5089</v>
      </c>
      <c r="H2343" s="638"/>
      <c r="I2343" s="626"/>
      <c r="J2343" s="638"/>
      <c r="K2343" s="654"/>
      <c r="L2343" s="681"/>
      <c r="M2343" s="684"/>
      <c r="N2343" s="640">
        <v>1</v>
      </c>
      <c r="O2343" s="685" t="s">
        <v>1</v>
      </c>
      <c r="P2343" s="643">
        <v>1500</v>
      </c>
    </row>
    <row r="2344" spans="1:16" s="619" customFormat="1" ht="36" x14ac:dyDescent="0.2">
      <c r="A2344" s="626" t="s">
        <v>4789</v>
      </c>
      <c r="B2344" s="626" t="s">
        <v>2275</v>
      </c>
      <c r="C2344" s="638" t="s">
        <v>108</v>
      </c>
      <c r="D2344" s="626" t="s">
        <v>5298</v>
      </c>
      <c r="E2344" s="636">
        <v>1500</v>
      </c>
      <c r="F2344" s="637"/>
      <c r="G2344" s="626" t="s">
        <v>5220</v>
      </c>
      <c r="H2344" s="638"/>
      <c r="I2344" s="626"/>
      <c r="J2344" s="638"/>
      <c r="K2344" s="654"/>
      <c r="L2344" s="681"/>
      <c r="M2344" s="684"/>
      <c r="N2344" s="640">
        <v>1</v>
      </c>
      <c r="O2344" s="685" t="s">
        <v>1</v>
      </c>
      <c r="P2344" s="643">
        <v>1500</v>
      </c>
    </row>
    <row r="2345" spans="1:16" s="619" customFormat="1" ht="36" x14ac:dyDescent="0.2">
      <c r="A2345" s="626" t="s">
        <v>4789</v>
      </c>
      <c r="B2345" s="626" t="s">
        <v>2275</v>
      </c>
      <c r="C2345" s="638" t="s">
        <v>108</v>
      </c>
      <c r="D2345" s="626" t="s">
        <v>5299</v>
      </c>
      <c r="E2345" s="636">
        <v>2000</v>
      </c>
      <c r="F2345" s="637"/>
      <c r="G2345" s="626" t="s">
        <v>5142</v>
      </c>
      <c r="H2345" s="638"/>
      <c r="I2345" s="626"/>
      <c r="J2345" s="638"/>
      <c r="K2345" s="654"/>
      <c r="L2345" s="681"/>
      <c r="M2345" s="684"/>
      <c r="N2345" s="640">
        <v>1</v>
      </c>
      <c r="O2345" s="685" t="s">
        <v>28</v>
      </c>
      <c r="P2345" s="643">
        <v>2000</v>
      </c>
    </row>
    <row r="2346" spans="1:16" s="619" customFormat="1" ht="24" x14ac:dyDescent="0.2">
      <c r="A2346" s="626" t="s">
        <v>4789</v>
      </c>
      <c r="B2346" s="626" t="s">
        <v>1908</v>
      </c>
      <c r="C2346" s="638" t="s">
        <v>108</v>
      </c>
      <c r="D2346" s="626" t="s">
        <v>5300</v>
      </c>
      <c r="E2346" s="636">
        <v>1300</v>
      </c>
      <c r="F2346" s="637"/>
      <c r="G2346" s="626" t="s">
        <v>5150</v>
      </c>
      <c r="H2346" s="638"/>
      <c r="I2346" s="626"/>
      <c r="J2346" s="638"/>
      <c r="K2346" s="654"/>
      <c r="L2346" s="681"/>
      <c r="M2346" s="684"/>
      <c r="N2346" s="640">
        <v>1</v>
      </c>
      <c r="O2346" s="685" t="s">
        <v>28</v>
      </c>
      <c r="P2346" s="643">
        <v>1300</v>
      </c>
    </row>
    <row r="2347" spans="1:16" s="619" customFormat="1" ht="24" x14ac:dyDescent="0.2">
      <c r="A2347" s="626" t="s">
        <v>4789</v>
      </c>
      <c r="B2347" s="626" t="s">
        <v>1908</v>
      </c>
      <c r="C2347" s="638" t="s">
        <v>108</v>
      </c>
      <c r="D2347" s="626" t="s">
        <v>5301</v>
      </c>
      <c r="E2347" s="636">
        <v>1800</v>
      </c>
      <c r="F2347" s="637"/>
      <c r="G2347" s="626" t="s">
        <v>5112</v>
      </c>
      <c r="H2347" s="638"/>
      <c r="I2347" s="626"/>
      <c r="J2347" s="638"/>
      <c r="K2347" s="654"/>
      <c r="L2347" s="681"/>
      <c r="M2347" s="684"/>
      <c r="N2347" s="640">
        <v>1</v>
      </c>
      <c r="O2347" s="685" t="s">
        <v>28</v>
      </c>
      <c r="P2347" s="643">
        <v>1800</v>
      </c>
    </row>
    <row r="2348" spans="1:16" s="619" customFormat="1" ht="36" x14ac:dyDescent="0.2">
      <c r="A2348" s="626" t="s">
        <v>4789</v>
      </c>
      <c r="B2348" s="626" t="s">
        <v>2032</v>
      </c>
      <c r="C2348" s="638" t="s">
        <v>108</v>
      </c>
      <c r="D2348" s="626" t="s">
        <v>5302</v>
      </c>
      <c r="E2348" s="636">
        <v>1500</v>
      </c>
      <c r="F2348" s="637"/>
      <c r="G2348" s="626" t="s">
        <v>2816</v>
      </c>
      <c r="H2348" s="638"/>
      <c r="I2348" s="626"/>
      <c r="J2348" s="638"/>
      <c r="K2348" s="654"/>
      <c r="L2348" s="681"/>
      <c r="M2348" s="684"/>
      <c r="N2348" s="640">
        <v>1</v>
      </c>
      <c r="O2348" s="685" t="s">
        <v>28</v>
      </c>
      <c r="P2348" s="643">
        <v>1500</v>
      </c>
    </row>
    <row r="2349" spans="1:16" s="619" customFormat="1" ht="36" x14ac:dyDescent="0.2">
      <c r="A2349" s="626" t="s">
        <v>4789</v>
      </c>
      <c r="B2349" s="626" t="s">
        <v>2275</v>
      </c>
      <c r="C2349" s="638" t="s">
        <v>108</v>
      </c>
      <c r="D2349" s="626" t="s">
        <v>5161</v>
      </c>
      <c r="E2349" s="636">
        <v>1300</v>
      </c>
      <c r="F2349" s="637"/>
      <c r="G2349" s="626" t="s">
        <v>4945</v>
      </c>
      <c r="H2349" s="638"/>
      <c r="I2349" s="626"/>
      <c r="J2349" s="638"/>
      <c r="K2349" s="654"/>
      <c r="L2349" s="681"/>
      <c r="M2349" s="684"/>
      <c r="N2349" s="640">
        <v>1</v>
      </c>
      <c r="O2349" s="685" t="s">
        <v>28</v>
      </c>
      <c r="P2349" s="643">
        <v>1300</v>
      </c>
    </row>
    <row r="2350" spans="1:16" s="619" customFormat="1" ht="36" x14ac:dyDescent="0.2">
      <c r="A2350" s="626" t="s">
        <v>4789</v>
      </c>
      <c r="B2350" s="626" t="s">
        <v>2032</v>
      </c>
      <c r="C2350" s="638" t="s">
        <v>108</v>
      </c>
      <c r="D2350" s="626" t="s">
        <v>5266</v>
      </c>
      <c r="E2350" s="636">
        <v>1500</v>
      </c>
      <c r="F2350" s="637"/>
      <c r="G2350" s="626" t="s">
        <v>4903</v>
      </c>
      <c r="H2350" s="638"/>
      <c r="I2350" s="626"/>
      <c r="J2350" s="638"/>
      <c r="K2350" s="654"/>
      <c r="L2350" s="681"/>
      <c r="M2350" s="684"/>
      <c r="N2350" s="640">
        <v>1</v>
      </c>
      <c r="O2350" s="685" t="s">
        <v>28</v>
      </c>
      <c r="P2350" s="643">
        <v>1500</v>
      </c>
    </row>
    <row r="2351" spans="1:16" s="619" customFormat="1" ht="36" x14ac:dyDescent="0.2">
      <c r="A2351" s="626" t="s">
        <v>4789</v>
      </c>
      <c r="B2351" s="626" t="s">
        <v>2275</v>
      </c>
      <c r="C2351" s="638" t="s">
        <v>108</v>
      </c>
      <c r="D2351" s="626" t="s">
        <v>5063</v>
      </c>
      <c r="E2351" s="636">
        <v>2000</v>
      </c>
      <c r="F2351" s="637"/>
      <c r="G2351" s="626" t="s">
        <v>5022</v>
      </c>
      <c r="H2351" s="638"/>
      <c r="I2351" s="626"/>
      <c r="J2351" s="638"/>
      <c r="K2351" s="654"/>
      <c r="L2351" s="681"/>
      <c r="M2351" s="684"/>
      <c r="N2351" s="640">
        <v>1</v>
      </c>
      <c r="O2351" s="685" t="s">
        <v>28</v>
      </c>
      <c r="P2351" s="643">
        <v>2000</v>
      </c>
    </row>
    <row r="2352" spans="1:16" s="619" customFormat="1" ht="36" x14ac:dyDescent="0.2">
      <c r="A2352" s="626" t="s">
        <v>4789</v>
      </c>
      <c r="B2352" s="626" t="s">
        <v>2275</v>
      </c>
      <c r="C2352" s="638" t="s">
        <v>108</v>
      </c>
      <c r="D2352" s="626" t="s">
        <v>4890</v>
      </c>
      <c r="E2352" s="636">
        <v>3890</v>
      </c>
      <c r="F2352" s="637"/>
      <c r="G2352" s="626" t="s">
        <v>5268</v>
      </c>
      <c r="H2352" s="638"/>
      <c r="I2352" s="626"/>
      <c r="J2352" s="638"/>
      <c r="K2352" s="654"/>
      <c r="L2352" s="681"/>
      <c r="M2352" s="684"/>
      <c r="N2352" s="640">
        <v>1</v>
      </c>
      <c r="O2352" s="685" t="s">
        <v>28</v>
      </c>
      <c r="P2352" s="643">
        <v>3890</v>
      </c>
    </row>
    <row r="2353" spans="1:16" s="619" customFormat="1" ht="24" x14ac:dyDescent="0.2">
      <c r="A2353" s="626" t="s">
        <v>4789</v>
      </c>
      <c r="B2353" s="626" t="s">
        <v>1908</v>
      </c>
      <c r="C2353" s="638" t="s">
        <v>108</v>
      </c>
      <c r="D2353" s="626" t="s">
        <v>5303</v>
      </c>
      <c r="E2353" s="636">
        <v>1500</v>
      </c>
      <c r="F2353" s="637"/>
      <c r="G2353" s="626" t="s">
        <v>5178</v>
      </c>
      <c r="H2353" s="638"/>
      <c r="I2353" s="626"/>
      <c r="J2353" s="638"/>
      <c r="K2353" s="654"/>
      <c r="L2353" s="681"/>
      <c r="M2353" s="684"/>
      <c r="N2353" s="640">
        <v>1</v>
      </c>
      <c r="O2353" s="685" t="s">
        <v>28</v>
      </c>
      <c r="P2353" s="643">
        <v>1500</v>
      </c>
    </row>
    <row r="2354" spans="1:16" s="619" customFormat="1" ht="36" x14ac:dyDescent="0.2">
      <c r="A2354" s="626" t="s">
        <v>4789</v>
      </c>
      <c r="B2354" s="626" t="s">
        <v>2275</v>
      </c>
      <c r="C2354" s="638" t="s">
        <v>108</v>
      </c>
      <c r="D2354" s="626" t="s">
        <v>5056</v>
      </c>
      <c r="E2354" s="636">
        <v>2500</v>
      </c>
      <c r="F2354" s="637"/>
      <c r="G2354" s="626" t="s">
        <v>2625</v>
      </c>
      <c r="H2354" s="638"/>
      <c r="I2354" s="626"/>
      <c r="J2354" s="638"/>
      <c r="K2354" s="654"/>
      <c r="L2354" s="681"/>
      <c r="M2354" s="684"/>
      <c r="N2354" s="640">
        <v>1</v>
      </c>
      <c r="O2354" s="685" t="s">
        <v>28</v>
      </c>
      <c r="P2354" s="643">
        <v>2500</v>
      </c>
    </row>
    <row r="2355" spans="1:16" s="619" customFormat="1" ht="36" x14ac:dyDescent="0.2">
      <c r="A2355" s="626" t="s">
        <v>4789</v>
      </c>
      <c r="B2355" s="626" t="s">
        <v>2275</v>
      </c>
      <c r="C2355" s="638" t="s">
        <v>108</v>
      </c>
      <c r="D2355" s="626" t="s">
        <v>5304</v>
      </c>
      <c r="E2355" s="636">
        <v>1500</v>
      </c>
      <c r="F2355" s="637"/>
      <c r="G2355" s="626" t="s">
        <v>5183</v>
      </c>
      <c r="H2355" s="638"/>
      <c r="I2355" s="626"/>
      <c r="J2355" s="638"/>
      <c r="K2355" s="654"/>
      <c r="L2355" s="681"/>
      <c r="M2355" s="684"/>
      <c r="N2355" s="640">
        <v>1</v>
      </c>
      <c r="O2355" s="685" t="s">
        <v>28</v>
      </c>
      <c r="P2355" s="643">
        <v>1500</v>
      </c>
    </row>
    <row r="2356" spans="1:16" s="619" customFormat="1" ht="48" x14ac:dyDescent="0.2">
      <c r="A2356" s="626" t="s">
        <v>4789</v>
      </c>
      <c r="B2356" s="626" t="s">
        <v>2032</v>
      </c>
      <c r="C2356" s="638" t="s">
        <v>108</v>
      </c>
      <c r="D2356" s="626" t="s">
        <v>5305</v>
      </c>
      <c r="E2356" s="636">
        <v>2000</v>
      </c>
      <c r="F2356" s="637"/>
      <c r="G2356" s="626" t="s">
        <v>5277</v>
      </c>
      <c r="H2356" s="638"/>
      <c r="I2356" s="626"/>
      <c r="J2356" s="638"/>
      <c r="K2356" s="654"/>
      <c r="L2356" s="681"/>
      <c r="M2356" s="684"/>
      <c r="N2356" s="640">
        <v>1</v>
      </c>
      <c r="O2356" s="685" t="s">
        <v>28</v>
      </c>
      <c r="P2356" s="643">
        <v>2000</v>
      </c>
    </row>
    <row r="2357" spans="1:16" s="619" customFormat="1" ht="36" x14ac:dyDescent="0.2">
      <c r="A2357" s="626" t="s">
        <v>4789</v>
      </c>
      <c r="B2357" s="626" t="s">
        <v>2032</v>
      </c>
      <c r="C2357" s="638" t="s">
        <v>108</v>
      </c>
      <c r="D2357" s="626" t="s">
        <v>5306</v>
      </c>
      <c r="E2357" s="636">
        <v>3000</v>
      </c>
      <c r="F2357" s="637"/>
      <c r="G2357" s="626" t="s">
        <v>5239</v>
      </c>
      <c r="H2357" s="638"/>
      <c r="I2357" s="626"/>
      <c r="J2357" s="638"/>
      <c r="K2357" s="654"/>
      <c r="L2357" s="681"/>
      <c r="M2357" s="684"/>
      <c r="N2357" s="640">
        <v>1</v>
      </c>
      <c r="O2357" s="685" t="s">
        <v>28</v>
      </c>
      <c r="P2357" s="643">
        <v>3000</v>
      </c>
    </row>
    <row r="2358" spans="1:16" s="619" customFormat="1" ht="36" x14ac:dyDescent="0.2">
      <c r="A2358" s="626" t="s">
        <v>4789</v>
      </c>
      <c r="B2358" s="626" t="s">
        <v>2275</v>
      </c>
      <c r="C2358" s="638" t="s">
        <v>108</v>
      </c>
      <c r="D2358" s="626" t="s">
        <v>5307</v>
      </c>
      <c r="E2358" s="636">
        <v>1300</v>
      </c>
      <c r="F2358" s="637"/>
      <c r="G2358" s="626" t="s">
        <v>4935</v>
      </c>
      <c r="H2358" s="638"/>
      <c r="I2358" s="626"/>
      <c r="J2358" s="638"/>
      <c r="K2358" s="654"/>
      <c r="L2358" s="681"/>
      <c r="M2358" s="684"/>
      <c r="N2358" s="640">
        <v>1</v>
      </c>
      <c r="O2358" s="685" t="s">
        <v>28</v>
      </c>
      <c r="P2358" s="643">
        <v>1300</v>
      </c>
    </row>
    <row r="2359" spans="1:16" s="619" customFormat="1" ht="36" x14ac:dyDescent="0.2">
      <c r="A2359" s="626" t="s">
        <v>4789</v>
      </c>
      <c r="B2359" s="626" t="s">
        <v>2275</v>
      </c>
      <c r="C2359" s="638" t="s">
        <v>108</v>
      </c>
      <c r="D2359" s="626" t="s">
        <v>5308</v>
      </c>
      <c r="E2359" s="636">
        <v>696.66</v>
      </c>
      <c r="F2359" s="637"/>
      <c r="G2359" s="626" t="s">
        <v>5189</v>
      </c>
      <c r="H2359" s="638"/>
      <c r="I2359" s="626"/>
      <c r="J2359" s="638"/>
      <c r="K2359" s="654"/>
      <c r="L2359" s="681"/>
      <c r="M2359" s="684"/>
      <c r="N2359" s="640">
        <v>1</v>
      </c>
      <c r="O2359" s="685" t="s">
        <v>28</v>
      </c>
      <c r="P2359" s="643">
        <v>696.66</v>
      </c>
    </row>
    <row r="2360" spans="1:16" s="619" customFormat="1" ht="36" x14ac:dyDescent="0.2">
      <c r="A2360" s="626" t="s">
        <v>4789</v>
      </c>
      <c r="B2360" s="626" t="s">
        <v>2275</v>
      </c>
      <c r="C2360" s="638" t="s">
        <v>108</v>
      </c>
      <c r="D2360" s="626" t="s">
        <v>5309</v>
      </c>
      <c r="E2360" s="636">
        <v>1300</v>
      </c>
      <c r="F2360" s="637"/>
      <c r="G2360" s="626" t="s">
        <v>4869</v>
      </c>
      <c r="H2360" s="638"/>
      <c r="I2360" s="626"/>
      <c r="J2360" s="638"/>
      <c r="K2360" s="654"/>
      <c r="L2360" s="681"/>
      <c r="M2360" s="684"/>
      <c r="N2360" s="640">
        <v>1</v>
      </c>
      <c r="O2360" s="685" t="s">
        <v>28</v>
      </c>
      <c r="P2360" s="643">
        <v>1300</v>
      </c>
    </row>
    <row r="2361" spans="1:16" s="619" customFormat="1" ht="36" x14ac:dyDescent="0.2">
      <c r="A2361" s="626" t="s">
        <v>4789</v>
      </c>
      <c r="B2361" s="626" t="s">
        <v>2032</v>
      </c>
      <c r="C2361" s="638" t="s">
        <v>108</v>
      </c>
      <c r="D2361" s="626" t="s">
        <v>5310</v>
      </c>
      <c r="E2361" s="636">
        <v>1500</v>
      </c>
      <c r="F2361" s="637"/>
      <c r="G2361" s="626" t="s">
        <v>4998</v>
      </c>
      <c r="H2361" s="638"/>
      <c r="I2361" s="626"/>
      <c r="J2361" s="638"/>
      <c r="K2361" s="654"/>
      <c r="L2361" s="681"/>
      <c r="M2361" s="684"/>
      <c r="N2361" s="640">
        <v>1</v>
      </c>
      <c r="O2361" s="685" t="s">
        <v>28</v>
      </c>
      <c r="P2361" s="643">
        <v>1500</v>
      </c>
    </row>
    <row r="2362" spans="1:16" s="619" customFormat="1" ht="36" x14ac:dyDescent="0.2">
      <c r="A2362" s="626" t="s">
        <v>4789</v>
      </c>
      <c r="B2362" s="626" t="s">
        <v>2032</v>
      </c>
      <c r="C2362" s="638" t="s">
        <v>108</v>
      </c>
      <c r="D2362" s="626" t="s">
        <v>5311</v>
      </c>
      <c r="E2362" s="636">
        <v>1300</v>
      </c>
      <c r="F2362" s="637"/>
      <c r="G2362" s="626" t="s">
        <v>4959</v>
      </c>
      <c r="H2362" s="638"/>
      <c r="I2362" s="626"/>
      <c r="J2362" s="638"/>
      <c r="K2362" s="654"/>
      <c r="L2362" s="681"/>
      <c r="M2362" s="684"/>
      <c r="N2362" s="640">
        <v>1</v>
      </c>
      <c r="O2362" s="685" t="s">
        <v>28</v>
      </c>
      <c r="P2362" s="643">
        <v>1300</v>
      </c>
    </row>
    <row r="2363" spans="1:16" s="619" customFormat="1" ht="36" x14ac:dyDescent="0.2">
      <c r="A2363" s="626" t="s">
        <v>4789</v>
      </c>
      <c r="B2363" s="626" t="s">
        <v>2275</v>
      </c>
      <c r="C2363" s="638" t="s">
        <v>108</v>
      </c>
      <c r="D2363" s="626" t="s">
        <v>5312</v>
      </c>
      <c r="E2363" s="636">
        <v>1500</v>
      </c>
      <c r="F2363" s="637"/>
      <c r="G2363" s="626" t="s">
        <v>4901</v>
      </c>
      <c r="H2363" s="638"/>
      <c r="I2363" s="626"/>
      <c r="J2363" s="638"/>
      <c r="K2363" s="654"/>
      <c r="L2363" s="681"/>
      <c r="M2363" s="684"/>
      <c r="N2363" s="640">
        <v>1</v>
      </c>
      <c r="O2363" s="685" t="s">
        <v>28</v>
      </c>
      <c r="P2363" s="643">
        <v>1500</v>
      </c>
    </row>
    <row r="2364" spans="1:16" s="619" customFormat="1" ht="36" x14ac:dyDescent="0.2">
      <c r="A2364" s="626" t="s">
        <v>4789</v>
      </c>
      <c r="B2364" s="626" t="s">
        <v>2275</v>
      </c>
      <c r="C2364" s="638" t="s">
        <v>108</v>
      </c>
      <c r="D2364" s="626" t="s">
        <v>5313</v>
      </c>
      <c r="E2364" s="636">
        <v>1300</v>
      </c>
      <c r="F2364" s="637"/>
      <c r="G2364" s="626" t="s">
        <v>5134</v>
      </c>
      <c r="H2364" s="638"/>
      <c r="I2364" s="626"/>
      <c r="J2364" s="638"/>
      <c r="K2364" s="654"/>
      <c r="L2364" s="681"/>
      <c r="M2364" s="684"/>
      <c r="N2364" s="640">
        <v>1</v>
      </c>
      <c r="O2364" s="685" t="s">
        <v>28</v>
      </c>
      <c r="P2364" s="643">
        <v>1300</v>
      </c>
    </row>
    <row r="2365" spans="1:16" s="619" customFormat="1" ht="36" x14ac:dyDescent="0.2">
      <c r="A2365" s="626" t="s">
        <v>4789</v>
      </c>
      <c r="B2365" s="626" t="s">
        <v>2275</v>
      </c>
      <c r="C2365" s="638" t="s">
        <v>108</v>
      </c>
      <c r="D2365" s="626" t="s">
        <v>5314</v>
      </c>
      <c r="E2365" s="636">
        <v>1500</v>
      </c>
      <c r="F2365" s="637"/>
      <c r="G2365" s="626" t="s">
        <v>5254</v>
      </c>
      <c r="H2365" s="638"/>
      <c r="I2365" s="626"/>
      <c r="J2365" s="638"/>
      <c r="K2365" s="654"/>
      <c r="L2365" s="681"/>
      <c r="M2365" s="684"/>
      <c r="N2365" s="640">
        <v>1</v>
      </c>
      <c r="O2365" s="685" t="s">
        <v>28</v>
      </c>
      <c r="P2365" s="643">
        <v>1500</v>
      </c>
    </row>
    <row r="2366" spans="1:16" s="619" customFormat="1" ht="48" x14ac:dyDescent="0.2">
      <c r="A2366" s="626" t="s">
        <v>4789</v>
      </c>
      <c r="B2366" s="626" t="s">
        <v>2032</v>
      </c>
      <c r="C2366" s="638" t="s">
        <v>108</v>
      </c>
      <c r="D2366" s="626" t="s">
        <v>5315</v>
      </c>
      <c r="E2366" s="636">
        <v>2000</v>
      </c>
      <c r="F2366" s="637"/>
      <c r="G2366" s="626" t="s">
        <v>5215</v>
      </c>
      <c r="H2366" s="638"/>
      <c r="I2366" s="626"/>
      <c r="J2366" s="638"/>
      <c r="K2366" s="654"/>
      <c r="L2366" s="681"/>
      <c r="M2366" s="684"/>
      <c r="N2366" s="640">
        <v>1</v>
      </c>
      <c r="O2366" s="685" t="s">
        <v>28</v>
      </c>
      <c r="P2366" s="643">
        <v>2000</v>
      </c>
    </row>
    <row r="2367" spans="1:16" s="619" customFormat="1" ht="36" x14ac:dyDescent="0.2">
      <c r="A2367" s="626" t="s">
        <v>4789</v>
      </c>
      <c r="B2367" s="626" t="s">
        <v>2032</v>
      </c>
      <c r="C2367" s="638" t="s">
        <v>108</v>
      </c>
      <c r="D2367" s="626" t="s">
        <v>5302</v>
      </c>
      <c r="E2367" s="636">
        <v>1500</v>
      </c>
      <c r="F2367" s="637"/>
      <c r="G2367" s="626" t="s">
        <v>5089</v>
      </c>
      <c r="H2367" s="638"/>
      <c r="I2367" s="626"/>
      <c r="J2367" s="638"/>
      <c r="K2367" s="654"/>
      <c r="L2367" s="681"/>
      <c r="M2367" s="684"/>
      <c r="N2367" s="640">
        <v>1</v>
      </c>
      <c r="O2367" s="685" t="s">
        <v>28</v>
      </c>
      <c r="P2367" s="643">
        <v>1500</v>
      </c>
    </row>
    <row r="2368" spans="1:16" s="619" customFormat="1" ht="36.75" thickBot="1" x14ac:dyDescent="0.25">
      <c r="A2368" s="626" t="s">
        <v>4789</v>
      </c>
      <c r="B2368" s="626" t="s">
        <v>2275</v>
      </c>
      <c r="C2368" s="638" t="s">
        <v>108</v>
      </c>
      <c r="D2368" s="626" t="s">
        <v>5316</v>
      </c>
      <c r="E2368" s="636">
        <v>1200</v>
      </c>
      <c r="F2368" s="637"/>
      <c r="G2368" s="626" t="s">
        <v>4983</v>
      </c>
      <c r="H2368" s="638"/>
      <c r="I2368" s="626"/>
      <c r="J2368" s="638"/>
      <c r="K2368" s="659"/>
      <c r="L2368" s="681"/>
      <c r="M2368" s="684"/>
      <c r="N2368" s="680">
        <v>1</v>
      </c>
      <c r="O2368" s="685" t="s">
        <v>28</v>
      </c>
      <c r="P2368" s="643">
        <v>1200</v>
      </c>
    </row>
    <row r="2369" spans="1:16" s="619" customFormat="1" ht="13.5" customHeight="1" thickBot="1" x14ac:dyDescent="0.25">
      <c r="A2369" s="1149" t="s">
        <v>1813</v>
      </c>
      <c r="B2369" s="1156"/>
      <c r="C2369" s="1156"/>
      <c r="D2369" s="1157"/>
      <c r="E2369" s="686">
        <f>SUM(E1636:E2368)</f>
        <v>1156309.4900000002</v>
      </c>
      <c r="F2369" s="687"/>
      <c r="G2369" s="109"/>
      <c r="H2369" s="175"/>
      <c r="I2369" s="175"/>
      <c r="J2369" s="175"/>
      <c r="K2369" s="687"/>
      <c r="L2369" s="175"/>
      <c r="M2369" s="686">
        <f>SUM(M1636:M2368)</f>
        <v>887774.55</v>
      </c>
      <c r="N2369" s="687"/>
      <c r="O2369" s="687"/>
      <c r="P2369" s="610">
        <f>SUM(P1636:P2368)</f>
        <v>661034.94000000006</v>
      </c>
    </row>
    <row r="2370" spans="1:16" s="619" customFormat="1" ht="62.25" customHeight="1" x14ac:dyDescent="0.2">
      <c r="A2370" s="630" t="s">
        <v>5317</v>
      </c>
      <c r="B2370" s="630" t="s">
        <v>1908</v>
      </c>
      <c r="C2370" s="630" t="s">
        <v>104</v>
      </c>
      <c r="D2370" s="630" t="s">
        <v>5318</v>
      </c>
      <c r="E2370" s="688">
        <v>1300</v>
      </c>
      <c r="F2370" s="630">
        <v>44514931</v>
      </c>
      <c r="G2370" s="630" t="s">
        <v>5319</v>
      </c>
      <c r="H2370" s="689" t="s">
        <v>5320</v>
      </c>
      <c r="I2370" s="689" t="s">
        <v>1931</v>
      </c>
      <c r="J2370" s="689" t="s">
        <v>5321</v>
      </c>
      <c r="K2370" s="690" t="s">
        <v>5322</v>
      </c>
      <c r="L2370" s="633" t="s">
        <v>5323</v>
      </c>
      <c r="M2370" s="635" t="s">
        <v>5324</v>
      </c>
      <c r="N2370" s="632" t="s">
        <v>5325</v>
      </c>
      <c r="O2370" s="682" t="s">
        <v>5326</v>
      </c>
      <c r="P2370" s="635" t="s">
        <v>5324</v>
      </c>
    </row>
    <row r="2371" spans="1:16" s="619" customFormat="1" ht="36" x14ac:dyDescent="0.2">
      <c r="A2371" s="626" t="s">
        <v>5317</v>
      </c>
      <c r="B2371" s="626" t="s">
        <v>1908</v>
      </c>
      <c r="C2371" s="626" t="s">
        <v>104</v>
      </c>
      <c r="D2371" s="626" t="s">
        <v>5327</v>
      </c>
      <c r="E2371" s="651">
        <v>1500</v>
      </c>
      <c r="F2371" s="626">
        <v>42635532</v>
      </c>
      <c r="G2371" s="626" t="s">
        <v>5328</v>
      </c>
      <c r="H2371" s="691" t="s">
        <v>5329</v>
      </c>
      <c r="I2371" s="626" t="s">
        <v>1931</v>
      </c>
      <c r="J2371" s="691" t="s">
        <v>5330</v>
      </c>
      <c r="K2371" s="668" t="s">
        <v>5322</v>
      </c>
      <c r="L2371" s="654" t="s">
        <v>5323</v>
      </c>
      <c r="M2371" s="643">
        <v>18000</v>
      </c>
      <c r="N2371" s="640" t="s">
        <v>5325</v>
      </c>
      <c r="O2371" s="683" t="s">
        <v>5326</v>
      </c>
      <c r="P2371" s="643">
        <v>18000</v>
      </c>
    </row>
    <row r="2372" spans="1:16" s="619" customFormat="1" ht="36" x14ac:dyDescent="0.2">
      <c r="A2372" s="626" t="s">
        <v>5317</v>
      </c>
      <c r="B2372" s="626" t="s">
        <v>1908</v>
      </c>
      <c r="C2372" s="626" t="s">
        <v>104</v>
      </c>
      <c r="D2372" s="626" t="s">
        <v>5331</v>
      </c>
      <c r="E2372" s="651">
        <v>1200</v>
      </c>
      <c r="F2372" s="626">
        <v>33430838</v>
      </c>
      <c r="G2372" s="626" t="s">
        <v>5332</v>
      </c>
      <c r="H2372" s="691" t="s">
        <v>5333</v>
      </c>
      <c r="I2372" s="626" t="s">
        <v>1931</v>
      </c>
      <c r="J2372" s="691" t="s">
        <v>5334</v>
      </c>
      <c r="K2372" s="668" t="s">
        <v>5322</v>
      </c>
      <c r="L2372" s="654" t="s">
        <v>5323</v>
      </c>
      <c r="M2372" s="643">
        <v>14400</v>
      </c>
      <c r="N2372" s="640" t="s">
        <v>5325</v>
      </c>
      <c r="O2372" s="683" t="s">
        <v>5326</v>
      </c>
      <c r="P2372" s="643">
        <v>14400</v>
      </c>
    </row>
    <row r="2373" spans="1:16" s="619" customFormat="1" ht="36" x14ac:dyDescent="0.2">
      <c r="A2373" s="626" t="s">
        <v>5317</v>
      </c>
      <c r="B2373" s="626" t="s">
        <v>1908</v>
      </c>
      <c r="C2373" s="626" t="s">
        <v>104</v>
      </c>
      <c r="D2373" s="626" t="s">
        <v>5335</v>
      </c>
      <c r="E2373" s="651">
        <v>1400</v>
      </c>
      <c r="F2373" s="626">
        <v>42071923</v>
      </c>
      <c r="G2373" s="626" t="s">
        <v>5336</v>
      </c>
      <c r="H2373" s="691" t="s">
        <v>5337</v>
      </c>
      <c r="I2373" s="626" t="s">
        <v>1931</v>
      </c>
      <c r="J2373" s="691" t="s">
        <v>5321</v>
      </c>
      <c r="K2373" s="668" t="s">
        <v>5322</v>
      </c>
      <c r="L2373" s="654" t="s">
        <v>5323</v>
      </c>
      <c r="M2373" s="643">
        <v>16800</v>
      </c>
      <c r="N2373" s="640" t="s">
        <v>5325</v>
      </c>
      <c r="O2373" s="683" t="s">
        <v>5326</v>
      </c>
      <c r="P2373" s="643">
        <v>16800</v>
      </c>
    </row>
    <row r="2374" spans="1:16" s="619" customFormat="1" ht="36" x14ac:dyDescent="0.2">
      <c r="A2374" s="626" t="s">
        <v>5317</v>
      </c>
      <c r="B2374" s="626" t="s">
        <v>1908</v>
      </c>
      <c r="C2374" s="626" t="s">
        <v>104</v>
      </c>
      <c r="D2374" s="626" t="s">
        <v>5338</v>
      </c>
      <c r="E2374" s="651">
        <v>1500</v>
      </c>
      <c r="F2374" s="626">
        <v>44689702</v>
      </c>
      <c r="G2374" s="626" t="s">
        <v>5339</v>
      </c>
      <c r="H2374" s="691" t="s">
        <v>5320</v>
      </c>
      <c r="I2374" s="691" t="s">
        <v>1931</v>
      </c>
      <c r="J2374" s="691" t="s">
        <v>5321</v>
      </c>
      <c r="K2374" s="668" t="s">
        <v>5322</v>
      </c>
      <c r="L2374" s="654" t="s">
        <v>5323</v>
      </c>
      <c r="M2374" s="643">
        <v>18000</v>
      </c>
      <c r="N2374" s="640" t="s">
        <v>5325</v>
      </c>
      <c r="O2374" s="683" t="s">
        <v>5326</v>
      </c>
      <c r="P2374" s="643">
        <v>18000</v>
      </c>
    </row>
    <row r="2375" spans="1:16" s="619" customFormat="1" ht="48" x14ac:dyDescent="0.2">
      <c r="A2375" s="626" t="s">
        <v>5317</v>
      </c>
      <c r="B2375" s="626" t="s">
        <v>1908</v>
      </c>
      <c r="C2375" s="637" t="s">
        <v>104</v>
      </c>
      <c r="D2375" s="692" t="s">
        <v>3548</v>
      </c>
      <c r="E2375" s="651">
        <v>1200</v>
      </c>
      <c r="F2375" s="626">
        <v>25814131</v>
      </c>
      <c r="G2375" s="626" t="s">
        <v>5340</v>
      </c>
      <c r="H2375" s="626" t="s">
        <v>771</v>
      </c>
      <c r="I2375" s="654" t="s">
        <v>5341</v>
      </c>
      <c r="J2375" s="654"/>
      <c r="K2375" s="693"/>
      <c r="L2375" s="654"/>
      <c r="M2375" s="643"/>
      <c r="N2375" s="640" t="s">
        <v>5342</v>
      </c>
      <c r="O2375" s="683" t="s">
        <v>5343</v>
      </c>
      <c r="P2375" s="643">
        <v>6000</v>
      </c>
    </row>
    <row r="2376" spans="1:16" s="619" customFormat="1" ht="48" x14ac:dyDescent="0.2">
      <c r="A2376" s="626" t="s">
        <v>5317</v>
      </c>
      <c r="B2376" s="626" t="s">
        <v>1908</v>
      </c>
      <c r="C2376" s="637" t="s">
        <v>104</v>
      </c>
      <c r="D2376" s="692" t="s">
        <v>5344</v>
      </c>
      <c r="E2376" s="651">
        <v>1400</v>
      </c>
      <c r="F2376" s="626">
        <v>42966278</v>
      </c>
      <c r="G2376" s="626" t="s">
        <v>5345</v>
      </c>
      <c r="H2376" s="626" t="s">
        <v>5346</v>
      </c>
      <c r="I2376" s="691" t="s">
        <v>1931</v>
      </c>
      <c r="J2376" s="626" t="s">
        <v>1951</v>
      </c>
      <c r="K2376" s="693"/>
      <c r="L2376" s="654"/>
      <c r="M2376" s="643"/>
      <c r="N2376" s="640" t="s">
        <v>5347</v>
      </c>
      <c r="O2376" s="683" t="s">
        <v>5343</v>
      </c>
      <c r="P2376" s="643">
        <v>7000</v>
      </c>
    </row>
    <row r="2377" spans="1:16" s="619" customFormat="1" ht="48" x14ac:dyDescent="0.2">
      <c r="A2377" s="626" t="s">
        <v>5317</v>
      </c>
      <c r="B2377" s="626" t="s">
        <v>1908</v>
      </c>
      <c r="C2377" s="637" t="s">
        <v>104</v>
      </c>
      <c r="D2377" s="692" t="s">
        <v>5348</v>
      </c>
      <c r="E2377" s="651">
        <v>1200</v>
      </c>
      <c r="F2377" s="626">
        <v>33425823</v>
      </c>
      <c r="G2377" s="626" t="s">
        <v>4852</v>
      </c>
      <c r="H2377" s="626" t="s">
        <v>771</v>
      </c>
      <c r="I2377" s="654" t="s">
        <v>1919</v>
      </c>
      <c r="J2377" s="626" t="s">
        <v>771</v>
      </c>
      <c r="K2377" s="693"/>
      <c r="L2377" s="654"/>
      <c r="M2377" s="643"/>
      <c r="N2377" s="640" t="s">
        <v>5349</v>
      </c>
      <c r="O2377" s="683" t="s">
        <v>5343</v>
      </c>
      <c r="P2377" s="643">
        <v>6000</v>
      </c>
    </row>
    <row r="2378" spans="1:16" s="619" customFormat="1" ht="48" x14ac:dyDescent="0.2">
      <c r="A2378" s="626" t="s">
        <v>5317</v>
      </c>
      <c r="B2378" s="626" t="s">
        <v>1908</v>
      </c>
      <c r="C2378" s="637" t="s">
        <v>104</v>
      </c>
      <c r="D2378" s="692" t="s">
        <v>5350</v>
      </c>
      <c r="E2378" s="651">
        <v>1600</v>
      </c>
      <c r="F2378" s="626">
        <v>33811343</v>
      </c>
      <c r="G2378" s="626" t="s">
        <v>5351</v>
      </c>
      <c r="H2378" s="626" t="s">
        <v>5352</v>
      </c>
      <c r="I2378" s="654" t="s">
        <v>3567</v>
      </c>
      <c r="J2378" s="626" t="s">
        <v>5353</v>
      </c>
      <c r="K2378" s="693"/>
      <c r="L2378" s="654"/>
      <c r="M2378" s="643"/>
      <c r="N2378" s="640" t="s">
        <v>5354</v>
      </c>
      <c r="O2378" s="683" t="s">
        <v>5343</v>
      </c>
      <c r="P2378" s="643">
        <v>8000</v>
      </c>
    </row>
    <row r="2379" spans="1:16" s="619" customFormat="1" ht="48" x14ac:dyDescent="0.2">
      <c r="A2379" s="626" t="s">
        <v>5317</v>
      </c>
      <c r="B2379" s="626" t="s">
        <v>1908</v>
      </c>
      <c r="C2379" s="637" t="s">
        <v>104</v>
      </c>
      <c r="D2379" s="692" t="s">
        <v>5355</v>
      </c>
      <c r="E2379" s="651">
        <v>1400</v>
      </c>
      <c r="F2379" s="626">
        <v>40592154</v>
      </c>
      <c r="G2379" s="626" t="s">
        <v>5356</v>
      </c>
      <c r="H2379" s="626" t="s">
        <v>5357</v>
      </c>
      <c r="I2379" s="654" t="s">
        <v>5358</v>
      </c>
      <c r="J2379" s="626" t="s">
        <v>5359</v>
      </c>
      <c r="K2379" s="693"/>
      <c r="L2379" s="654"/>
      <c r="M2379" s="643"/>
      <c r="N2379" s="640" t="s">
        <v>5360</v>
      </c>
      <c r="O2379" s="683" t="s">
        <v>5343</v>
      </c>
      <c r="P2379" s="643">
        <v>7000</v>
      </c>
    </row>
    <row r="2380" spans="1:16" s="619" customFormat="1" ht="48" x14ac:dyDescent="0.2">
      <c r="A2380" s="626" t="s">
        <v>5317</v>
      </c>
      <c r="B2380" s="626" t="s">
        <v>1908</v>
      </c>
      <c r="C2380" s="637" t="s">
        <v>104</v>
      </c>
      <c r="D2380" s="692" t="s">
        <v>5361</v>
      </c>
      <c r="E2380" s="651">
        <v>1900</v>
      </c>
      <c r="F2380" s="626">
        <v>47815037</v>
      </c>
      <c r="G2380" s="626" t="s">
        <v>5362</v>
      </c>
      <c r="H2380" s="626" t="s">
        <v>5363</v>
      </c>
      <c r="I2380" s="654" t="s">
        <v>5358</v>
      </c>
      <c r="J2380" s="654" t="s">
        <v>2002</v>
      </c>
      <c r="K2380" s="693"/>
      <c r="L2380" s="654"/>
      <c r="M2380" s="643"/>
      <c r="N2380" s="640" t="s">
        <v>5364</v>
      </c>
      <c r="O2380" s="683" t="s">
        <v>5343</v>
      </c>
      <c r="P2380" s="643">
        <v>9500</v>
      </c>
    </row>
    <row r="2381" spans="1:16" s="619" customFormat="1" ht="48" x14ac:dyDescent="0.2">
      <c r="A2381" s="626" t="s">
        <v>5317</v>
      </c>
      <c r="B2381" s="626" t="s">
        <v>1908</v>
      </c>
      <c r="C2381" s="637" t="s">
        <v>104</v>
      </c>
      <c r="D2381" s="692" t="s">
        <v>5365</v>
      </c>
      <c r="E2381" s="651">
        <v>2500</v>
      </c>
      <c r="F2381" s="626">
        <v>70946122</v>
      </c>
      <c r="G2381" s="626" t="s">
        <v>5366</v>
      </c>
      <c r="H2381" s="626" t="s">
        <v>5363</v>
      </c>
      <c r="I2381" s="654" t="s">
        <v>5358</v>
      </c>
      <c r="J2381" s="654" t="s">
        <v>2002</v>
      </c>
      <c r="K2381" s="693"/>
      <c r="L2381" s="654"/>
      <c r="M2381" s="643"/>
      <c r="N2381" s="640" t="s">
        <v>5367</v>
      </c>
      <c r="O2381" s="683" t="s">
        <v>5343</v>
      </c>
      <c r="P2381" s="643">
        <v>12500</v>
      </c>
    </row>
    <row r="2382" spans="1:16" s="619" customFormat="1" ht="48" x14ac:dyDescent="0.2">
      <c r="A2382" s="626" t="s">
        <v>5317</v>
      </c>
      <c r="B2382" s="626" t="s">
        <v>1908</v>
      </c>
      <c r="C2382" s="637" t="s">
        <v>104</v>
      </c>
      <c r="D2382" s="692" t="s">
        <v>5368</v>
      </c>
      <c r="E2382" s="651">
        <v>1400</v>
      </c>
      <c r="F2382" s="626">
        <v>33408772</v>
      </c>
      <c r="G2382" s="626" t="s">
        <v>5369</v>
      </c>
      <c r="H2382" s="626" t="s">
        <v>5370</v>
      </c>
      <c r="I2382" s="654" t="s">
        <v>3674</v>
      </c>
      <c r="J2382" s="654" t="s">
        <v>5371</v>
      </c>
      <c r="K2382" s="693"/>
      <c r="L2382" s="654"/>
      <c r="M2382" s="643"/>
      <c r="N2382" s="640" t="s">
        <v>5372</v>
      </c>
      <c r="O2382" s="683" t="s">
        <v>5343</v>
      </c>
      <c r="P2382" s="643">
        <v>7000</v>
      </c>
    </row>
    <row r="2383" spans="1:16" s="619" customFormat="1" ht="48" x14ac:dyDescent="0.2">
      <c r="A2383" s="626" t="s">
        <v>5317</v>
      </c>
      <c r="B2383" s="626" t="s">
        <v>1908</v>
      </c>
      <c r="C2383" s="637" t="s">
        <v>104</v>
      </c>
      <c r="D2383" s="692" t="s">
        <v>5373</v>
      </c>
      <c r="E2383" s="651">
        <v>3200</v>
      </c>
      <c r="F2383" s="626">
        <v>43528054</v>
      </c>
      <c r="G2383" s="626" t="s">
        <v>5374</v>
      </c>
      <c r="H2383" s="626" t="s">
        <v>1965</v>
      </c>
      <c r="I2383" s="654" t="s">
        <v>3567</v>
      </c>
      <c r="J2383" s="654" t="s">
        <v>5375</v>
      </c>
      <c r="K2383" s="693"/>
      <c r="L2383" s="654"/>
      <c r="M2383" s="643"/>
      <c r="N2383" s="640" t="s">
        <v>5376</v>
      </c>
      <c r="O2383" s="683" t="s">
        <v>5343</v>
      </c>
      <c r="P2383" s="643">
        <v>16000</v>
      </c>
    </row>
    <row r="2384" spans="1:16" s="619" customFormat="1" ht="48" x14ac:dyDescent="0.2">
      <c r="A2384" s="626" t="s">
        <v>5317</v>
      </c>
      <c r="B2384" s="626" t="s">
        <v>1908</v>
      </c>
      <c r="C2384" s="637" t="s">
        <v>104</v>
      </c>
      <c r="D2384" s="692" t="s">
        <v>5377</v>
      </c>
      <c r="E2384" s="651">
        <v>1600</v>
      </c>
      <c r="F2384" s="626">
        <v>47754223</v>
      </c>
      <c r="G2384" s="626" t="s">
        <v>5378</v>
      </c>
      <c r="H2384" s="626" t="s">
        <v>5379</v>
      </c>
      <c r="I2384" s="654" t="s">
        <v>5358</v>
      </c>
      <c r="J2384" s="654" t="s">
        <v>5380</v>
      </c>
      <c r="K2384" s="693"/>
      <c r="L2384" s="654"/>
      <c r="M2384" s="643"/>
      <c r="N2384" s="640" t="s">
        <v>5381</v>
      </c>
      <c r="O2384" s="683" t="s">
        <v>5343</v>
      </c>
      <c r="P2384" s="643">
        <v>8000</v>
      </c>
    </row>
    <row r="2385" spans="1:16" s="619" customFormat="1" ht="48" x14ac:dyDescent="0.2">
      <c r="A2385" s="626" t="s">
        <v>5317</v>
      </c>
      <c r="B2385" s="626" t="s">
        <v>1908</v>
      </c>
      <c r="C2385" s="637" t="s">
        <v>104</v>
      </c>
      <c r="D2385" s="692" t="s">
        <v>5382</v>
      </c>
      <c r="E2385" s="651">
        <v>1400</v>
      </c>
      <c r="F2385" s="626">
        <v>46809348</v>
      </c>
      <c r="G2385" s="626" t="s">
        <v>5383</v>
      </c>
      <c r="H2385" s="626" t="s">
        <v>5384</v>
      </c>
      <c r="I2385" s="654" t="s">
        <v>1931</v>
      </c>
      <c r="J2385" s="654" t="s">
        <v>5385</v>
      </c>
      <c r="K2385" s="693"/>
      <c r="L2385" s="654"/>
      <c r="M2385" s="643"/>
      <c r="N2385" s="640" t="s">
        <v>5386</v>
      </c>
      <c r="O2385" s="683" t="s">
        <v>5343</v>
      </c>
      <c r="P2385" s="643">
        <v>7000</v>
      </c>
    </row>
    <row r="2386" spans="1:16" s="619" customFormat="1" ht="48" x14ac:dyDescent="0.2">
      <c r="A2386" s="626" t="s">
        <v>5317</v>
      </c>
      <c r="B2386" s="626" t="s">
        <v>1908</v>
      </c>
      <c r="C2386" s="637" t="s">
        <v>104</v>
      </c>
      <c r="D2386" s="692" t="s">
        <v>5387</v>
      </c>
      <c r="E2386" s="651">
        <v>1600</v>
      </c>
      <c r="F2386" s="626">
        <v>43876661</v>
      </c>
      <c r="G2386" s="626" t="s">
        <v>5388</v>
      </c>
      <c r="H2386" s="637" t="s">
        <v>2232</v>
      </c>
      <c r="I2386" s="654" t="s">
        <v>3567</v>
      </c>
      <c r="J2386" s="654" t="s">
        <v>5389</v>
      </c>
      <c r="K2386" s="693"/>
      <c r="L2386" s="654"/>
      <c r="M2386" s="643"/>
      <c r="N2386" s="640" t="s">
        <v>5390</v>
      </c>
      <c r="O2386" s="683" t="s">
        <v>5343</v>
      </c>
      <c r="P2386" s="643">
        <v>8000</v>
      </c>
    </row>
    <row r="2387" spans="1:16" s="619" customFormat="1" ht="48" x14ac:dyDescent="0.2">
      <c r="A2387" s="626" t="s">
        <v>5317</v>
      </c>
      <c r="B2387" s="626" t="s">
        <v>1908</v>
      </c>
      <c r="C2387" s="637" t="s">
        <v>104</v>
      </c>
      <c r="D2387" s="692" t="s">
        <v>5391</v>
      </c>
      <c r="E2387" s="651">
        <v>1400</v>
      </c>
      <c r="F2387" s="626">
        <v>71873953</v>
      </c>
      <c r="G2387" s="626" t="s">
        <v>5392</v>
      </c>
      <c r="H2387" s="626" t="s">
        <v>4512</v>
      </c>
      <c r="I2387" s="654" t="s">
        <v>3567</v>
      </c>
      <c r="J2387" s="654" t="s">
        <v>5393</v>
      </c>
      <c r="K2387" s="693"/>
      <c r="L2387" s="654"/>
      <c r="M2387" s="643"/>
      <c r="N2387" s="640" t="s">
        <v>5394</v>
      </c>
      <c r="O2387" s="683" t="s">
        <v>5343</v>
      </c>
      <c r="P2387" s="643">
        <v>7000</v>
      </c>
    </row>
    <row r="2388" spans="1:16" s="619" customFormat="1" ht="48" x14ac:dyDescent="0.2">
      <c r="A2388" s="626" t="s">
        <v>5317</v>
      </c>
      <c r="B2388" s="626" t="s">
        <v>1908</v>
      </c>
      <c r="C2388" s="637" t="s">
        <v>104</v>
      </c>
      <c r="D2388" s="692" t="s">
        <v>5391</v>
      </c>
      <c r="E2388" s="651">
        <v>1400</v>
      </c>
      <c r="F2388" s="626">
        <v>71835599</v>
      </c>
      <c r="G2388" s="626" t="s">
        <v>5395</v>
      </c>
      <c r="H2388" s="626" t="s">
        <v>5396</v>
      </c>
      <c r="I2388" s="654" t="s">
        <v>5358</v>
      </c>
      <c r="J2388" s="654" t="s">
        <v>5397</v>
      </c>
      <c r="K2388" s="693"/>
      <c r="L2388" s="654"/>
      <c r="M2388" s="643"/>
      <c r="N2388" s="640" t="s">
        <v>5398</v>
      </c>
      <c r="O2388" s="683" t="s">
        <v>5343</v>
      </c>
      <c r="P2388" s="643">
        <v>7000</v>
      </c>
    </row>
    <row r="2389" spans="1:16" s="619" customFormat="1" ht="48" x14ac:dyDescent="0.2">
      <c r="A2389" s="626" t="s">
        <v>5317</v>
      </c>
      <c r="B2389" s="626" t="s">
        <v>1908</v>
      </c>
      <c r="C2389" s="637" t="s">
        <v>104</v>
      </c>
      <c r="D2389" s="692" t="s">
        <v>5399</v>
      </c>
      <c r="E2389" s="651">
        <v>1400</v>
      </c>
      <c r="F2389" s="626">
        <v>72159628</v>
      </c>
      <c r="G2389" s="626" t="s">
        <v>5400</v>
      </c>
      <c r="H2389" s="626" t="s">
        <v>2036</v>
      </c>
      <c r="I2389" s="654" t="s">
        <v>1931</v>
      </c>
      <c r="J2389" s="691" t="s">
        <v>5330</v>
      </c>
      <c r="K2389" s="693"/>
      <c r="L2389" s="654"/>
      <c r="M2389" s="643"/>
      <c r="N2389" s="640" t="s">
        <v>5401</v>
      </c>
      <c r="O2389" s="683" t="s">
        <v>5343</v>
      </c>
      <c r="P2389" s="643">
        <v>7000</v>
      </c>
    </row>
    <row r="2390" spans="1:16" s="619" customFormat="1" ht="48" x14ac:dyDescent="0.2">
      <c r="A2390" s="626" t="s">
        <v>5317</v>
      </c>
      <c r="B2390" s="626" t="s">
        <v>1908</v>
      </c>
      <c r="C2390" s="626" t="s">
        <v>104</v>
      </c>
      <c r="D2390" s="626" t="s">
        <v>5402</v>
      </c>
      <c r="E2390" s="643">
        <v>3400</v>
      </c>
      <c r="F2390" s="626">
        <v>41053366</v>
      </c>
      <c r="G2390" s="626" t="s">
        <v>5403</v>
      </c>
      <c r="H2390" s="626" t="s">
        <v>5404</v>
      </c>
      <c r="I2390" s="694" t="s">
        <v>3567</v>
      </c>
      <c r="J2390" s="694" t="s">
        <v>5405</v>
      </c>
      <c r="K2390" s="694"/>
      <c r="L2390" s="695"/>
      <c r="M2390" s="643"/>
      <c r="N2390" s="640" t="s">
        <v>5406</v>
      </c>
      <c r="O2390" s="683" t="s">
        <v>5343</v>
      </c>
      <c r="P2390" s="643">
        <v>17000</v>
      </c>
    </row>
    <row r="2391" spans="1:16" s="619" customFormat="1" ht="60" x14ac:dyDescent="0.2">
      <c r="A2391" s="626" t="s">
        <v>5317</v>
      </c>
      <c r="B2391" s="626" t="s">
        <v>1908</v>
      </c>
      <c r="C2391" s="626" t="s">
        <v>104</v>
      </c>
      <c r="D2391" s="626" t="s">
        <v>5407</v>
      </c>
      <c r="E2391" s="643">
        <v>3200</v>
      </c>
      <c r="F2391" s="626">
        <v>44770674</v>
      </c>
      <c r="G2391" s="649" t="s">
        <v>5408</v>
      </c>
      <c r="H2391" s="626" t="s">
        <v>5409</v>
      </c>
      <c r="I2391" s="694" t="s">
        <v>5358</v>
      </c>
      <c r="J2391" s="694" t="s">
        <v>5410</v>
      </c>
      <c r="K2391" s="694"/>
      <c r="L2391" s="694"/>
      <c r="M2391" s="643"/>
      <c r="N2391" s="640" t="s">
        <v>5411</v>
      </c>
      <c r="O2391" s="683" t="s">
        <v>5412</v>
      </c>
      <c r="P2391" s="643">
        <v>16000</v>
      </c>
    </row>
    <row r="2392" spans="1:16" s="619" customFormat="1" ht="48" x14ac:dyDescent="0.2">
      <c r="A2392" s="626" t="s">
        <v>5317</v>
      </c>
      <c r="B2392" s="626" t="s">
        <v>1908</v>
      </c>
      <c r="C2392" s="626" t="s">
        <v>104</v>
      </c>
      <c r="D2392" s="626" t="s">
        <v>5413</v>
      </c>
      <c r="E2392" s="643">
        <v>3200</v>
      </c>
      <c r="F2392" s="626">
        <v>45483797</v>
      </c>
      <c r="G2392" s="626" t="s">
        <v>5414</v>
      </c>
      <c r="H2392" s="626" t="s">
        <v>5415</v>
      </c>
      <c r="I2392" s="694" t="s">
        <v>3567</v>
      </c>
      <c r="J2392" s="694" t="s">
        <v>5416</v>
      </c>
      <c r="K2392" s="694"/>
      <c r="L2392" s="694"/>
      <c r="M2392" s="643"/>
      <c r="N2392" s="640" t="s">
        <v>5406</v>
      </c>
      <c r="O2392" s="683" t="s">
        <v>5343</v>
      </c>
      <c r="P2392" s="643">
        <v>16000</v>
      </c>
    </row>
    <row r="2393" spans="1:16" s="619" customFormat="1" ht="48" x14ac:dyDescent="0.2">
      <c r="A2393" s="626" t="s">
        <v>5317</v>
      </c>
      <c r="B2393" s="626" t="s">
        <v>1908</v>
      </c>
      <c r="C2393" s="626" t="s">
        <v>104</v>
      </c>
      <c r="D2393" s="626" t="s">
        <v>5413</v>
      </c>
      <c r="E2393" s="643">
        <v>2400</v>
      </c>
      <c r="F2393" s="626">
        <v>74137682</v>
      </c>
      <c r="G2393" s="626" t="s">
        <v>5417</v>
      </c>
      <c r="H2393" s="626" t="s">
        <v>5415</v>
      </c>
      <c r="I2393" s="694" t="s">
        <v>3567</v>
      </c>
      <c r="J2393" s="694" t="s">
        <v>5416</v>
      </c>
      <c r="K2393" s="694"/>
      <c r="L2393" s="694"/>
      <c r="M2393" s="643"/>
      <c r="N2393" s="640" t="s">
        <v>5418</v>
      </c>
      <c r="O2393" s="683" t="s">
        <v>5412</v>
      </c>
      <c r="P2393" s="643">
        <v>12000</v>
      </c>
    </row>
    <row r="2394" spans="1:16" s="619" customFormat="1" ht="60" x14ac:dyDescent="0.2">
      <c r="A2394" s="626" t="s">
        <v>5317</v>
      </c>
      <c r="B2394" s="626" t="s">
        <v>1908</v>
      </c>
      <c r="C2394" s="626" t="s">
        <v>104</v>
      </c>
      <c r="D2394" s="626" t="s">
        <v>5419</v>
      </c>
      <c r="E2394" s="643">
        <v>2800</v>
      </c>
      <c r="F2394" s="626">
        <v>43942096</v>
      </c>
      <c r="G2394" s="626" t="s">
        <v>5420</v>
      </c>
      <c r="H2394" s="626" t="s">
        <v>5421</v>
      </c>
      <c r="I2394" s="694" t="s">
        <v>5422</v>
      </c>
      <c r="J2394" s="694" t="s">
        <v>5423</v>
      </c>
      <c r="K2394" s="694"/>
      <c r="L2394" s="694"/>
      <c r="M2394" s="643"/>
      <c r="N2394" s="640" t="s">
        <v>5424</v>
      </c>
      <c r="O2394" s="683" t="s">
        <v>5343</v>
      </c>
      <c r="P2394" s="643">
        <v>14000</v>
      </c>
    </row>
    <row r="2395" spans="1:16" s="619" customFormat="1" ht="72" x14ac:dyDescent="0.2">
      <c r="A2395" s="626" t="s">
        <v>5317</v>
      </c>
      <c r="B2395" s="626" t="s">
        <v>1908</v>
      </c>
      <c r="C2395" s="626" t="s">
        <v>104</v>
      </c>
      <c r="D2395" s="626" t="s">
        <v>5425</v>
      </c>
      <c r="E2395" s="651">
        <v>2600</v>
      </c>
      <c r="F2395" s="641">
        <v>43774008</v>
      </c>
      <c r="G2395" s="626" t="s">
        <v>5426</v>
      </c>
      <c r="H2395" s="626" t="s">
        <v>4512</v>
      </c>
      <c r="I2395" s="626" t="s">
        <v>3567</v>
      </c>
      <c r="J2395" s="626" t="s">
        <v>5427</v>
      </c>
      <c r="K2395" s="626" t="s">
        <v>5428</v>
      </c>
      <c r="L2395" s="626" t="s">
        <v>5429</v>
      </c>
      <c r="M2395" s="643">
        <v>31200</v>
      </c>
      <c r="N2395" s="640" t="s">
        <v>5430</v>
      </c>
      <c r="O2395" s="683" t="s">
        <v>5431</v>
      </c>
      <c r="P2395" s="643">
        <v>23400</v>
      </c>
    </row>
    <row r="2396" spans="1:16" s="619" customFormat="1" ht="72" x14ac:dyDescent="0.2">
      <c r="A2396" s="626" t="s">
        <v>5317</v>
      </c>
      <c r="B2396" s="626" t="s">
        <v>1908</v>
      </c>
      <c r="C2396" s="626" t="s">
        <v>104</v>
      </c>
      <c r="D2396" s="626" t="s">
        <v>5432</v>
      </c>
      <c r="E2396" s="651">
        <v>3000</v>
      </c>
      <c r="F2396" s="626">
        <v>44037238</v>
      </c>
      <c r="G2396" s="626" t="s">
        <v>5433</v>
      </c>
      <c r="H2396" s="626" t="s">
        <v>2586</v>
      </c>
      <c r="I2396" s="626" t="s">
        <v>5434</v>
      </c>
      <c r="J2396" s="626" t="s">
        <v>4253</v>
      </c>
      <c r="K2396" s="626" t="s">
        <v>5435</v>
      </c>
      <c r="L2396" s="626" t="s">
        <v>5429</v>
      </c>
      <c r="M2396" s="643">
        <v>42000</v>
      </c>
      <c r="N2396" s="640" t="s">
        <v>5436</v>
      </c>
      <c r="O2396" s="683" t="s">
        <v>5326</v>
      </c>
      <c r="P2396" s="643">
        <v>31500</v>
      </c>
    </row>
    <row r="2397" spans="1:16" s="619" customFormat="1" ht="84" x14ac:dyDescent="0.2">
      <c r="A2397" s="626" t="s">
        <v>5317</v>
      </c>
      <c r="B2397" s="626" t="s">
        <v>1908</v>
      </c>
      <c r="C2397" s="626" t="s">
        <v>104</v>
      </c>
      <c r="D2397" s="626" t="s">
        <v>5437</v>
      </c>
      <c r="E2397" s="651">
        <v>3500</v>
      </c>
      <c r="F2397" s="626">
        <v>27996168</v>
      </c>
      <c r="G2397" s="626" t="s">
        <v>5438</v>
      </c>
      <c r="H2397" s="626" t="s">
        <v>2662</v>
      </c>
      <c r="I2397" s="626" t="s">
        <v>5439</v>
      </c>
      <c r="J2397" s="626" t="s">
        <v>5440</v>
      </c>
      <c r="K2397" s="626" t="s">
        <v>5441</v>
      </c>
      <c r="L2397" s="626" t="s">
        <v>5429</v>
      </c>
      <c r="M2397" s="643">
        <v>42000</v>
      </c>
      <c r="N2397" s="640" t="s">
        <v>5442</v>
      </c>
      <c r="O2397" s="683" t="s">
        <v>5326</v>
      </c>
      <c r="P2397" s="643">
        <v>31500</v>
      </c>
    </row>
    <row r="2398" spans="1:16" s="619" customFormat="1" ht="60" x14ac:dyDescent="0.2">
      <c r="A2398" s="626" t="s">
        <v>5317</v>
      </c>
      <c r="B2398" s="626" t="s">
        <v>1908</v>
      </c>
      <c r="C2398" s="626" t="s">
        <v>104</v>
      </c>
      <c r="D2398" s="626" t="s">
        <v>5437</v>
      </c>
      <c r="E2398" s="651">
        <v>3500</v>
      </c>
      <c r="F2398" s="626">
        <v>33588055</v>
      </c>
      <c r="G2398" s="626" t="s">
        <v>5443</v>
      </c>
      <c r="H2398" s="626" t="s">
        <v>5444</v>
      </c>
      <c r="I2398" s="626" t="s">
        <v>5358</v>
      </c>
      <c r="J2398" s="626" t="s">
        <v>5445</v>
      </c>
      <c r="K2398" s="626" t="s">
        <v>5446</v>
      </c>
      <c r="L2398" s="626" t="s">
        <v>5447</v>
      </c>
      <c r="M2398" s="643">
        <v>38500</v>
      </c>
      <c r="N2398" s="640" t="s">
        <v>5448</v>
      </c>
      <c r="O2398" s="683" t="s">
        <v>5326</v>
      </c>
      <c r="P2398" s="643">
        <v>31500</v>
      </c>
    </row>
    <row r="2399" spans="1:16" s="619" customFormat="1" ht="72" x14ac:dyDescent="0.2">
      <c r="A2399" s="626" t="s">
        <v>5317</v>
      </c>
      <c r="B2399" s="626" t="s">
        <v>1908</v>
      </c>
      <c r="C2399" s="626" t="s">
        <v>104</v>
      </c>
      <c r="D2399" s="626" t="s">
        <v>5437</v>
      </c>
      <c r="E2399" s="651">
        <v>3500</v>
      </c>
      <c r="F2399" s="626">
        <v>33940637</v>
      </c>
      <c r="G2399" s="626" t="s">
        <v>5449</v>
      </c>
      <c r="H2399" s="626" t="s">
        <v>2673</v>
      </c>
      <c r="I2399" s="626" t="s">
        <v>5439</v>
      </c>
      <c r="J2399" s="626" t="s">
        <v>5450</v>
      </c>
      <c r="K2399" s="626" t="s">
        <v>5451</v>
      </c>
      <c r="L2399" s="626" t="s">
        <v>5429</v>
      </c>
      <c r="M2399" s="643">
        <v>42000</v>
      </c>
      <c r="N2399" s="640" t="s">
        <v>5452</v>
      </c>
      <c r="O2399" s="683" t="s">
        <v>5326</v>
      </c>
      <c r="P2399" s="643">
        <v>31500</v>
      </c>
    </row>
    <row r="2400" spans="1:16" s="619" customFormat="1" ht="72" x14ac:dyDescent="0.2">
      <c r="A2400" s="626" t="s">
        <v>5317</v>
      </c>
      <c r="B2400" s="626" t="s">
        <v>1908</v>
      </c>
      <c r="C2400" s="626" t="s">
        <v>104</v>
      </c>
      <c r="D2400" s="626" t="s">
        <v>5437</v>
      </c>
      <c r="E2400" s="651">
        <v>3500</v>
      </c>
      <c r="F2400" s="626">
        <v>41176994</v>
      </c>
      <c r="G2400" s="626" t="s">
        <v>5453</v>
      </c>
      <c r="H2400" s="626" t="s">
        <v>2673</v>
      </c>
      <c r="I2400" s="626" t="s">
        <v>2673</v>
      </c>
      <c r="J2400" s="626" t="s">
        <v>5450</v>
      </c>
      <c r="K2400" s="626" t="s">
        <v>5454</v>
      </c>
      <c r="L2400" s="626" t="s">
        <v>5429</v>
      </c>
      <c r="M2400" s="643">
        <v>42000</v>
      </c>
      <c r="N2400" s="640" t="s">
        <v>5455</v>
      </c>
      <c r="O2400" s="683" t="s">
        <v>5326</v>
      </c>
      <c r="P2400" s="643">
        <v>31500</v>
      </c>
    </row>
    <row r="2401" spans="1:16" s="619" customFormat="1" ht="60" x14ac:dyDescent="0.2">
      <c r="A2401" s="626" t="s">
        <v>5317</v>
      </c>
      <c r="B2401" s="626" t="s">
        <v>1908</v>
      </c>
      <c r="C2401" s="626" t="s">
        <v>104</v>
      </c>
      <c r="D2401" s="626" t="s">
        <v>5437</v>
      </c>
      <c r="E2401" s="651">
        <v>3500</v>
      </c>
      <c r="F2401" s="626">
        <v>80682926</v>
      </c>
      <c r="G2401" s="626" t="s">
        <v>5456</v>
      </c>
      <c r="H2401" s="626" t="s">
        <v>2673</v>
      </c>
      <c r="I2401" s="626" t="s">
        <v>2673</v>
      </c>
      <c r="J2401" s="626" t="s">
        <v>5450</v>
      </c>
      <c r="K2401" s="626" t="s">
        <v>5457</v>
      </c>
      <c r="L2401" s="626" t="s">
        <v>5447</v>
      </c>
      <c r="M2401" s="643">
        <v>38500</v>
      </c>
      <c r="N2401" s="640" t="s">
        <v>5458</v>
      </c>
      <c r="O2401" s="683" t="s">
        <v>5326</v>
      </c>
      <c r="P2401" s="643">
        <v>31500</v>
      </c>
    </row>
    <row r="2402" spans="1:16" s="619" customFormat="1" ht="60" x14ac:dyDescent="0.2">
      <c r="A2402" s="626" t="s">
        <v>5317</v>
      </c>
      <c r="B2402" s="626" t="s">
        <v>1908</v>
      </c>
      <c r="C2402" s="626" t="s">
        <v>104</v>
      </c>
      <c r="D2402" s="626" t="s">
        <v>5437</v>
      </c>
      <c r="E2402" s="651">
        <v>3500</v>
      </c>
      <c r="F2402" s="626">
        <v>40565526</v>
      </c>
      <c r="G2402" s="626" t="s">
        <v>5459</v>
      </c>
      <c r="H2402" s="626" t="s">
        <v>5460</v>
      </c>
      <c r="I2402" s="626" t="s">
        <v>5461</v>
      </c>
      <c r="J2402" s="626" t="s">
        <v>5462</v>
      </c>
      <c r="K2402" s="626" t="s">
        <v>5463</v>
      </c>
      <c r="L2402" s="626" t="s">
        <v>5429</v>
      </c>
      <c r="M2402" s="643">
        <v>38500</v>
      </c>
      <c r="N2402" s="640" t="s">
        <v>5464</v>
      </c>
      <c r="O2402" s="683" t="s">
        <v>5326</v>
      </c>
      <c r="P2402" s="643">
        <v>31500</v>
      </c>
    </row>
    <row r="2403" spans="1:16" s="619" customFormat="1" ht="72" x14ac:dyDescent="0.2">
      <c r="A2403" s="626" t="s">
        <v>5317</v>
      </c>
      <c r="B2403" s="626" t="s">
        <v>1908</v>
      </c>
      <c r="C2403" s="626" t="s">
        <v>104</v>
      </c>
      <c r="D2403" s="626" t="s">
        <v>5437</v>
      </c>
      <c r="E2403" s="651">
        <v>3500</v>
      </c>
      <c r="F2403" s="626">
        <v>17430560</v>
      </c>
      <c r="G2403" s="626" t="s">
        <v>5465</v>
      </c>
      <c r="H2403" s="626" t="s">
        <v>5466</v>
      </c>
      <c r="I2403" s="626" t="s">
        <v>5439</v>
      </c>
      <c r="J2403" s="626" t="s">
        <v>5440</v>
      </c>
      <c r="K2403" s="626" t="s">
        <v>5467</v>
      </c>
      <c r="L2403" s="626" t="s">
        <v>5447</v>
      </c>
      <c r="M2403" s="643">
        <v>38500</v>
      </c>
      <c r="N2403" s="640" t="s">
        <v>5468</v>
      </c>
      <c r="O2403" s="683" t="s">
        <v>5326</v>
      </c>
      <c r="P2403" s="643">
        <v>31500</v>
      </c>
    </row>
    <row r="2404" spans="1:16" s="619" customFormat="1" ht="36" x14ac:dyDescent="0.2">
      <c r="A2404" s="626" t="s">
        <v>5317</v>
      </c>
      <c r="B2404" s="626" t="s">
        <v>1908</v>
      </c>
      <c r="C2404" s="626" t="s">
        <v>2015</v>
      </c>
      <c r="D2404" s="626" t="s">
        <v>5469</v>
      </c>
      <c r="E2404" s="651">
        <v>1200</v>
      </c>
      <c r="F2404" s="626">
        <v>33432521</v>
      </c>
      <c r="G2404" s="626" t="s">
        <v>5470</v>
      </c>
      <c r="H2404" s="626" t="s">
        <v>5471</v>
      </c>
      <c r="I2404" s="626" t="s">
        <v>5472</v>
      </c>
      <c r="J2404" s="626" t="s">
        <v>3587</v>
      </c>
      <c r="K2404" s="626" t="s">
        <v>1156</v>
      </c>
      <c r="L2404" s="626" t="s">
        <v>5473</v>
      </c>
      <c r="M2404" s="643">
        <f>E2404</f>
        <v>1200</v>
      </c>
      <c r="N2404" s="640" t="s">
        <v>1147</v>
      </c>
      <c r="O2404" s="683" t="s">
        <v>5474</v>
      </c>
      <c r="P2404" s="643">
        <f>E2404</f>
        <v>1200</v>
      </c>
    </row>
    <row r="2405" spans="1:16" s="619" customFormat="1" ht="36" x14ac:dyDescent="0.2">
      <c r="A2405" s="626" t="s">
        <v>5317</v>
      </c>
      <c r="B2405" s="626" t="s">
        <v>1908</v>
      </c>
      <c r="C2405" s="626" t="s">
        <v>2015</v>
      </c>
      <c r="D2405" s="626" t="s">
        <v>5469</v>
      </c>
      <c r="E2405" s="651">
        <v>1200</v>
      </c>
      <c r="F2405" s="626">
        <v>33408772</v>
      </c>
      <c r="G2405" s="626" t="s">
        <v>5369</v>
      </c>
      <c r="H2405" s="626" t="s">
        <v>5471</v>
      </c>
      <c r="I2405" s="626" t="s">
        <v>5472</v>
      </c>
      <c r="J2405" s="626" t="s">
        <v>3587</v>
      </c>
      <c r="K2405" s="626" t="s">
        <v>1147</v>
      </c>
      <c r="L2405" s="626" t="s">
        <v>5473</v>
      </c>
      <c r="M2405" s="643">
        <f t="shared" ref="M2405:M2457" si="13">E2405</f>
        <v>1200</v>
      </c>
      <c r="N2405" s="640" t="s">
        <v>1147</v>
      </c>
      <c r="O2405" s="683" t="s">
        <v>5474</v>
      </c>
      <c r="P2405" s="643">
        <f t="shared" ref="P2405:P2457" si="14">E2405</f>
        <v>1200</v>
      </c>
    </row>
    <row r="2406" spans="1:16" s="619" customFormat="1" ht="36" x14ac:dyDescent="0.2">
      <c r="A2406" s="626" t="s">
        <v>5317</v>
      </c>
      <c r="B2406" s="626" t="s">
        <v>1908</v>
      </c>
      <c r="C2406" s="626" t="s">
        <v>2015</v>
      </c>
      <c r="D2406" s="626" t="s">
        <v>5475</v>
      </c>
      <c r="E2406" s="651">
        <v>1400</v>
      </c>
      <c r="F2406" s="626">
        <v>44770674</v>
      </c>
      <c r="G2406" s="626" t="s">
        <v>5408</v>
      </c>
      <c r="H2406" s="626" t="s">
        <v>1982</v>
      </c>
      <c r="I2406" s="626" t="s">
        <v>5472</v>
      </c>
      <c r="J2406" s="626" t="s">
        <v>3587</v>
      </c>
      <c r="K2406" s="626" t="s">
        <v>1147</v>
      </c>
      <c r="L2406" s="626" t="s">
        <v>5473</v>
      </c>
      <c r="M2406" s="643">
        <f t="shared" si="13"/>
        <v>1400</v>
      </c>
      <c r="N2406" s="640" t="s">
        <v>1147</v>
      </c>
      <c r="O2406" s="683" t="s">
        <v>5474</v>
      </c>
      <c r="P2406" s="643">
        <f t="shared" si="14"/>
        <v>1400</v>
      </c>
    </row>
    <row r="2407" spans="1:16" s="619" customFormat="1" ht="36" x14ac:dyDescent="0.2">
      <c r="A2407" s="626" t="s">
        <v>5317</v>
      </c>
      <c r="B2407" s="626" t="s">
        <v>1908</v>
      </c>
      <c r="C2407" s="626" t="s">
        <v>2015</v>
      </c>
      <c r="D2407" s="626" t="s">
        <v>5335</v>
      </c>
      <c r="E2407" s="651">
        <v>1500</v>
      </c>
      <c r="F2407" s="626">
        <v>47754223</v>
      </c>
      <c r="G2407" s="626" t="s">
        <v>5378</v>
      </c>
      <c r="H2407" s="626" t="s">
        <v>5476</v>
      </c>
      <c r="I2407" s="626" t="s">
        <v>5472</v>
      </c>
      <c r="J2407" s="626" t="s">
        <v>3587</v>
      </c>
      <c r="K2407" s="626" t="s">
        <v>1147</v>
      </c>
      <c r="L2407" s="626" t="s">
        <v>5473</v>
      </c>
      <c r="M2407" s="643">
        <f t="shared" si="13"/>
        <v>1500</v>
      </c>
      <c r="N2407" s="640" t="s">
        <v>1147</v>
      </c>
      <c r="O2407" s="683" t="s">
        <v>5474</v>
      </c>
      <c r="P2407" s="643">
        <f t="shared" si="14"/>
        <v>1500</v>
      </c>
    </row>
    <row r="2408" spans="1:16" s="619" customFormat="1" ht="36" x14ac:dyDescent="0.2">
      <c r="A2408" s="626" t="s">
        <v>5317</v>
      </c>
      <c r="B2408" s="626" t="s">
        <v>1908</v>
      </c>
      <c r="C2408" s="626" t="s">
        <v>2015</v>
      </c>
      <c r="D2408" s="626" t="s">
        <v>3677</v>
      </c>
      <c r="E2408" s="651">
        <v>930</v>
      </c>
      <c r="F2408" s="626">
        <v>77920154</v>
      </c>
      <c r="G2408" s="626" t="s">
        <v>5477</v>
      </c>
      <c r="H2408" s="626" t="s">
        <v>1828</v>
      </c>
      <c r="I2408" s="626" t="s">
        <v>1919</v>
      </c>
      <c r="J2408" s="626" t="s">
        <v>1828</v>
      </c>
      <c r="K2408" s="626" t="s">
        <v>1147</v>
      </c>
      <c r="L2408" s="626" t="s">
        <v>5473</v>
      </c>
      <c r="M2408" s="643">
        <f t="shared" si="13"/>
        <v>930</v>
      </c>
      <c r="N2408" s="640" t="s">
        <v>1147</v>
      </c>
      <c r="O2408" s="683" t="s">
        <v>5474</v>
      </c>
      <c r="P2408" s="643">
        <f t="shared" si="14"/>
        <v>930</v>
      </c>
    </row>
    <row r="2409" spans="1:16" s="619" customFormat="1" ht="36" x14ac:dyDescent="0.2">
      <c r="A2409" s="626" t="s">
        <v>5317</v>
      </c>
      <c r="B2409" s="626" t="s">
        <v>1908</v>
      </c>
      <c r="C2409" s="626" t="s">
        <v>2015</v>
      </c>
      <c r="D2409" s="626" t="s">
        <v>5478</v>
      </c>
      <c r="E2409" s="651">
        <v>1400</v>
      </c>
      <c r="F2409" s="626">
        <v>47815037</v>
      </c>
      <c r="G2409" s="626" t="s">
        <v>5479</v>
      </c>
      <c r="H2409" s="626" t="s">
        <v>3079</v>
      </c>
      <c r="I2409" s="626" t="s">
        <v>5472</v>
      </c>
      <c r="J2409" s="626" t="s">
        <v>3587</v>
      </c>
      <c r="K2409" s="626" t="s">
        <v>1140</v>
      </c>
      <c r="L2409" s="626" t="s">
        <v>5473</v>
      </c>
      <c r="M2409" s="643">
        <f t="shared" si="13"/>
        <v>1400</v>
      </c>
      <c r="N2409" s="640" t="s">
        <v>1147</v>
      </c>
      <c r="O2409" s="683" t="s">
        <v>5474</v>
      </c>
      <c r="P2409" s="643">
        <f t="shared" si="14"/>
        <v>1400</v>
      </c>
    </row>
    <row r="2410" spans="1:16" s="619" customFormat="1" ht="36" x14ac:dyDescent="0.2">
      <c r="A2410" s="626" t="s">
        <v>5317</v>
      </c>
      <c r="B2410" s="626" t="s">
        <v>1908</v>
      </c>
      <c r="C2410" s="626" t="s">
        <v>2015</v>
      </c>
      <c r="D2410" s="626" t="s">
        <v>5480</v>
      </c>
      <c r="E2410" s="651">
        <v>1200</v>
      </c>
      <c r="F2410" s="626">
        <v>73300537</v>
      </c>
      <c r="G2410" s="626" t="s">
        <v>5481</v>
      </c>
      <c r="H2410" s="626" t="s">
        <v>5482</v>
      </c>
      <c r="I2410" s="626" t="s">
        <v>5472</v>
      </c>
      <c r="J2410" s="626" t="s">
        <v>3587</v>
      </c>
      <c r="K2410" s="626" t="s">
        <v>1140</v>
      </c>
      <c r="L2410" s="626" t="s">
        <v>5473</v>
      </c>
      <c r="M2410" s="643">
        <f t="shared" si="13"/>
        <v>1200</v>
      </c>
      <c r="N2410" s="640" t="s">
        <v>1147</v>
      </c>
      <c r="O2410" s="683" t="s">
        <v>5474</v>
      </c>
      <c r="P2410" s="643">
        <f t="shared" si="14"/>
        <v>1200</v>
      </c>
    </row>
    <row r="2411" spans="1:16" s="619" customFormat="1" ht="36" x14ac:dyDescent="0.2">
      <c r="A2411" s="626" t="s">
        <v>5317</v>
      </c>
      <c r="B2411" s="626" t="s">
        <v>1908</v>
      </c>
      <c r="C2411" s="626" t="s">
        <v>2015</v>
      </c>
      <c r="D2411" s="626" t="s">
        <v>5483</v>
      </c>
      <c r="E2411" s="651">
        <v>1100</v>
      </c>
      <c r="F2411" s="626">
        <v>71806726</v>
      </c>
      <c r="G2411" s="626" t="s">
        <v>5484</v>
      </c>
      <c r="H2411" s="626" t="s">
        <v>2055</v>
      </c>
      <c r="I2411" s="626" t="s">
        <v>5472</v>
      </c>
      <c r="J2411" s="626" t="s">
        <v>1931</v>
      </c>
      <c r="K2411" s="626" t="s">
        <v>5485</v>
      </c>
      <c r="L2411" s="626" t="s">
        <v>5473</v>
      </c>
      <c r="M2411" s="643">
        <f t="shared" si="13"/>
        <v>1100</v>
      </c>
      <c r="N2411" s="640" t="s">
        <v>1147</v>
      </c>
      <c r="O2411" s="683" t="s">
        <v>5474</v>
      </c>
      <c r="P2411" s="643">
        <f t="shared" si="14"/>
        <v>1100</v>
      </c>
    </row>
    <row r="2412" spans="1:16" s="619" customFormat="1" ht="36" x14ac:dyDescent="0.2">
      <c r="A2412" s="626" t="s">
        <v>5317</v>
      </c>
      <c r="B2412" s="626" t="s">
        <v>1908</v>
      </c>
      <c r="C2412" s="626" t="s">
        <v>2015</v>
      </c>
      <c r="D2412" s="626" t="s">
        <v>5486</v>
      </c>
      <c r="E2412" s="651">
        <v>930</v>
      </c>
      <c r="F2412" s="626">
        <v>10125833</v>
      </c>
      <c r="G2412" s="626" t="s">
        <v>5487</v>
      </c>
      <c r="H2412" s="626" t="s">
        <v>1828</v>
      </c>
      <c r="I2412" s="626" t="s">
        <v>1919</v>
      </c>
      <c r="J2412" s="626" t="s">
        <v>1828</v>
      </c>
      <c r="K2412" s="626" t="s">
        <v>1147</v>
      </c>
      <c r="L2412" s="626" t="s">
        <v>5473</v>
      </c>
      <c r="M2412" s="643">
        <f t="shared" si="13"/>
        <v>930</v>
      </c>
      <c r="N2412" s="640" t="s">
        <v>1147</v>
      </c>
      <c r="O2412" s="683" t="s">
        <v>5474</v>
      </c>
      <c r="P2412" s="643">
        <f t="shared" si="14"/>
        <v>930</v>
      </c>
    </row>
    <row r="2413" spans="1:16" s="619" customFormat="1" ht="36" x14ac:dyDescent="0.2">
      <c r="A2413" s="626" t="s">
        <v>5317</v>
      </c>
      <c r="B2413" s="626" t="s">
        <v>1908</v>
      </c>
      <c r="C2413" s="626" t="s">
        <v>2015</v>
      </c>
      <c r="D2413" s="626" t="s">
        <v>5488</v>
      </c>
      <c r="E2413" s="651">
        <v>1100</v>
      </c>
      <c r="F2413" s="626">
        <v>41079863</v>
      </c>
      <c r="G2413" s="626" t="s">
        <v>5489</v>
      </c>
      <c r="H2413" s="626" t="s">
        <v>4589</v>
      </c>
      <c r="I2413" s="626" t="s">
        <v>5472</v>
      </c>
      <c r="J2413" s="626" t="s">
        <v>1931</v>
      </c>
      <c r="K2413" s="626" t="s">
        <v>1147</v>
      </c>
      <c r="L2413" s="626" t="s">
        <v>5473</v>
      </c>
      <c r="M2413" s="643">
        <f t="shared" si="13"/>
        <v>1100</v>
      </c>
      <c r="N2413" s="640" t="s">
        <v>1147</v>
      </c>
      <c r="O2413" s="683" t="s">
        <v>5474</v>
      </c>
      <c r="P2413" s="643">
        <f t="shared" si="14"/>
        <v>1100</v>
      </c>
    </row>
    <row r="2414" spans="1:16" s="619" customFormat="1" ht="36" x14ac:dyDescent="0.2">
      <c r="A2414" s="626" t="s">
        <v>5317</v>
      </c>
      <c r="B2414" s="626" t="s">
        <v>1908</v>
      </c>
      <c r="C2414" s="626" t="s">
        <v>2015</v>
      </c>
      <c r="D2414" s="626" t="s">
        <v>5488</v>
      </c>
      <c r="E2414" s="651">
        <v>1100</v>
      </c>
      <c r="F2414" s="626">
        <v>71873953</v>
      </c>
      <c r="G2414" s="626" t="s">
        <v>5392</v>
      </c>
      <c r="H2414" s="626" t="s">
        <v>5490</v>
      </c>
      <c r="I2414" s="626" t="s">
        <v>5472</v>
      </c>
      <c r="J2414" s="626" t="s">
        <v>3523</v>
      </c>
      <c r="K2414" s="626" t="s">
        <v>1147</v>
      </c>
      <c r="L2414" s="626" t="s">
        <v>5473</v>
      </c>
      <c r="M2414" s="643">
        <f t="shared" si="13"/>
        <v>1100</v>
      </c>
      <c r="N2414" s="640" t="s">
        <v>1147</v>
      </c>
      <c r="O2414" s="683" t="s">
        <v>5474</v>
      </c>
      <c r="P2414" s="643">
        <f t="shared" si="14"/>
        <v>1100</v>
      </c>
    </row>
    <row r="2415" spans="1:16" s="619" customFormat="1" ht="48" x14ac:dyDescent="0.2">
      <c r="A2415" s="626" t="s">
        <v>5317</v>
      </c>
      <c r="B2415" s="626" t="s">
        <v>1908</v>
      </c>
      <c r="C2415" s="626" t="s">
        <v>2015</v>
      </c>
      <c r="D2415" s="626" t="s">
        <v>5488</v>
      </c>
      <c r="E2415" s="651">
        <v>1100</v>
      </c>
      <c r="F2415" s="626">
        <v>45835866</v>
      </c>
      <c r="G2415" s="626" t="s">
        <v>5491</v>
      </c>
      <c r="H2415" s="626" t="s">
        <v>5471</v>
      </c>
      <c r="I2415" s="626" t="s">
        <v>5472</v>
      </c>
      <c r="J2415" s="626" t="s">
        <v>3587</v>
      </c>
      <c r="K2415" s="626" t="s">
        <v>1147</v>
      </c>
      <c r="L2415" s="626" t="s">
        <v>5473</v>
      </c>
      <c r="M2415" s="643">
        <f t="shared" si="13"/>
        <v>1100</v>
      </c>
      <c r="N2415" s="640" t="s">
        <v>1147</v>
      </c>
      <c r="O2415" s="683" t="s">
        <v>5474</v>
      </c>
      <c r="P2415" s="643">
        <f t="shared" si="14"/>
        <v>1100</v>
      </c>
    </row>
    <row r="2416" spans="1:16" s="619" customFormat="1" ht="36" x14ac:dyDescent="0.2">
      <c r="A2416" s="626" t="s">
        <v>5317</v>
      </c>
      <c r="B2416" s="626" t="s">
        <v>1908</v>
      </c>
      <c r="C2416" s="626" t="s">
        <v>2015</v>
      </c>
      <c r="D2416" s="626" t="s">
        <v>5492</v>
      </c>
      <c r="E2416" s="651">
        <v>1100</v>
      </c>
      <c r="F2416" s="626">
        <v>40592154</v>
      </c>
      <c r="G2416" s="626" t="s">
        <v>5356</v>
      </c>
      <c r="H2416" s="626" t="s">
        <v>2177</v>
      </c>
      <c r="I2416" s="626" t="s">
        <v>5472</v>
      </c>
      <c r="J2416" s="626" t="s">
        <v>1931</v>
      </c>
      <c r="K2416" s="626" t="s">
        <v>1156</v>
      </c>
      <c r="L2416" s="626" t="s">
        <v>5473</v>
      </c>
      <c r="M2416" s="643">
        <f t="shared" si="13"/>
        <v>1100</v>
      </c>
      <c r="N2416" s="640" t="s">
        <v>1147</v>
      </c>
      <c r="O2416" s="683" t="s">
        <v>5474</v>
      </c>
      <c r="P2416" s="643">
        <f t="shared" si="14"/>
        <v>1100</v>
      </c>
    </row>
    <row r="2417" spans="1:16" s="619" customFormat="1" ht="48" x14ac:dyDescent="0.2">
      <c r="A2417" s="626" t="s">
        <v>5317</v>
      </c>
      <c r="B2417" s="626" t="s">
        <v>1908</v>
      </c>
      <c r="C2417" s="626" t="s">
        <v>2015</v>
      </c>
      <c r="D2417" s="626" t="s">
        <v>5493</v>
      </c>
      <c r="E2417" s="651">
        <v>1100</v>
      </c>
      <c r="F2417" s="626">
        <v>45911362</v>
      </c>
      <c r="G2417" s="626" t="s">
        <v>5494</v>
      </c>
      <c r="H2417" s="626" t="s">
        <v>5495</v>
      </c>
      <c r="I2417" s="626" t="s">
        <v>5472</v>
      </c>
      <c r="J2417" s="626" t="s">
        <v>3587</v>
      </c>
      <c r="K2417" s="626" t="s">
        <v>1156</v>
      </c>
      <c r="L2417" s="626" t="s">
        <v>5473</v>
      </c>
      <c r="M2417" s="643">
        <f t="shared" si="13"/>
        <v>1100</v>
      </c>
      <c r="N2417" s="640" t="s">
        <v>1147</v>
      </c>
      <c r="O2417" s="683" t="s">
        <v>5474</v>
      </c>
      <c r="P2417" s="643">
        <f t="shared" si="14"/>
        <v>1100</v>
      </c>
    </row>
    <row r="2418" spans="1:16" s="619" customFormat="1" ht="36" x14ac:dyDescent="0.2">
      <c r="A2418" s="626" t="s">
        <v>5317</v>
      </c>
      <c r="B2418" s="626" t="s">
        <v>1908</v>
      </c>
      <c r="C2418" s="626" t="s">
        <v>2015</v>
      </c>
      <c r="D2418" s="626" t="s">
        <v>5496</v>
      </c>
      <c r="E2418" s="651">
        <v>930</v>
      </c>
      <c r="F2418" s="626">
        <v>45605259</v>
      </c>
      <c r="G2418" s="626" t="s">
        <v>5497</v>
      </c>
      <c r="H2418" s="626" t="s">
        <v>4589</v>
      </c>
      <c r="I2418" s="626" t="s">
        <v>5472</v>
      </c>
      <c r="J2418" s="626" t="s">
        <v>1931</v>
      </c>
      <c r="K2418" s="626" t="s">
        <v>1147</v>
      </c>
      <c r="L2418" s="626" t="s">
        <v>5473</v>
      </c>
      <c r="M2418" s="643">
        <f t="shared" si="13"/>
        <v>930</v>
      </c>
      <c r="N2418" s="640" t="s">
        <v>1147</v>
      </c>
      <c r="O2418" s="683" t="s">
        <v>5474</v>
      </c>
      <c r="P2418" s="643">
        <f t="shared" si="14"/>
        <v>930</v>
      </c>
    </row>
    <row r="2419" spans="1:16" s="619" customFormat="1" ht="36" x14ac:dyDescent="0.2">
      <c r="A2419" s="626" t="s">
        <v>5317</v>
      </c>
      <c r="B2419" s="626" t="s">
        <v>1908</v>
      </c>
      <c r="C2419" s="626" t="s">
        <v>2015</v>
      </c>
      <c r="D2419" s="626" t="s">
        <v>5498</v>
      </c>
      <c r="E2419" s="651">
        <v>930</v>
      </c>
      <c r="F2419" s="626">
        <v>43914110</v>
      </c>
      <c r="G2419" s="626" t="s">
        <v>5499</v>
      </c>
      <c r="H2419" s="626" t="s">
        <v>4589</v>
      </c>
      <c r="I2419" s="626" t="s">
        <v>5472</v>
      </c>
      <c r="J2419" s="626" t="s">
        <v>1931</v>
      </c>
      <c r="K2419" s="626" t="s">
        <v>1147</v>
      </c>
      <c r="L2419" s="626" t="s">
        <v>5473</v>
      </c>
      <c r="M2419" s="643">
        <f t="shared" si="13"/>
        <v>930</v>
      </c>
      <c r="N2419" s="640" t="s">
        <v>1147</v>
      </c>
      <c r="O2419" s="683" t="s">
        <v>5474</v>
      </c>
      <c r="P2419" s="643">
        <f t="shared" si="14"/>
        <v>930</v>
      </c>
    </row>
    <row r="2420" spans="1:16" s="619" customFormat="1" ht="36" x14ac:dyDescent="0.2">
      <c r="A2420" s="626" t="s">
        <v>5317</v>
      </c>
      <c r="B2420" s="626" t="s">
        <v>1908</v>
      </c>
      <c r="C2420" s="626" t="s">
        <v>2015</v>
      </c>
      <c r="D2420" s="626" t="s">
        <v>5500</v>
      </c>
      <c r="E2420" s="651">
        <v>930</v>
      </c>
      <c r="F2420" s="626">
        <v>44483120</v>
      </c>
      <c r="G2420" s="626" t="s">
        <v>5501</v>
      </c>
      <c r="H2420" s="626" t="s">
        <v>4589</v>
      </c>
      <c r="I2420" s="626" t="s">
        <v>5472</v>
      </c>
      <c r="J2420" s="626" t="s">
        <v>1931</v>
      </c>
      <c r="K2420" s="626" t="s">
        <v>1156</v>
      </c>
      <c r="L2420" s="626" t="s">
        <v>5473</v>
      </c>
      <c r="M2420" s="643">
        <f t="shared" si="13"/>
        <v>930</v>
      </c>
      <c r="N2420" s="640" t="s">
        <v>1147</v>
      </c>
      <c r="O2420" s="683" t="s">
        <v>5474</v>
      </c>
      <c r="P2420" s="643">
        <f t="shared" si="14"/>
        <v>930</v>
      </c>
    </row>
    <row r="2421" spans="1:16" s="619" customFormat="1" ht="36" x14ac:dyDescent="0.2">
      <c r="A2421" s="626" t="s">
        <v>5317</v>
      </c>
      <c r="B2421" s="626" t="s">
        <v>1908</v>
      </c>
      <c r="C2421" s="626" t="s">
        <v>2015</v>
      </c>
      <c r="D2421" s="626" t="s">
        <v>5502</v>
      </c>
      <c r="E2421" s="651">
        <v>930</v>
      </c>
      <c r="F2421" s="626">
        <v>40115367</v>
      </c>
      <c r="G2421" s="626" t="s">
        <v>5503</v>
      </c>
      <c r="H2421" s="626" t="s">
        <v>1828</v>
      </c>
      <c r="I2421" s="626" t="s">
        <v>1919</v>
      </c>
      <c r="J2421" s="626" t="s">
        <v>1828</v>
      </c>
      <c r="K2421" s="626" t="s">
        <v>1140</v>
      </c>
      <c r="L2421" s="626" t="s">
        <v>5473</v>
      </c>
      <c r="M2421" s="643">
        <f t="shared" si="13"/>
        <v>930</v>
      </c>
      <c r="N2421" s="640" t="s">
        <v>1147</v>
      </c>
      <c r="O2421" s="683" t="s">
        <v>5474</v>
      </c>
      <c r="P2421" s="643">
        <f t="shared" si="14"/>
        <v>930</v>
      </c>
    </row>
    <row r="2422" spans="1:16" s="619" customFormat="1" ht="36" x14ac:dyDescent="0.2">
      <c r="A2422" s="626" t="s">
        <v>5317</v>
      </c>
      <c r="B2422" s="626" t="s">
        <v>1908</v>
      </c>
      <c r="C2422" s="626" t="s">
        <v>2015</v>
      </c>
      <c r="D2422" s="626" t="s">
        <v>5504</v>
      </c>
      <c r="E2422" s="651">
        <v>1000</v>
      </c>
      <c r="F2422" s="626"/>
      <c r="G2422" s="626" t="s">
        <v>5505</v>
      </c>
      <c r="H2422" s="626" t="s">
        <v>2177</v>
      </c>
      <c r="I2422" s="626" t="s">
        <v>5472</v>
      </c>
      <c r="J2422" s="626" t="s">
        <v>1931</v>
      </c>
      <c r="K2422" s="626" t="s">
        <v>1147</v>
      </c>
      <c r="L2422" s="626" t="s">
        <v>5473</v>
      </c>
      <c r="M2422" s="643">
        <f t="shared" si="13"/>
        <v>1000</v>
      </c>
      <c r="N2422" s="640" t="s">
        <v>1147</v>
      </c>
      <c r="O2422" s="683" t="s">
        <v>5474</v>
      </c>
      <c r="P2422" s="643">
        <f t="shared" si="14"/>
        <v>1000</v>
      </c>
    </row>
    <row r="2423" spans="1:16" s="619" customFormat="1" ht="36" x14ac:dyDescent="0.2">
      <c r="A2423" s="626" t="s">
        <v>5317</v>
      </c>
      <c r="B2423" s="626" t="s">
        <v>1908</v>
      </c>
      <c r="C2423" s="626" t="s">
        <v>2015</v>
      </c>
      <c r="D2423" s="626" t="s">
        <v>5506</v>
      </c>
      <c r="E2423" s="651">
        <v>1100</v>
      </c>
      <c r="F2423" s="626">
        <v>70443310</v>
      </c>
      <c r="G2423" s="626" t="s">
        <v>5507</v>
      </c>
      <c r="H2423" s="626" t="s">
        <v>5508</v>
      </c>
      <c r="I2423" s="626" t="s">
        <v>5472</v>
      </c>
      <c r="J2423" s="626" t="s">
        <v>5509</v>
      </c>
      <c r="K2423" s="626" t="s">
        <v>1147</v>
      </c>
      <c r="L2423" s="626" t="s">
        <v>5473</v>
      </c>
      <c r="M2423" s="643">
        <f t="shared" si="13"/>
        <v>1100</v>
      </c>
      <c r="N2423" s="640" t="s">
        <v>1147</v>
      </c>
      <c r="O2423" s="683" t="s">
        <v>5474</v>
      </c>
      <c r="P2423" s="643">
        <f t="shared" si="14"/>
        <v>1100</v>
      </c>
    </row>
    <row r="2424" spans="1:16" s="619" customFormat="1" ht="36" x14ac:dyDescent="0.2">
      <c r="A2424" s="626" t="s">
        <v>5317</v>
      </c>
      <c r="B2424" s="626" t="s">
        <v>1908</v>
      </c>
      <c r="C2424" s="626" t="s">
        <v>2015</v>
      </c>
      <c r="D2424" s="626" t="s">
        <v>5510</v>
      </c>
      <c r="E2424" s="651">
        <v>930</v>
      </c>
      <c r="F2424" s="626">
        <v>72309582</v>
      </c>
      <c r="G2424" s="626" t="s">
        <v>5511</v>
      </c>
      <c r="H2424" s="626" t="s">
        <v>4589</v>
      </c>
      <c r="I2424" s="626" t="s">
        <v>5472</v>
      </c>
      <c r="J2424" s="626" t="s">
        <v>1931</v>
      </c>
      <c r="K2424" s="626" t="s">
        <v>1147</v>
      </c>
      <c r="L2424" s="626" t="s">
        <v>5473</v>
      </c>
      <c r="M2424" s="643">
        <f t="shared" si="13"/>
        <v>930</v>
      </c>
      <c r="N2424" s="640" t="s">
        <v>1147</v>
      </c>
      <c r="O2424" s="683" t="s">
        <v>5474</v>
      </c>
      <c r="P2424" s="643">
        <f t="shared" si="14"/>
        <v>930</v>
      </c>
    </row>
    <row r="2425" spans="1:16" s="619" customFormat="1" ht="36" x14ac:dyDescent="0.2">
      <c r="A2425" s="626" t="s">
        <v>5317</v>
      </c>
      <c r="B2425" s="626" t="s">
        <v>1908</v>
      </c>
      <c r="C2425" s="626" t="s">
        <v>2015</v>
      </c>
      <c r="D2425" s="626" t="s">
        <v>5512</v>
      </c>
      <c r="E2425" s="651">
        <v>930</v>
      </c>
      <c r="F2425" s="626">
        <v>75076194</v>
      </c>
      <c r="G2425" s="626" t="s">
        <v>5513</v>
      </c>
      <c r="H2425" s="626" t="s">
        <v>4589</v>
      </c>
      <c r="I2425" s="626" t="s">
        <v>5472</v>
      </c>
      <c r="J2425" s="626" t="s">
        <v>1931</v>
      </c>
      <c r="K2425" s="626" t="s">
        <v>1147</v>
      </c>
      <c r="L2425" s="626" t="s">
        <v>5473</v>
      </c>
      <c r="M2425" s="643">
        <f t="shared" si="13"/>
        <v>930</v>
      </c>
      <c r="N2425" s="640" t="s">
        <v>1147</v>
      </c>
      <c r="O2425" s="683" t="s">
        <v>5474</v>
      </c>
      <c r="P2425" s="643">
        <f t="shared" si="14"/>
        <v>930</v>
      </c>
    </row>
    <row r="2426" spans="1:16" s="619" customFormat="1" ht="36" x14ac:dyDescent="0.2">
      <c r="A2426" s="626" t="s">
        <v>5317</v>
      </c>
      <c r="B2426" s="626" t="s">
        <v>1908</v>
      </c>
      <c r="C2426" s="626" t="s">
        <v>2015</v>
      </c>
      <c r="D2426" s="626" t="s">
        <v>5514</v>
      </c>
      <c r="E2426" s="651">
        <v>930</v>
      </c>
      <c r="F2426" s="626">
        <v>33425823</v>
      </c>
      <c r="G2426" s="626" t="s">
        <v>4852</v>
      </c>
      <c r="H2426" s="626" t="s">
        <v>1828</v>
      </c>
      <c r="I2426" s="626" t="s">
        <v>1919</v>
      </c>
      <c r="J2426" s="626" t="s">
        <v>1828</v>
      </c>
      <c r="K2426" s="626" t="s">
        <v>1156</v>
      </c>
      <c r="L2426" s="626" t="s">
        <v>5473</v>
      </c>
      <c r="M2426" s="643">
        <f t="shared" si="13"/>
        <v>930</v>
      </c>
      <c r="N2426" s="640" t="s">
        <v>1147</v>
      </c>
      <c r="O2426" s="683" t="s">
        <v>5474</v>
      </c>
      <c r="P2426" s="643">
        <f t="shared" si="14"/>
        <v>930</v>
      </c>
    </row>
    <row r="2427" spans="1:16" s="619" customFormat="1" ht="48" x14ac:dyDescent="0.2">
      <c r="A2427" s="626" t="s">
        <v>5317</v>
      </c>
      <c r="B2427" s="626" t="s">
        <v>1908</v>
      </c>
      <c r="C2427" s="626" t="s">
        <v>2015</v>
      </c>
      <c r="D2427" s="626" t="s">
        <v>5515</v>
      </c>
      <c r="E2427" s="651">
        <v>930</v>
      </c>
      <c r="F2427" s="626">
        <v>33813151</v>
      </c>
      <c r="G2427" s="626" t="s">
        <v>5516</v>
      </c>
      <c r="H2427" s="626" t="s">
        <v>4589</v>
      </c>
      <c r="I2427" s="626" t="s">
        <v>5472</v>
      </c>
      <c r="J2427" s="626" t="s">
        <v>1931</v>
      </c>
      <c r="K2427" s="626" t="s">
        <v>1147</v>
      </c>
      <c r="L2427" s="626" t="s">
        <v>5473</v>
      </c>
      <c r="M2427" s="643">
        <f t="shared" si="13"/>
        <v>930</v>
      </c>
      <c r="N2427" s="640" t="s">
        <v>1147</v>
      </c>
      <c r="O2427" s="683" t="s">
        <v>5474</v>
      </c>
      <c r="P2427" s="643">
        <f t="shared" si="14"/>
        <v>930</v>
      </c>
    </row>
    <row r="2428" spans="1:16" s="619" customFormat="1" ht="36" x14ac:dyDescent="0.2">
      <c r="A2428" s="626" t="s">
        <v>5317</v>
      </c>
      <c r="B2428" s="626" t="s">
        <v>1908</v>
      </c>
      <c r="C2428" s="626" t="s">
        <v>2015</v>
      </c>
      <c r="D2428" s="626" t="s">
        <v>5517</v>
      </c>
      <c r="E2428" s="651">
        <v>930</v>
      </c>
      <c r="F2428" s="626">
        <v>33804281</v>
      </c>
      <c r="G2428" s="626" t="s">
        <v>5518</v>
      </c>
      <c r="H2428" s="626" t="s">
        <v>1828</v>
      </c>
      <c r="I2428" s="626" t="s">
        <v>1919</v>
      </c>
      <c r="J2428" s="626" t="s">
        <v>1828</v>
      </c>
      <c r="K2428" s="626" t="s">
        <v>1140</v>
      </c>
      <c r="L2428" s="626" t="s">
        <v>5473</v>
      </c>
      <c r="M2428" s="643">
        <f t="shared" si="13"/>
        <v>930</v>
      </c>
      <c r="N2428" s="640" t="s">
        <v>1147</v>
      </c>
      <c r="O2428" s="683" t="s">
        <v>5474</v>
      </c>
      <c r="P2428" s="643">
        <f t="shared" si="14"/>
        <v>930</v>
      </c>
    </row>
    <row r="2429" spans="1:16" s="619" customFormat="1" ht="36" x14ac:dyDescent="0.2">
      <c r="A2429" s="626" t="s">
        <v>5317</v>
      </c>
      <c r="B2429" s="626" t="s">
        <v>1908</v>
      </c>
      <c r="C2429" s="626" t="s">
        <v>2015</v>
      </c>
      <c r="D2429" s="626" t="s">
        <v>5519</v>
      </c>
      <c r="E2429" s="651">
        <v>1100</v>
      </c>
      <c r="F2429" s="626"/>
      <c r="G2429" s="626" t="s">
        <v>5520</v>
      </c>
      <c r="H2429" s="626" t="s">
        <v>5476</v>
      </c>
      <c r="I2429" s="626" t="s">
        <v>5472</v>
      </c>
      <c r="J2429" s="626" t="s">
        <v>3594</v>
      </c>
      <c r="K2429" s="626" t="s">
        <v>1140</v>
      </c>
      <c r="L2429" s="626" t="s">
        <v>5473</v>
      </c>
      <c r="M2429" s="643">
        <f t="shared" si="13"/>
        <v>1100</v>
      </c>
      <c r="N2429" s="640" t="s">
        <v>1147</v>
      </c>
      <c r="O2429" s="683" t="s">
        <v>5474</v>
      </c>
      <c r="P2429" s="643">
        <f t="shared" si="14"/>
        <v>1100</v>
      </c>
    </row>
    <row r="2430" spans="1:16" s="619" customFormat="1" ht="36" x14ac:dyDescent="0.2">
      <c r="A2430" s="626" t="s">
        <v>5317</v>
      </c>
      <c r="B2430" s="626" t="s">
        <v>1908</v>
      </c>
      <c r="C2430" s="626" t="s">
        <v>2015</v>
      </c>
      <c r="D2430" s="626" t="s">
        <v>5521</v>
      </c>
      <c r="E2430" s="651">
        <v>1100</v>
      </c>
      <c r="F2430" s="626">
        <v>25814131</v>
      </c>
      <c r="G2430" s="626" t="s">
        <v>5340</v>
      </c>
      <c r="H2430" s="626" t="s">
        <v>1828</v>
      </c>
      <c r="I2430" s="626" t="s">
        <v>1919</v>
      </c>
      <c r="J2430" s="626"/>
      <c r="K2430" s="626" t="s">
        <v>1140</v>
      </c>
      <c r="L2430" s="626" t="s">
        <v>5473</v>
      </c>
      <c r="M2430" s="643">
        <f t="shared" si="13"/>
        <v>1100</v>
      </c>
      <c r="N2430" s="640" t="s">
        <v>1147</v>
      </c>
      <c r="O2430" s="683" t="s">
        <v>5474</v>
      </c>
      <c r="P2430" s="643">
        <f t="shared" si="14"/>
        <v>1100</v>
      </c>
    </row>
    <row r="2431" spans="1:16" s="619" customFormat="1" ht="48" x14ac:dyDescent="0.2">
      <c r="A2431" s="626" t="s">
        <v>5317</v>
      </c>
      <c r="B2431" s="626" t="s">
        <v>1908</v>
      </c>
      <c r="C2431" s="626" t="s">
        <v>2015</v>
      </c>
      <c r="D2431" s="626" t="s">
        <v>5522</v>
      </c>
      <c r="E2431" s="651">
        <v>1400</v>
      </c>
      <c r="F2431" s="626">
        <v>70080541</v>
      </c>
      <c r="G2431" s="626" t="s">
        <v>5523</v>
      </c>
      <c r="H2431" s="626" t="s">
        <v>5524</v>
      </c>
      <c r="I2431" s="626" t="s">
        <v>5472</v>
      </c>
      <c r="J2431" s="626" t="s">
        <v>3523</v>
      </c>
      <c r="K2431" s="626" t="s">
        <v>1140</v>
      </c>
      <c r="L2431" s="626" t="s">
        <v>5473</v>
      </c>
      <c r="M2431" s="643">
        <f t="shared" si="13"/>
        <v>1400</v>
      </c>
      <c r="N2431" s="640" t="s">
        <v>1147</v>
      </c>
      <c r="O2431" s="683" t="s">
        <v>5474</v>
      </c>
      <c r="P2431" s="643">
        <f t="shared" si="14"/>
        <v>1400</v>
      </c>
    </row>
    <row r="2432" spans="1:16" s="619" customFormat="1" ht="48" x14ac:dyDescent="0.2">
      <c r="A2432" s="626" t="s">
        <v>5317</v>
      </c>
      <c r="B2432" s="626" t="s">
        <v>1908</v>
      </c>
      <c r="C2432" s="626" t="s">
        <v>2015</v>
      </c>
      <c r="D2432" s="626" t="s">
        <v>5525</v>
      </c>
      <c r="E2432" s="651">
        <v>465</v>
      </c>
      <c r="F2432" s="626">
        <v>71817937</v>
      </c>
      <c r="G2432" s="626" t="s">
        <v>5526</v>
      </c>
      <c r="H2432" s="626" t="s">
        <v>1828</v>
      </c>
      <c r="I2432" s="626" t="s">
        <v>1919</v>
      </c>
      <c r="J2432" s="626" t="s">
        <v>1828</v>
      </c>
      <c r="K2432" s="626" t="s">
        <v>1140</v>
      </c>
      <c r="L2432" s="626" t="s">
        <v>5473</v>
      </c>
      <c r="M2432" s="643">
        <f t="shared" si="13"/>
        <v>465</v>
      </c>
      <c r="N2432" s="640" t="s">
        <v>1147</v>
      </c>
      <c r="O2432" s="683" t="s">
        <v>5474</v>
      </c>
      <c r="P2432" s="643">
        <f t="shared" si="14"/>
        <v>465</v>
      </c>
    </row>
    <row r="2433" spans="1:16" s="619" customFormat="1" ht="36" x14ac:dyDescent="0.2">
      <c r="A2433" s="626" t="s">
        <v>5317</v>
      </c>
      <c r="B2433" s="626" t="s">
        <v>1908</v>
      </c>
      <c r="C2433" s="626" t="s">
        <v>2015</v>
      </c>
      <c r="D2433" s="626" t="s">
        <v>5527</v>
      </c>
      <c r="E2433" s="651">
        <v>1300</v>
      </c>
      <c r="F2433" s="626">
        <v>44582924</v>
      </c>
      <c r="G2433" s="626" t="s">
        <v>5528</v>
      </c>
      <c r="H2433" s="626" t="s">
        <v>1828</v>
      </c>
      <c r="I2433" s="626" t="s">
        <v>1919</v>
      </c>
      <c r="J2433" s="626" t="s">
        <v>1828</v>
      </c>
      <c r="K2433" s="626" t="s">
        <v>1140</v>
      </c>
      <c r="L2433" s="626" t="s">
        <v>5473</v>
      </c>
      <c r="M2433" s="643">
        <f t="shared" si="13"/>
        <v>1300</v>
      </c>
      <c r="N2433" s="640" t="s">
        <v>1147</v>
      </c>
      <c r="O2433" s="683" t="s">
        <v>5474</v>
      </c>
      <c r="P2433" s="643">
        <f t="shared" si="14"/>
        <v>1300</v>
      </c>
    </row>
    <row r="2434" spans="1:16" s="619" customFormat="1" ht="36" x14ac:dyDescent="0.2">
      <c r="A2434" s="626" t="s">
        <v>5317</v>
      </c>
      <c r="B2434" s="626" t="s">
        <v>1908</v>
      </c>
      <c r="C2434" s="626" t="s">
        <v>2015</v>
      </c>
      <c r="D2434" s="626" t="s">
        <v>5529</v>
      </c>
      <c r="E2434" s="651">
        <v>879</v>
      </c>
      <c r="F2434" s="626">
        <v>33811343</v>
      </c>
      <c r="G2434" s="626" t="s">
        <v>5530</v>
      </c>
      <c r="H2434" s="626" t="s">
        <v>2177</v>
      </c>
      <c r="I2434" s="626" t="s">
        <v>5472</v>
      </c>
      <c r="J2434" s="626" t="s">
        <v>1931</v>
      </c>
      <c r="K2434" s="626" t="s">
        <v>1140</v>
      </c>
      <c r="L2434" s="626" t="s">
        <v>5473</v>
      </c>
      <c r="M2434" s="643">
        <f t="shared" si="13"/>
        <v>879</v>
      </c>
      <c r="N2434" s="640" t="s">
        <v>1147</v>
      </c>
      <c r="O2434" s="683" t="s">
        <v>5474</v>
      </c>
      <c r="P2434" s="643">
        <f t="shared" si="14"/>
        <v>879</v>
      </c>
    </row>
    <row r="2435" spans="1:16" s="619" customFormat="1" ht="36" x14ac:dyDescent="0.2">
      <c r="A2435" s="626" t="s">
        <v>5317</v>
      </c>
      <c r="B2435" s="626" t="s">
        <v>1908</v>
      </c>
      <c r="C2435" s="626" t="s">
        <v>2015</v>
      </c>
      <c r="D2435" s="626" t="s">
        <v>5531</v>
      </c>
      <c r="E2435" s="651">
        <v>879</v>
      </c>
      <c r="F2435" s="626">
        <v>46928606</v>
      </c>
      <c r="G2435" s="626" t="s">
        <v>5532</v>
      </c>
      <c r="H2435" s="626" t="s">
        <v>2946</v>
      </c>
      <c r="I2435" s="626" t="s">
        <v>5472</v>
      </c>
      <c r="J2435" s="626" t="s">
        <v>3523</v>
      </c>
      <c r="K2435" s="626" t="s">
        <v>1140</v>
      </c>
      <c r="L2435" s="626" t="s">
        <v>5473</v>
      </c>
      <c r="M2435" s="643">
        <f t="shared" si="13"/>
        <v>879</v>
      </c>
      <c r="N2435" s="640" t="s">
        <v>1147</v>
      </c>
      <c r="O2435" s="683" t="s">
        <v>5474</v>
      </c>
      <c r="P2435" s="643">
        <f t="shared" si="14"/>
        <v>879</v>
      </c>
    </row>
    <row r="2436" spans="1:16" s="619" customFormat="1" ht="36" x14ac:dyDescent="0.2">
      <c r="A2436" s="626" t="s">
        <v>5317</v>
      </c>
      <c r="B2436" s="626" t="s">
        <v>1908</v>
      </c>
      <c r="C2436" s="626" t="s">
        <v>2015</v>
      </c>
      <c r="D2436" s="626" t="s">
        <v>5533</v>
      </c>
      <c r="E2436" s="651">
        <v>930</v>
      </c>
      <c r="F2436" s="626">
        <v>71435264</v>
      </c>
      <c r="G2436" s="626" t="s">
        <v>5534</v>
      </c>
      <c r="H2436" s="626" t="s">
        <v>5535</v>
      </c>
      <c r="I2436" s="626" t="s">
        <v>5535</v>
      </c>
      <c r="J2436" s="626" t="s">
        <v>1828</v>
      </c>
      <c r="K2436" s="626" t="s">
        <v>1140</v>
      </c>
      <c r="L2436" s="626" t="s">
        <v>5473</v>
      </c>
      <c r="M2436" s="643">
        <f t="shared" si="13"/>
        <v>930</v>
      </c>
      <c r="N2436" s="640" t="s">
        <v>1140</v>
      </c>
      <c r="O2436" s="683" t="s">
        <v>5474</v>
      </c>
      <c r="P2436" s="643">
        <f t="shared" si="14"/>
        <v>930</v>
      </c>
    </row>
    <row r="2437" spans="1:16" s="619" customFormat="1" ht="36" x14ac:dyDescent="0.2">
      <c r="A2437" s="626" t="s">
        <v>5317</v>
      </c>
      <c r="B2437" s="626" t="s">
        <v>1908</v>
      </c>
      <c r="C2437" s="626" t="s">
        <v>2015</v>
      </c>
      <c r="D2437" s="626" t="s">
        <v>5536</v>
      </c>
      <c r="E2437" s="651">
        <v>1150</v>
      </c>
      <c r="F2437" s="626">
        <v>41782351</v>
      </c>
      <c r="G2437" s="626" t="s">
        <v>5537</v>
      </c>
      <c r="H2437" s="626" t="s">
        <v>1828</v>
      </c>
      <c r="I2437" s="626" t="s">
        <v>1919</v>
      </c>
      <c r="J2437" s="626" t="s">
        <v>1828</v>
      </c>
      <c r="K2437" s="626" t="s">
        <v>1140</v>
      </c>
      <c r="L2437" s="626" t="s">
        <v>5473</v>
      </c>
      <c r="M2437" s="643">
        <f t="shared" si="13"/>
        <v>1150</v>
      </c>
      <c r="N2437" s="640" t="s">
        <v>1140</v>
      </c>
      <c r="O2437" s="683" t="s">
        <v>5474</v>
      </c>
      <c r="P2437" s="643">
        <f t="shared" si="14"/>
        <v>1150</v>
      </c>
    </row>
    <row r="2438" spans="1:16" s="619" customFormat="1" ht="36" x14ac:dyDescent="0.2">
      <c r="A2438" s="626" t="s">
        <v>5317</v>
      </c>
      <c r="B2438" s="626" t="s">
        <v>1908</v>
      </c>
      <c r="C2438" s="626" t="s">
        <v>2015</v>
      </c>
      <c r="D2438" s="626" t="s">
        <v>5538</v>
      </c>
      <c r="E2438" s="651">
        <v>1150</v>
      </c>
      <c r="F2438" s="626">
        <v>42976053</v>
      </c>
      <c r="G2438" s="626" t="s">
        <v>5539</v>
      </c>
      <c r="H2438" s="626" t="s">
        <v>1828</v>
      </c>
      <c r="I2438" s="626" t="s">
        <v>1919</v>
      </c>
      <c r="J2438" s="626" t="s">
        <v>1828</v>
      </c>
      <c r="K2438" s="626" t="s">
        <v>1140</v>
      </c>
      <c r="L2438" s="626" t="s">
        <v>5473</v>
      </c>
      <c r="M2438" s="643">
        <f t="shared" si="13"/>
        <v>1150</v>
      </c>
      <c r="N2438" s="640" t="s">
        <v>1140</v>
      </c>
      <c r="O2438" s="683" t="s">
        <v>5474</v>
      </c>
      <c r="P2438" s="643">
        <f t="shared" si="14"/>
        <v>1150</v>
      </c>
    </row>
    <row r="2439" spans="1:16" s="619" customFormat="1" ht="36" x14ac:dyDescent="0.2">
      <c r="A2439" s="626" t="s">
        <v>5317</v>
      </c>
      <c r="B2439" s="626" t="s">
        <v>1908</v>
      </c>
      <c r="C2439" s="626" t="s">
        <v>2015</v>
      </c>
      <c r="D2439" s="626" t="s">
        <v>3583</v>
      </c>
      <c r="E2439" s="651">
        <v>1500</v>
      </c>
      <c r="F2439" s="626">
        <v>43277030</v>
      </c>
      <c r="G2439" s="626" t="s">
        <v>5540</v>
      </c>
      <c r="H2439" s="626" t="s">
        <v>5490</v>
      </c>
      <c r="I2439" s="626" t="s">
        <v>5472</v>
      </c>
      <c r="J2439" s="626" t="s">
        <v>3523</v>
      </c>
      <c r="K2439" s="626" t="s">
        <v>1142</v>
      </c>
      <c r="L2439" s="626" t="s">
        <v>5473</v>
      </c>
      <c r="M2439" s="643">
        <f t="shared" si="13"/>
        <v>1500</v>
      </c>
      <c r="N2439" s="640" t="s">
        <v>1142</v>
      </c>
      <c r="O2439" s="683" t="s">
        <v>5474</v>
      </c>
      <c r="P2439" s="643">
        <f t="shared" si="14"/>
        <v>1500</v>
      </c>
    </row>
    <row r="2440" spans="1:16" s="619" customFormat="1" ht="36" x14ac:dyDescent="0.2">
      <c r="A2440" s="626" t="s">
        <v>5317</v>
      </c>
      <c r="B2440" s="626" t="s">
        <v>1908</v>
      </c>
      <c r="C2440" s="626" t="s">
        <v>2015</v>
      </c>
      <c r="D2440" s="626" t="s">
        <v>3677</v>
      </c>
      <c r="E2440" s="651">
        <v>400</v>
      </c>
      <c r="F2440" s="626">
        <v>43963950</v>
      </c>
      <c r="G2440" s="626" t="s">
        <v>5541</v>
      </c>
      <c r="H2440" s="626" t="s">
        <v>1828</v>
      </c>
      <c r="I2440" s="626" t="s">
        <v>1919</v>
      </c>
      <c r="J2440" s="626" t="s">
        <v>1828</v>
      </c>
      <c r="K2440" s="626" t="s">
        <v>1156</v>
      </c>
      <c r="L2440" s="626" t="s">
        <v>5473</v>
      </c>
      <c r="M2440" s="643">
        <f t="shared" si="13"/>
        <v>400</v>
      </c>
      <c r="N2440" s="640" t="s">
        <v>5474</v>
      </c>
      <c r="O2440" s="683" t="s">
        <v>5474</v>
      </c>
      <c r="P2440" s="643">
        <f t="shared" si="14"/>
        <v>400</v>
      </c>
    </row>
    <row r="2441" spans="1:16" s="619" customFormat="1" ht="36" x14ac:dyDescent="0.2">
      <c r="A2441" s="626" t="s">
        <v>5317</v>
      </c>
      <c r="B2441" s="626" t="s">
        <v>1908</v>
      </c>
      <c r="C2441" s="626" t="s">
        <v>2015</v>
      </c>
      <c r="D2441" s="626" t="s">
        <v>3545</v>
      </c>
      <c r="E2441" s="651">
        <v>930</v>
      </c>
      <c r="F2441" s="626">
        <v>46107256</v>
      </c>
      <c r="G2441" s="626" t="s">
        <v>2576</v>
      </c>
      <c r="H2441" s="626" t="s">
        <v>1828</v>
      </c>
      <c r="I2441" s="626" t="s">
        <v>1919</v>
      </c>
      <c r="J2441" s="626" t="s">
        <v>1828</v>
      </c>
      <c r="K2441" s="626" t="s">
        <v>1156</v>
      </c>
      <c r="L2441" s="626" t="s">
        <v>5473</v>
      </c>
      <c r="M2441" s="643">
        <f t="shared" si="13"/>
        <v>930</v>
      </c>
      <c r="N2441" s="640" t="s">
        <v>5474</v>
      </c>
      <c r="O2441" s="683" t="s">
        <v>5474</v>
      </c>
      <c r="P2441" s="643">
        <f t="shared" si="14"/>
        <v>930</v>
      </c>
    </row>
    <row r="2442" spans="1:16" s="619" customFormat="1" ht="36" x14ac:dyDescent="0.2">
      <c r="A2442" s="626" t="s">
        <v>5317</v>
      </c>
      <c r="B2442" s="626" t="s">
        <v>1908</v>
      </c>
      <c r="C2442" s="626" t="s">
        <v>2015</v>
      </c>
      <c r="D2442" s="626" t="s">
        <v>3545</v>
      </c>
      <c r="E2442" s="651">
        <v>586.6</v>
      </c>
      <c r="F2442" s="626">
        <v>46400811</v>
      </c>
      <c r="G2442" s="626" t="s">
        <v>5542</v>
      </c>
      <c r="H2442" s="626" t="s">
        <v>1828</v>
      </c>
      <c r="I2442" s="626" t="s">
        <v>1919</v>
      </c>
      <c r="J2442" s="626" t="s">
        <v>1828</v>
      </c>
      <c r="K2442" s="626" t="s">
        <v>1147</v>
      </c>
      <c r="L2442" s="626" t="s">
        <v>5473</v>
      </c>
      <c r="M2442" s="643">
        <f t="shared" si="13"/>
        <v>586.6</v>
      </c>
      <c r="N2442" s="640" t="s">
        <v>5474</v>
      </c>
      <c r="O2442" s="683" t="s">
        <v>5474</v>
      </c>
      <c r="P2442" s="643">
        <f t="shared" si="14"/>
        <v>586.6</v>
      </c>
    </row>
    <row r="2443" spans="1:16" s="619" customFormat="1" ht="36" x14ac:dyDescent="0.2">
      <c r="A2443" s="626" t="s">
        <v>5317</v>
      </c>
      <c r="B2443" s="626" t="s">
        <v>1908</v>
      </c>
      <c r="C2443" s="626" t="s">
        <v>2015</v>
      </c>
      <c r="D2443" s="626" t="s">
        <v>3583</v>
      </c>
      <c r="E2443" s="651">
        <v>1200</v>
      </c>
      <c r="F2443" s="626">
        <v>43159536</v>
      </c>
      <c r="G2443" s="626" t="s">
        <v>5543</v>
      </c>
      <c r="H2443" s="626" t="s">
        <v>2165</v>
      </c>
      <c r="I2443" s="626" t="s">
        <v>5472</v>
      </c>
      <c r="J2443" s="626" t="s">
        <v>3523</v>
      </c>
      <c r="K2443" s="626" t="s">
        <v>1147</v>
      </c>
      <c r="L2443" s="626" t="s">
        <v>5473</v>
      </c>
      <c r="M2443" s="643">
        <f t="shared" si="13"/>
        <v>1200</v>
      </c>
      <c r="N2443" s="640" t="s">
        <v>5474</v>
      </c>
      <c r="O2443" s="683" t="s">
        <v>5474</v>
      </c>
      <c r="P2443" s="643">
        <f t="shared" si="14"/>
        <v>1200</v>
      </c>
    </row>
    <row r="2444" spans="1:16" s="619" customFormat="1" ht="48" x14ac:dyDescent="0.2">
      <c r="A2444" s="626" t="s">
        <v>5317</v>
      </c>
      <c r="B2444" s="626" t="s">
        <v>1908</v>
      </c>
      <c r="C2444" s="626" t="s">
        <v>2015</v>
      </c>
      <c r="D2444" s="626" t="s">
        <v>3545</v>
      </c>
      <c r="E2444" s="651">
        <v>680</v>
      </c>
      <c r="F2444" s="626">
        <v>46894289</v>
      </c>
      <c r="G2444" s="626" t="s">
        <v>5544</v>
      </c>
      <c r="H2444" s="626" t="s">
        <v>1828</v>
      </c>
      <c r="I2444" s="626" t="s">
        <v>1919</v>
      </c>
      <c r="J2444" s="626" t="s">
        <v>1828</v>
      </c>
      <c r="K2444" s="626" t="s">
        <v>1147</v>
      </c>
      <c r="L2444" s="626" t="s">
        <v>5473</v>
      </c>
      <c r="M2444" s="643">
        <f t="shared" si="13"/>
        <v>680</v>
      </c>
      <c r="N2444" s="640" t="s">
        <v>5474</v>
      </c>
      <c r="O2444" s="683" t="s">
        <v>5474</v>
      </c>
      <c r="P2444" s="643">
        <f t="shared" si="14"/>
        <v>680</v>
      </c>
    </row>
    <row r="2445" spans="1:16" s="619" customFormat="1" ht="36" x14ac:dyDescent="0.2">
      <c r="A2445" s="626" t="s">
        <v>5317</v>
      </c>
      <c r="B2445" s="626" t="s">
        <v>1908</v>
      </c>
      <c r="C2445" s="626" t="s">
        <v>2015</v>
      </c>
      <c r="D2445" s="626" t="s">
        <v>3677</v>
      </c>
      <c r="E2445" s="651">
        <v>443</v>
      </c>
      <c r="F2445" s="626">
        <v>44455716</v>
      </c>
      <c r="G2445" s="626" t="s">
        <v>5545</v>
      </c>
      <c r="H2445" s="626" t="s">
        <v>1828</v>
      </c>
      <c r="I2445" s="626" t="s">
        <v>1919</v>
      </c>
      <c r="J2445" s="626" t="s">
        <v>1828</v>
      </c>
      <c r="K2445" s="626" t="s">
        <v>5474</v>
      </c>
      <c r="L2445" s="626" t="s">
        <v>5473</v>
      </c>
      <c r="M2445" s="643">
        <f t="shared" si="13"/>
        <v>443</v>
      </c>
      <c r="N2445" s="640" t="s">
        <v>5474</v>
      </c>
      <c r="O2445" s="683" t="s">
        <v>5474</v>
      </c>
      <c r="P2445" s="643">
        <f t="shared" si="14"/>
        <v>443</v>
      </c>
    </row>
    <row r="2446" spans="1:16" s="619" customFormat="1" ht="36" x14ac:dyDescent="0.2">
      <c r="A2446" s="626" t="s">
        <v>5317</v>
      </c>
      <c r="B2446" s="626" t="s">
        <v>1908</v>
      </c>
      <c r="C2446" s="626" t="s">
        <v>2015</v>
      </c>
      <c r="D2446" s="626" t="s">
        <v>3677</v>
      </c>
      <c r="E2446" s="651">
        <v>285</v>
      </c>
      <c r="F2446" s="626">
        <v>73697002</v>
      </c>
      <c r="G2446" s="626" t="s">
        <v>5546</v>
      </c>
      <c r="H2446" s="626" t="s">
        <v>1828</v>
      </c>
      <c r="I2446" s="626" t="s">
        <v>1919</v>
      </c>
      <c r="J2446" s="626" t="s">
        <v>1828</v>
      </c>
      <c r="K2446" s="626" t="s">
        <v>1147</v>
      </c>
      <c r="L2446" s="626" t="s">
        <v>5473</v>
      </c>
      <c r="M2446" s="643">
        <f t="shared" si="13"/>
        <v>285</v>
      </c>
      <c r="N2446" s="640" t="s">
        <v>5474</v>
      </c>
      <c r="O2446" s="683" t="s">
        <v>5474</v>
      </c>
      <c r="P2446" s="643">
        <f t="shared" si="14"/>
        <v>285</v>
      </c>
    </row>
    <row r="2447" spans="1:16" s="619" customFormat="1" ht="36" x14ac:dyDescent="0.2">
      <c r="A2447" s="626" t="s">
        <v>5317</v>
      </c>
      <c r="B2447" s="626" t="s">
        <v>1908</v>
      </c>
      <c r="C2447" s="626" t="s">
        <v>2015</v>
      </c>
      <c r="D2447" s="626" t="s">
        <v>3548</v>
      </c>
      <c r="E2447" s="651">
        <v>506</v>
      </c>
      <c r="F2447" s="626">
        <v>47815074</v>
      </c>
      <c r="G2447" s="626" t="s">
        <v>5547</v>
      </c>
      <c r="H2447" s="626" t="s">
        <v>1828</v>
      </c>
      <c r="I2447" s="626" t="s">
        <v>1919</v>
      </c>
      <c r="J2447" s="626" t="s">
        <v>1828</v>
      </c>
      <c r="K2447" s="626" t="s">
        <v>1140</v>
      </c>
      <c r="L2447" s="626" t="s">
        <v>5473</v>
      </c>
      <c r="M2447" s="643">
        <f t="shared" si="13"/>
        <v>506</v>
      </c>
      <c r="N2447" s="640" t="s">
        <v>5474</v>
      </c>
      <c r="O2447" s="683" t="s">
        <v>5474</v>
      </c>
      <c r="P2447" s="643">
        <f t="shared" si="14"/>
        <v>506</v>
      </c>
    </row>
    <row r="2448" spans="1:16" s="619" customFormat="1" ht="36" x14ac:dyDescent="0.2">
      <c r="A2448" s="626" t="s">
        <v>5317</v>
      </c>
      <c r="B2448" s="626" t="s">
        <v>1908</v>
      </c>
      <c r="C2448" s="626" t="s">
        <v>2015</v>
      </c>
      <c r="D2448" s="626" t="s">
        <v>5548</v>
      </c>
      <c r="E2448" s="651">
        <v>475</v>
      </c>
      <c r="F2448" s="626">
        <v>33960789</v>
      </c>
      <c r="G2448" s="626" t="s">
        <v>5549</v>
      </c>
      <c r="H2448" s="626" t="s">
        <v>2055</v>
      </c>
      <c r="I2448" s="626" t="s">
        <v>5472</v>
      </c>
      <c r="J2448" s="626" t="s">
        <v>1931</v>
      </c>
      <c r="K2448" s="626" t="s">
        <v>1140</v>
      </c>
      <c r="L2448" s="626" t="s">
        <v>5473</v>
      </c>
      <c r="M2448" s="643">
        <f t="shared" si="13"/>
        <v>475</v>
      </c>
      <c r="N2448" s="640" t="s">
        <v>5474</v>
      </c>
      <c r="O2448" s="683" t="s">
        <v>5474</v>
      </c>
      <c r="P2448" s="643">
        <f t="shared" si="14"/>
        <v>475</v>
      </c>
    </row>
    <row r="2449" spans="1:16" s="619" customFormat="1" ht="36" x14ac:dyDescent="0.2">
      <c r="A2449" s="626" t="s">
        <v>5317</v>
      </c>
      <c r="B2449" s="626" t="s">
        <v>1908</v>
      </c>
      <c r="C2449" s="626" t="s">
        <v>2015</v>
      </c>
      <c r="D2449" s="626" t="s">
        <v>5550</v>
      </c>
      <c r="E2449" s="651">
        <v>665</v>
      </c>
      <c r="F2449" s="626">
        <v>41793364</v>
      </c>
      <c r="G2449" s="626" t="s">
        <v>5551</v>
      </c>
      <c r="H2449" s="626" t="s">
        <v>2087</v>
      </c>
      <c r="I2449" s="626" t="s">
        <v>5472</v>
      </c>
      <c r="J2449" s="626" t="s">
        <v>1931</v>
      </c>
      <c r="K2449" s="626" t="s">
        <v>5552</v>
      </c>
      <c r="L2449" s="626" t="s">
        <v>5473</v>
      </c>
      <c r="M2449" s="643">
        <f t="shared" si="13"/>
        <v>665</v>
      </c>
      <c r="N2449" s="640" t="s">
        <v>5474</v>
      </c>
      <c r="O2449" s="683" t="s">
        <v>5474</v>
      </c>
      <c r="P2449" s="643">
        <f t="shared" si="14"/>
        <v>665</v>
      </c>
    </row>
    <row r="2450" spans="1:16" s="619" customFormat="1" ht="36" x14ac:dyDescent="0.2">
      <c r="A2450" s="626" t="s">
        <v>5317</v>
      </c>
      <c r="B2450" s="626" t="s">
        <v>1908</v>
      </c>
      <c r="C2450" s="626" t="s">
        <v>2015</v>
      </c>
      <c r="D2450" s="626" t="s">
        <v>3583</v>
      </c>
      <c r="E2450" s="651">
        <v>1600</v>
      </c>
      <c r="F2450" s="626">
        <v>70459910</v>
      </c>
      <c r="G2450" s="626" t="s">
        <v>5553</v>
      </c>
      <c r="H2450" s="626" t="s">
        <v>2177</v>
      </c>
      <c r="I2450" s="626" t="s">
        <v>5472</v>
      </c>
      <c r="J2450" s="626" t="s">
        <v>1931</v>
      </c>
      <c r="K2450" s="626" t="s">
        <v>1140</v>
      </c>
      <c r="L2450" s="626" t="s">
        <v>5473</v>
      </c>
      <c r="M2450" s="643">
        <f t="shared" si="13"/>
        <v>1600</v>
      </c>
      <c r="N2450" s="640" t="s">
        <v>5554</v>
      </c>
      <c r="O2450" s="683" t="s">
        <v>5474</v>
      </c>
      <c r="P2450" s="643">
        <f t="shared" si="14"/>
        <v>1600</v>
      </c>
    </row>
    <row r="2451" spans="1:16" s="619" customFormat="1" ht="48" x14ac:dyDescent="0.2">
      <c r="A2451" s="626" t="s">
        <v>5317</v>
      </c>
      <c r="B2451" s="626" t="s">
        <v>1908</v>
      </c>
      <c r="C2451" s="626" t="s">
        <v>2015</v>
      </c>
      <c r="D2451" s="626" t="s">
        <v>5555</v>
      </c>
      <c r="E2451" s="651">
        <v>1600</v>
      </c>
      <c r="F2451" s="626"/>
      <c r="G2451" s="626" t="s">
        <v>5556</v>
      </c>
      <c r="H2451" s="626" t="s">
        <v>5495</v>
      </c>
      <c r="I2451" s="626" t="s">
        <v>5472</v>
      </c>
      <c r="J2451" s="626" t="s">
        <v>1931</v>
      </c>
      <c r="K2451" s="626" t="s">
        <v>5554</v>
      </c>
      <c r="L2451" s="626" t="s">
        <v>5473</v>
      </c>
      <c r="M2451" s="643">
        <f t="shared" si="13"/>
        <v>1600</v>
      </c>
      <c r="N2451" s="640" t="s">
        <v>5554</v>
      </c>
      <c r="O2451" s="683" t="s">
        <v>5474</v>
      </c>
      <c r="P2451" s="643">
        <f t="shared" si="14"/>
        <v>1600</v>
      </c>
    </row>
    <row r="2452" spans="1:16" s="619" customFormat="1" ht="36" x14ac:dyDescent="0.2">
      <c r="A2452" s="626" t="s">
        <v>5317</v>
      </c>
      <c r="B2452" s="626" t="s">
        <v>1908</v>
      </c>
      <c r="C2452" s="626" t="s">
        <v>2015</v>
      </c>
      <c r="D2452" s="626" t="s">
        <v>5557</v>
      </c>
      <c r="E2452" s="651">
        <v>1500</v>
      </c>
      <c r="F2452" s="626">
        <v>46488224</v>
      </c>
      <c r="G2452" s="626" t="s">
        <v>5558</v>
      </c>
      <c r="H2452" s="626" t="s">
        <v>5559</v>
      </c>
      <c r="I2452" s="626" t="s">
        <v>5559</v>
      </c>
      <c r="J2452" s="626" t="s">
        <v>1828</v>
      </c>
      <c r="K2452" s="626" t="s">
        <v>5554</v>
      </c>
      <c r="L2452" s="626" t="s">
        <v>5473</v>
      </c>
      <c r="M2452" s="643">
        <f t="shared" si="13"/>
        <v>1500</v>
      </c>
      <c r="N2452" s="640" t="s">
        <v>5554</v>
      </c>
      <c r="O2452" s="683" t="s">
        <v>5474</v>
      </c>
      <c r="P2452" s="643">
        <f t="shared" si="14"/>
        <v>1500</v>
      </c>
    </row>
    <row r="2453" spans="1:16" s="619" customFormat="1" ht="36" x14ac:dyDescent="0.2">
      <c r="A2453" s="626" t="s">
        <v>5317</v>
      </c>
      <c r="B2453" s="626" t="s">
        <v>1908</v>
      </c>
      <c r="C2453" s="626" t="s">
        <v>2015</v>
      </c>
      <c r="D2453" s="626"/>
      <c r="E2453" s="651">
        <v>1600</v>
      </c>
      <c r="F2453" s="626">
        <v>76478468</v>
      </c>
      <c r="G2453" s="626" t="s">
        <v>5560</v>
      </c>
      <c r="H2453" s="626" t="s">
        <v>3079</v>
      </c>
      <c r="I2453" s="626" t="s">
        <v>5472</v>
      </c>
      <c r="J2453" s="626" t="s">
        <v>3587</v>
      </c>
      <c r="K2453" s="626" t="s">
        <v>5554</v>
      </c>
      <c r="L2453" s="626" t="s">
        <v>5473</v>
      </c>
      <c r="M2453" s="643">
        <f t="shared" si="13"/>
        <v>1600</v>
      </c>
      <c r="N2453" s="640" t="s">
        <v>5554</v>
      </c>
      <c r="O2453" s="683" t="s">
        <v>5474</v>
      </c>
      <c r="P2453" s="643">
        <f t="shared" si="14"/>
        <v>1600</v>
      </c>
    </row>
    <row r="2454" spans="1:16" s="619" customFormat="1" ht="36" x14ac:dyDescent="0.2">
      <c r="A2454" s="626" t="s">
        <v>5317</v>
      </c>
      <c r="B2454" s="626" t="s">
        <v>1908</v>
      </c>
      <c r="C2454" s="626" t="s">
        <v>2015</v>
      </c>
      <c r="D2454" s="626"/>
      <c r="E2454" s="651">
        <v>1400</v>
      </c>
      <c r="F2454" s="626">
        <v>71835599</v>
      </c>
      <c r="G2454" s="626" t="s">
        <v>5561</v>
      </c>
      <c r="H2454" s="626" t="s">
        <v>5562</v>
      </c>
      <c r="I2454" s="626" t="s">
        <v>5472</v>
      </c>
      <c r="J2454" s="626" t="s">
        <v>3587</v>
      </c>
      <c r="K2454" s="626" t="s">
        <v>5554</v>
      </c>
      <c r="L2454" s="626" t="s">
        <v>5473</v>
      </c>
      <c r="M2454" s="643">
        <f t="shared" si="13"/>
        <v>1400</v>
      </c>
      <c r="N2454" s="640" t="s">
        <v>5554</v>
      </c>
      <c r="O2454" s="683" t="s">
        <v>5474</v>
      </c>
      <c r="P2454" s="643">
        <f t="shared" si="14"/>
        <v>1400</v>
      </c>
    </row>
    <row r="2455" spans="1:16" s="619" customFormat="1" ht="36" x14ac:dyDescent="0.2">
      <c r="A2455" s="626" t="s">
        <v>5317</v>
      </c>
      <c r="B2455" s="626" t="s">
        <v>1908</v>
      </c>
      <c r="C2455" s="626" t="s">
        <v>2015</v>
      </c>
      <c r="D2455" s="626" t="s">
        <v>5563</v>
      </c>
      <c r="E2455" s="651">
        <v>6000</v>
      </c>
      <c r="F2455" s="626"/>
      <c r="G2455" s="626" t="s">
        <v>5564</v>
      </c>
      <c r="H2455" s="626" t="s">
        <v>2232</v>
      </c>
      <c r="I2455" s="626" t="s">
        <v>5472</v>
      </c>
      <c r="J2455" s="626" t="s">
        <v>3523</v>
      </c>
      <c r="K2455" s="626" t="s">
        <v>5554</v>
      </c>
      <c r="L2455" s="626" t="s">
        <v>5473</v>
      </c>
      <c r="M2455" s="643">
        <f t="shared" si="13"/>
        <v>6000</v>
      </c>
      <c r="N2455" s="640" t="s">
        <v>5554</v>
      </c>
      <c r="O2455" s="683" t="s">
        <v>5474</v>
      </c>
      <c r="P2455" s="643">
        <f t="shared" si="14"/>
        <v>6000</v>
      </c>
    </row>
    <row r="2456" spans="1:16" s="619" customFormat="1" ht="36" x14ac:dyDescent="0.2">
      <c r="A2456" s="626" t="s">
        <v>5317</v>
      </c>
      <c r="B2456" s="626" t="s">
        <v>1908</v>
      </c>
      <c r="C2456" s="626" t="s">
        <v>2015</v>
      </c>
      <c r="D2456" s="626" t="s">
        <v>5565</v>
      </c>
      <c r="E2456" s="651">
        <v>2300</v>
      </c>
      <c r="F2456" s="626"/>
      <c r="G2456" s="626" t="s">
        <v>5566</v>
      </c>
      <c r="H2456" s="626" t="s">
        <v>2946</v>
      </c>
      <c r="I2456" s="626" t="s">
        <v>5472</v>
      </c>
      <c r="J2456" s="626" t="s">
        <v>3523</v>
      </c>
      <c r="K2456" s="626" t="s">
        <v>5554</v>
      </c>
      <c r="L2456" s="626" t="s">
        <v>5473</v>
      </c>
      <c r="M2456" s="643">
        <f t="shared" si="13"/>
        <v>2300</v>
      </c>
      <c r="N2456" s="640" t="s">
        <v>5554</v>
      </c>
      <c r="O2456" s="683" t="s">
        <v>5474</v>
      </c>
      <c r="P2456" s="643">
        <f t="shared" si="14"/>
        <v>2300</v>
      </c>
    </row>
    <row r="2457" spans="1:16" s="619" customFormat="1" ht="36.75" thickBot="1" x14ac:dyDescent="0.25">
      <c r="A2457" s="657" t="s">
        <v>5317</v>
      </c>
      <c r="B2457" s="657" t="s">
        <v>1908</v>
      </c>
      <c r="C2457" s="657" t="s">
        <v>2015</v>
      </c>
      <c r="D2457" s="657" t="s">
        <v>5567</v>
      </c>
      <c r="E2457" s="696">
        <v>900</v>
      </c>
      <c r="F2457" s="657">
        <v>43546972</v>
      </c>
      <c r="G2457" s="657" t="s">
        <v>5568</v>
      </c>
      <c r="H2457" s="657" t="s">
        <v>2165</v>
      </c>
      <c r="I2457" s="657" t="s">
        <v>5472</v>
      </c>
      <c r="J2457" s="657" t="s">
        <v>3523</v>
      </c>
      <c r="K2457" s="657" t="s">
        <v>1140</v>
      </c>
      <c r="L2457" s="657" t="s">
        <v>5473</v>
      </c>
      <c r="M2457" s="679">
        <f t="shared" si="13"/>
        <v>900</v>
      </c>
      <c r="N2457" s="680" t="s">
        <v>1140</v>
      </c>
      <c r="O2457" s="697" t="s">
        <v>5474</v>
      </c>
      <c r="P2457" s="679">
        <f t="shared" si="14"/>
        <v>900</v>
      </c>
    </row>
    <row r="2458" spans="1:16" s="619" customFormat="1" ht="13.5" customHeight="1" thickBot="1" x14ac:dyDescent="0.25">
      <c r="A2458" s="1149" t="s">
        <v>1824</v>
      </c>
      <c r="B2458" s="1150"/>
      <c r="C2458" s="1150"/>
      <c r="D2458" s="1151"/>
      <c r="E2458" s="610">
        <f>SUM(E2370:E2457)</f>
        <v>138353.60000000001</v>
      </c>
      <c r="F2458" s="623"/>
      <c r="G2458" s="109"/>
      <c r="H2458" s="109"/>
      <c r="I2458" s="109"/>
      <c r="J2458" s="109"/>
      <c r="K2458" s="623"/>
      <c r="L2458" s="109"/>
      <c r="M2458" s="610">
        <f>SUM(M2370:M2457)</f>
        <v>482153.6</v>
      </c>
      <c r="N2458" s="623"/>
      <c r="O2458" s="623"/>
      <c r="P2458" s="610">
        <f>SUM(P2370:P2457)</f>
        <v>602353.6</v>
      </c>
    </row>
    <row r="2459" spans="1:16" s="619" customFormat="1" ht="24" x14ac:dyDescent="0.2">
      <c r="A2459" s="630" t="s">
        <v>5569</v>
      </c>
      <c r="B2459" s="626" t="s">
        <v>1908</v>
      </c>
      <c r="C2459" s="638" t="s">
        <v>104</v>
      </c>
      <c r="D2459" s="626" t="s">
        <v>5570</v>
      </c>
      <c r="E2459" s="636">
        <v>1200</v>
      </c>
      <c r="F2459" s="637">
        <v>42471939</v>
      </c>
      <c r="G2459" s="626" t="s">
        <v>5571</v>
      </c>
      <c r="H2459" s="626" t="s">
        <v>3545</v>
      </c>
      <c r="I2459" s="638" t="s">
        <v>5572</v>
      </c>
      <c r="J2459" s="626" t="s">
        <v>5572</v>
      </c>
      <c r="K2459" s="638">
        <v>1</v>
      </c>
      <c r="L2459" s="630">
        <v>2</v>
      </c>
      <c r="M2459" s="667">
        <v>2400</v>
      </c>
      <c r="N2459" s="630"/>
      <c r="O2459" s="638"/>
      <c r="P2459" s="635"/>
    </row>
    <row r="2460" spans="1:16" s="619" customFormat="1" ht="36" x14ac:dyDescent="0.2">
      <c r="A2460" s="626" t="s">
        <v>5569</v>
      </c>
      <c r="B2460" s="626" t="s">
        <v>1908</v>
      </c>
      <c r="C2460" s="638" t="s">
        <v>104</v>
      </c>
      <c r="D2460" s="626" t="s">
        <v>5573</v>
      </c>
      <c r="E2460" s="636">
        <v>1200</v>
      </c>
      <c r="F2460" s="637">
        <v>42068427</v>
      </c>
      <c r="G2460" s="626" t="s">
        <v>5574</v>
      </c>
      <c r="H2460" s="626" t="s">
        <v>1919</v>
      </c>
      <c r="I2460" s="638" t="s">
        <v>5575</v>
      </c>
      <c r="J2460" s="626" t="s">
        <v>5575</v>
      </c>
      <c r="K2460" s="638">
        <v>1</v>
      </c>
      <c r="L2460" s="626">
        <v>1</v>
      </c>
      <c r="M2460" s="667">
        <v>1200</v>
      </c>
      <c r="N2460" s="626"/>
      <c r="O2460" s="638"/>
      <c r="P2460" s="643"/>
    </row>
    <row r="2461" spans="1:16" s="619" customFormat="1" ht="36" x14ac:dyDescent="0.2">
      <c r="A2461" s="626" t="s">
        <v>5569</v>
      </c>
      <c r="B2461" s="626" t="s">
        <v>1908</v>
      </c>
      <c r="C2461" s="638" t="s">
        <v>104</v>
      </c>
      <c r="D2461" s="626" t="s">
        <v>5576</v>
      </c>
      <c r="E2461" s="636">
        <v>1200</v>
      </c>
      <c r="F2461" s="637">
        <v>45031480</v>
      </c>
      <c r="G2461" s="626" t="s">
        <v>5577</v>
      </c>
      <c r="H2461" s="626" t="s">
        <v>5578</v>
      </c>
      <c r="I2461" s="638" t="s">
        <v>5572</v>
      </c>
      <c r="J2461" s="626" t="s">
        <v>5572</v>
      </c>
      <c r="K2461" s="638">
        <v>6</v>
      </c>
      <c r="L2461" s="626">
        <v>12</v>
      </c>
      <c r="M2461" s="667">
        <v>14400</v>
      </c>
      <c r="N2461" s="626">
        <v>1</v>
      </c>
      <c r="O2461" s="638">
        <v>2</v>
      </c>
      <c r="P2461" s="643">
        <v>2400</v>
      </c>
    </row>
    <row r="2462" spans="1:16" s="619" customFormat="1" ht="36" x14ac:dyDescent="0.2">
      <c r="A2462" s="626" t="s">
        <v>5569</v>
      </c>
      <c r="B2462" s="626" t="s">
        <v>1908</v>
      </c>
      <c r="C2462" s="638" t="s">
        <v>104</v>
      </c>
      <c r="D2462" s="626" t="s">
        <v>5579</v>
      </c>
      <c r="E2462" s="636">
        <v>1250</v>
      </c>
      <c r="F2462" s="637">
        <v>74632527</v>
      </c>
      <c r="G2462" s="626" t="s">
        <v>5580</v>
      </c>
      <c r="H2462" s="626" t="s">
        <v>5578</v>
      </c>
      <c r="I2462" s="638" t="s">
        <v>5572</v>
      </c>
      <c r="J2462" s="626" t="s">
        <v>5572</v>
      </c>
      <c r="K2462" s="638">
        <v>1</v>
      </c>
      <c r="L2462" s="626">
        <v>1</v>
      </c>
      <c r="M2462" s="667">
        <v>1250</v>
      </c>
      <c r="N2462" s="626"/>
      <c r="O2462" s="638"/>
      <c r="P2462" s="643"/>
    </row>
    <row r="2463" spans="1:16" s="619" customFormat="1" ht="36" x14ac:dyDescent="0.2">
      <c r="A2463" s="626" t="s">
        <v>5569</v>
      </c>
      <c r="B2463" s="626" t="s">
        <v>1908</v>
      </c>
      <c r="C2463" s="638" t="s">
        <v>104</v>
      </c>
      <c r="D2463" s="626" t="s">
        <v>3677</v>
      </c>
      <c r="E2463" s="636">
        <v>1150</v>
      </c>
      <c r="F2463" s="637">
        <v>33668881</v>
      </c>
      <c r="G2463" s="626" t="s">
        <v>5581</v>
      </c>
      <c r="H2463" s="626" t="s">
        <v>1919</v>
      </c>
      <c r="I2463" s="638" t="s">
        <v>5575</v>
      </c>
      <c r="J2463" s="626" t="s">
        <v>5575</v>
      </c>
      <c r="K2463" s="638">
        <v>6</v>
      </c>
      <c r="L2463" s="626">
        <v>12</v>
      </c>
      <c r="M2463" s="667">
        <v>13800</v>
      </c>
      <c r="N2463" s="626">
        <v>3</v>
      </c>
      <c r="O2463" s="638">
        <v>12</v>
      </c>
      <c r="P2463" s="643">
        <v>13800</v>
      </c>
    </row>
    <row r="2464" spans="1:16" s="619" customFormat="1" ht="24" x14ac:dyDescent="0.2">
      <c r="A2464" s="626" t="s">
        <v>5569</v>
      </c>
      <c r="B2464" s="626" t="s">
        <v>1908</v>
      </c>
      <c r="C2464" s="638" t="s">
        <v>104</v>
      </c>
      <c r="D2464" s="626" t="s">
        <v>3677</v>
      </c>
      <c r="E2464" s="636">
        <v>1150</v>
      </c>
      <c r="F2464" s="637">
        <v>45392859</v>
      </c>
      <c r="G2464" s="626" t="s">
        <v>5582</v>
      </c>
      <c r="H2464" s="626" t="s">
        <v>1919</v>
      </c>
      <c r="I2464" s="638" t="s">
        <v>5575</v>
      </c>
      <c r="J2464" s="626" t="s">
        <v>5575</v>
      </c>
      <c r="K2464" s="638">
        <v>6</v>
      </c>
      <c r="L2464" s="626">
        <v>12</v>
      </c>
      <c r="M2464" s="667">
        <v>13800</v>
      </c>
      <c r="N2464" s="626">
        <v>3</v>
      </c>
      <c r="O2464" s="638">
        <v>12</v>
      </c>
      <c r="P2464" s="643">
        <v>13800</v>
      </c>
    </row>
    <row r="2465" spans="1:16" s="619" customFormat="1" ht="36" x14ac:dyDescent="0.2">
      <c r="A2465" s="626" t="s">
        <v>5569</v>
      </c>
      <c r="B2465" s="626" t="s">
        <v>1908</v>
      </c>
      <c r="C2465" s="638" t="s">
        <v>104</v>
      </c>
      <c r="D2465" s="626" t="s">
        <v>5583</v>
      </c>
      <c r="E2465" s="636">
        <v>1200</v>
      </c>
      <c r="F2465" s="637">
        <v>71092151</v>
      </c>
      <c r="G2465" s="626" t="s">
        <v>5584</v>
      </c>
      <c r="H2465" s="626" t="s">
        <v>4601</v>
      </c>
      <c r="I2465" s="638" t="s">
        <v>5572</v>
      </c>
      <c r="J2465" s="626" t="s">
        <v>5572</v>
      </c>
      <c r="K2465" s="638">
        <v>6</v>
      </c>
      <c r="L2465" s="626">
        <v>12</v>
      </c>
      <c r="M2465" s="667">
        <v>14400</v>
      </c>
      <c r="N2465" s="626">
        <v>1</v>
      </c>
      <c r="O2465" s="638">
        <v>1</v>
      </c>
      <c r="P2465" s="643">
        <v>1200</v>
      </c>
    </row>
    <row r="2466" spans="1:16" s="619" customFormat="1" ht="36" x14ac:dyDescent="0.2">
      <c r="A2466" s="626" t="s">
        <v>5569</v>
      </c>
      <c r="B2466" s="626" t="s">
        <v>1908</v>
      </c>
      <c r="C2466" s="638" t="s">
        <v>104</v>
      </c>
      <c r="D2466" s="626" t="s">
        <v>5585</v>
      </c>
      <c r="E2466" s="636">
        <v>1500</v>
      </c>
      <c r="F2466" s="637">
        <v>76161024</v>
      </c>
      <c r="G2466" s="626" t="s">
        <v>5586</v>
      </c>
      <c r="H2466" s="626" t="s">
        <v>5587</v>
      </c>
      <c r="I2466" s="638" t="s">
        <v>3587</v>
      </c>
      <c r="J2466" s="626" t="s">
        <v>1913</v>
      </c>
      <c r="K2466" s="638">
        <v>1</v>
      </c>
      <c r="L2466" s="626">
        <v>1</v>
      </c>
      <c r="M2466" s="667">
        <v>1500</v>
      </c>
      <c r="N2466" s="626"/>
      <c r="O2466" s="638"/>
      <c r="P2466" s="643"/>
    </row>
    <row r="2467" spans="1:16" s="619" customFormat="1" ht="48" x14ac:dyDescent="0.2">
      <c r="A2467" s="626" t="s">
        <v>5569</v>
      </c>
      <c r="B2467" s="626" t="s">
        <v>1908</v>
      </c>
      <c r="C2467" s="638" t="s">
        <v>104</v>
      </c>
      <c r="D2467" s="626" t="s">
        <v>5588</v>
      </c>
      <c r="E2467" s="636">
        <v>1500</v>
      </c>
      <c r="F2467" s="637">
        <v>72747394</v>
      </c>
      <c r="G2467" s="626" t="s">
        <v>5589</v>
      </c>
      <c r="H2467" s="626" t="s">
        <v>5590</v>
      </c>
      <c r="I2467" s="638" t="s">
        <v>5590</v>
      </c>
      <c r="J2467" s="626" t="s">
        <v>1913</v>
      </c>
      <c r="K2467" s="625"/>
      <c r="L2467" s="626"/>
      <c r="M2467" s="667"/>
      <c r="N2467" s="626">
        <v>1</v>
      </c>
      <c r="O2467" s="638">
        <v>4</v>
      </c>
      <c r="P2467" s="643">
        <v>6000</v>
      </c>
    </row>
    <row r="2468" spans="1:16" s="619" customFormat="1" ht="36" x14ac:dyDescent="0.2">
      <c r="A2468" s="626" t="s">
        <v>5569</v>
      </c>
      <c r="B2468" s="626" t="s">
        <v>1908</v>
      </c>
      <c r="C2468" s="638" t="s">
        <v>104</v>
      </c>
      <c r="D2468" s="626" t="s">
        <v>5591</v>
      </c>
      <c r="E2468" s="636">
        <v>3000</v>
      </c>
      <c r="F2468" s="637">
        <v>70564296</v>
      </c>
      <c r="G2468" s="626" t="s">
        <v>5592</v>
      </c>
      <c r="H2468" s="626" t="s">
        <v>1911</v>
      </c>
      <c r="I2468" s="638" t="s">
        <v>1911</v>
      </c>
      <c r="J2468" s="626" t="s">
        <v>1913</v>
      </c>
      <c r="K2468" s="625"/>
      <c r="L2468" s="626"/>
      <c r="M2468" s="667"/>
      <c r="N2468" s="626">
        <v>1</v>
      </c>
      <c r="O2468" s="638">
        <v>4</v>
      </c>
      <c r="P2468" s="643">
        <v>12000</v>
      </c>
    </row>
    <row r="2469" spans="1:16" s="619" customFormat="1" ht="36" x14ac:dyDescent="0.2">
      <c r="A2469" s="626" t="s">
        <v>5569</v>
      </c>
      <c r="B2469" s="626" t="s">
        <v>1908</v>
      </c>
      <c r="C2469" s="638" t="s">
        <v>104</v>
      </c>
      <c r="D2469" s="626" t="s">
        <v>5593</v>
      </c>
      <c r="E2469" s="636">
        <v>1500</v>
      </c>
      <c r="F2469" s="637">
        <v>44363345</v>
      </c>
      <c r="G2469" s="626" t="s">
        <v>5594</v>
      </c>
      <c r="H2469" s="626" t="s">
        <v>1416</v>
      </c>
      <c r="I2469" s="638" t="s">
        <v>1416</v>
      </c>
      <c r="J2469" s="626" t="s">
        <v>1913</v>
      </c>
      <c r="K2469" s="625"/>
      <c r="L2469" s="626"/>
      <c r="M2469" s="667"/>
      <c r="N2469" s="626">
        <v>1</v>
      </c>
      <c r="O2469" s="638">
        <v>4</v>
      </c>
      <c r="P2469" s="643">
        <v>6000</v>
      </c>
    </row>
    <row r="2470" spans="1:16" s="619" customFormat="1" ht="36" x14ac:dyDescent="0.2">
      <c r="A2470" s="626" t="s">
        <v>5569</v>
      </c>
      <c r="B2470" s="626" t="s">
        <v>1908</v>
      </c>
      <c r="C2470" s="638" t="s">
        <v>104</v>
      </c>
      <c r="D2470" s="626" t="s">
        <v>4919</v>
      </c>
      <c r="E2470" s="636">
        <v>1800</v>
      </c>
      <c r="F2470" s="637">
        <v>46691276</v>
      </c>
      <c r="G2470" s="626" t="s">
        <v>5595</v>
      </c>
      <c r="H2470" s="626" t="s">
        <v>4613</v>
      </c>
      <c r="I2470" s="638" t="s">
        <v>4613</v>
      </c>
      <c r="J2470" s="626" t="s">
        <v>1913</v>
      </c>
      <c r="K2470" s="625"/>
      <c r="L2470" s="626"/>
      <c r="M2470" s="667"/>
      <c r="N2470" s="626">
        <v>1</v>
      </c>
      <c r="O2470" s="638">
        <v>3</v>
      </c>
      <c r="P2470" s="643">
        <v>5400</v>
      </c>
    </row>
    <row r="2471" spans="1:16" s="619" customFormat="1" ht="48" x14ac:dyDescent="0.2">
      <c r="A2471" s="626" t="s">
        <v>5569</v>
      </c>
      <c r="B2471" s="626" t="s">
        <v>1908</v>
      </c>
      <c r="C2471" s="638" t="s">
        <v>104</v>
      </c>
      <c r="D2471" s="626" t="s">
        <v>5596</v>
      </c>
      <c r="E2471" s="636">
        <v>1300</v>
      </c>
      <c r="F2471" s="637">
        <v>70851020</v>
      </c>
      <c r="G2471" s="626" t="s">
        <v>5597</v>
      </c>
      <c r="H2471" s="626" t="s">
        <v>5598</v>
      </c>
      <c r="I2471" s="638" t="s">
        <v>5598</v>
      </c>
      <c r="J2471" s="626" t="s">
        <v>1913</v>
      </c>
      <c r="K2471" s="625"/>
      <c r="L2471" s="626"/>
      <c r="M2471" s="667"/>
      <c r="N2471" s="626">
        <v>1</v>
      </c>
      <c r="O2471" s="638">
        <v>4</v>
      </c>
      <c r="P2471" s="643">
        <v>5200</v>
      </c>
    </row>
    <row r="2472" spans="1:16" s="619" customFormat="1" ht="48" x14ac:dyDescent="0.2">
      <c r="A2472" s="626" t="s">
        <v>5569</v>
      </c>
      <c r="B2472" s="626" t="s">
        <v>1908</v>
      </c>
      <c r="C2472" s="638" t="s">
        <v>104</v>
      </c>
      <c r="D2472" s="626" t="s">
        <v>5599</v>
      </c>
      <c r="E2472" s="636">
        <v>1300</v>
      </c>
      <c r="F2472" s="637">
        <v>75192313</v>
      </c>
      <c r="G2472" s="626" t="s">
        <v>5600</v>
      </c>
      <c r="H2472" s="626" t="s">
        <v>5598</v>
      </c>
      <c r="I2472" s="638" t="s">
        <v>5598</v>
      </c>
      <c r="J2472" s="626" t="s">
        <v>1913</v>
      </c>
      <c r="K2472" s="625"/>
      <c r="L2472" s="626"/>
      <c r="M2472" s="667"/>
      <c r="N2472" s="626">
        <v>1</v>
      </c>
      <c r="O2472" s="638">
        <v>4</v>
      </c>
      <c r="P2472" s="643">
        <v>5200</v>
      </c>
    </row>
    <row r="2473" spans="1:16" s="619" customFormat="1" ht="36" x14ac:dyDescent="0.2">
      <c r="A2473" s="626" t="s">
        <v>5569</v>
      </c>
      <c r="B2473" s="626" t="s">
        <v>1908</v>
      </c>
      <c r="C2473" s="638" t="s">
        <v>104</v>
      </c>
      <c r="D2473" s="626" t="s">
        <v>5599</v>
      </c>
      <c r="E2473" s="636">
        <v>1300</v>
      </c>
      <c r="F2473" s="637">
        <v>42016363</v>
      </c>
      <c r="G2473" s="626" t="s">
        <v>5601</v>
      </c>
      <c r="H2473" s="626" t="s">
        <v>5602</v>
      </c>
      <c r="I2473" s="638" t="s">
        <v>5602</v>
      </c>
      <c r="J2473" s="626" t="s">
        <v>5572</v>
      </c>
      <c r="K2473" s="625"/>
      <c r="L2473" s="626"/>
      <c r="M2473" s="667"/>
      <c r="N2473" s="626">
        <v>1</v>
      </c>
      <c r="O2473" s="638">
        <v>4</v>
      </c>
      <c r="P2473" s="643">
        <v>5200</v>
      </c>
    </row>
    <row r="2474" spans="1:16" s="619" customFormat="1" ht="36" x14ac:dyDescent="0.2">
      <c r="A2474" s="626" t="s">
        <v>5569</v>
      </c>
      <c r="B2474" s="626" t="s">
        <v>1908</v>
      </c>
      <c r="C2474" s="638" t="s">
        <v>5603</v>
      </c>
      <c r="D2474" s="626" t="s">
        <v>5604</v>
      </c>
      <c r="E2474" s="636">
        <v>1200</v>
      </c>
      <c r="F2474" s="637">
        <v>46746452</v>
      </c>
      <c r="G2474" s="626" t="s">
        <v>5605</v>
      </c>
      <c r="H2474" s="626" t="s">
        <v>5606</v>
      </c>
      <c r="I2474" s="638" t="s">
        <v>1931</v>
      </c>
      <c r="J2474" s="626" t="s">
        <v>1931</v>
      </c>
      <c r="K2474" s="698"/>
      <c r="L2474" s="645">
        <v>3</v>
      </c>
      <c r="M2474" s="667">
        <f t="shared" ref="M2474:M2489" si="15">E2474*L2474</f>
        <v>3600</v>
      </c>
      <c r="N2474" s="645"/>
      <c r="O2474" s="644"/>
      <c r="P2474" s="643"/>
    </row>
    <row r="2475" spans="1:16" s="619" customFormat="1" ht="36" x14ac:dyDescent="0.2">
      <c r="A2475" s="626" t="s">
        <v>5569</v>
      </c>
      <c r="B2475" s="626" t="s">
        <v>1908</v>
      </c>
      <c r="C2475" s="638" t="s">
        <v>5603</v>
      </c>
      <c r="D2475" s="626" t="s">
        <v>5607</v>
      </c>
      <c r="E2475" s="636">
        <v>908</v>
      </c>
      <c r="F2475" s="637">
        <v>74477558</v>
      </c>
      <c r="G2475" s="626" t="s">
        <v>5608</v>
      </c>
      <c r="H2475" s="626" t="s">
        <v>4677</v>
      </c>
      <c r="I2475" s="638" t="s">
        <v>4677</v>
      </c>
      <c r="J2475" s="626" t="s">
        <v>1913</v>
      </c>
      <c r="K2475" s="698"/>
      <c r="L2475" s="645">
        <v>5</v>
      </c>
      <c r="M2475" s="667">
        <f t="shared" si="15"/>
        <v>4540</v>
      </c>
      <c r="N2475" s="645"/>
      <c r="O2475" s="644"/>
      <c r="P2475" s="643"/>
    </row>
    <row r="2476" spans="1:16" s="619" customFormat="1" ht="36" x14ac:dyDescent="0.2">
      <c r="A2476" s="626" t="s">
        <v>5569</v>
      </c>
      <c r="B2476" s="626" t="s">
        <v>1908</v>
      </c>
      <c r="C2476" s="638" t="s">
        <v>5603</v>
      </c>
      <c r="D2476" s="626" t="s">
        <v>5609</v>
      </c>
      <c r="E2476" s="636">
        <v>1000</v>
      </c>
      <c r="F2476" s="637">
        <v>71093536</v>
      </c>
      <c r="G2476" s="626" t="s">
        <v>5610</v>
      </c>
      <c r="H2476" s="626" t="s">
        <v>5606</v>
      </c>
      <c r="I2476" s="638" t="s">
        <v>1931</v>
      </c>
      <c r="J2476" s="626" t="s">
        <v>1931</v>
      </c>
      <c r="K2476" s="698"/>
      <c r="L2476" s="645">
        <v>3</v>
      </c>
      <c r="M2476" s="667">
        <f t="shared" si="15"/>
        <v>3000</v>
      </c>
      <c r="N2476" s="645"/>
      <c r="O2476" s="644"/>
      <c r="P2476" s="643"/>
    </row>
    <row r="2477" spans="1:16" s="619" customFormat="1" ht="36" x14ac:dyDescent="0.2">
      <c r="A2477" s="626" t="s">
        <v>5569</v>
      </c>
      <c r="B2477" s="626" t="s">
        <v>1908</v>
      </c>
      <c r="C2477" s="638" t="s">
        <v>5603</v>
      </c>
      <c r="D2477" s="626" t="s">
        <v>5611</v>
      </c>
      <c r="E2477" s="636">
        <v>1333.33</v>
      </c>
      <c r="F2477" s="637">
        <v>43574345</v>
      </c>
      <c r="G2477" s="626" t="s">
        <v>5612</v>
      </c>
      <c r="H2477" s="626" t="s">
        <v>5613</v>
      </c>
      <c r="I2477" s="638" t="s">
        <v>1931</v>
      </c>
      <c r="J2477" s="626" t="s">
        <v>1931</v>
      </c>
      <c r="K2477" s="698"/>
      <c r="L2477" s="645">
        <v>3</v>
      </c>
      <c r="M2477" s="667">
        <f t="shared" si="15"/>
        <v>3999.99</v>
      </c>
      <c r="N2477" s="645"/>
      <c r="O2477" s="644"/>
      <c r="P2477" s="643"/>
    </row>
    <row r="2478" spans="1:16" s="619" customFormat="1" ht="36" x14ac:dyDescent="0.2">
      <c r="A2478" s="626" t="s">
        <v>5569</v>
      </c>
      <c r="B2478" s="626" t="s">
        <v>1908</v>
      </c>
      <c r="C2478" s="638" t="s">
        <v>5603</v>
      </c>
      <c r="D2478" s="626" t="s">
        <v>5614</v>
      </c>
      <c r="E2478" s="636">
        <v>1785</v>
      </c>
      <c r="F2478" s="637">
        <v>71699148</v>
      </c>
      <c r="G2478" s="626" t="s">
        <v>5615</v>
      </c>
      <c r="H2478" s="626" t="s">
        <v>5616</v>
      </c>
      <c r="I2478" s="638" t="s">
        <v>5616</v>
      </c>
      <c r="J2478" s="626" t="s">
        <v>1913</v>
      </c>
      <c r="K2478" s="698"/>
      <c r="L2478" s="645">
        <v>5</v>
      </c>
      <c r="M2478" s="667">
        <f t="shared" si="15"/>
        <v>8925</v>
      </c>
      <c r="N2478" s="645"/>
      <c r="O2478" s="644"/>
      <c r="P2478" s="643"/>
    </row>
    <row r="2479" spans="1:16" s="619" customFormat="1" ht="48" x14ac:dyDescent="0.2">
      <c r="A2479" s="626" t="s">
        <v>5569</v>
      </c>
      <c r="B2479" s="626" t="s">
        <v>1908</v>
      </c>
      <c r="C2479" s="638" t="s">
        <v>5603</v>
      </c>
      <c r="D2479" s="626" t="s">
        <v>5614</v>
      </c>
      <c r="E2479" s="636">
        <v>1077.67</v>
      </c>
      <c r="F2479" s="637">
        <v>47498070</v>
      </c>
      <c r="G2479" s="626" t="s">
        <v>5617</v>
      </c>
      <c r="H2479" s="626" t="s">
        <v>5618</v>
      </c>
      <c r="I2479" s="638" t="s">
        <v>1931</v>
      </c>
      <c r="J2479" s="626" t="s">
        <v>1931</v>
      </c>
      <c r="K2479" s="698"/>
      <c r="L2479" s="645">
        <v>3</v>
      </c>
      <c r="M2479" s="667">
        <f t="shared" si="15"/>
        <v>3233.01</v>
      </c>
      <c r="N2479" s="645"/>
      <c r="O2479" s="644"/>
      <c r="P2479" s="643"/>
    </row>
    <row r="2480" spans="1:16" s="619" customFormat="1" ht="48" x14ac:dyDescent="0.2">
      <c r="A2480" s="626" t="s">
        <v>5569</v>
      </c>
      <c r="B2480" s="626" t="s">
        <v>1908</v>
      </c>
      <c r="C2480" s="638" t="s">
        <v>5603</v>
      </c>
      <c r="D2480" s="626" t="s">
        <v>5619</v>
      </c>
      <c r="E2480" s="636">
        <v>1300</v>
      </c>
      <c r="F2480" s="637">
        <v>72289287</v>
      </c>
      <c r="G2480" s="626" t="s">
        <v>5620</v>
      </c>
      <c r="H2480" s="626" t="s">
        <v>5621</v>
      </c>
      <c r="I2480" s="638" t="s">
        <v>5621</v>
      </c>
      <c r="J2480" s="626" t="s">
        <v>1913</v>
      </c>
      <c r="K2480" s="698"/>
      <c r="L2480" s="645">
        <v>5</v>
      </c>
      <c r="M2480" s="667">
        <f t="shared" si="15"/>
        <v>6500</v>
      </c>
      <c r="N2480" s="645"/>
      <c r="O2480" s="644"/>
      <c r="P2480" s="643"/>
    </row>
    <row r="2481" spans="1:16" s="619" customFormat="1" ht="36" x14ac:dyDescent="0.2">
      <c r="A2481" s="626" t="s">
        <v>5569</v>
      </c>
      <c r="B2481" s="626" t="s">
        <v>1908</v>
      </c>
      <c r="C2481" s="638" t="s">
        <v>5603</v>
      </c>
      <c r="D2481" s="626" t="s">
        <v>4782</v>
      </c>
      <c r="E2481" s="636">
        <v>1288.8900000000001</v>
      </c>
      <c r="F2481" s="637" t="s">
        <v>5622</v>
      </c>
      <c r="G2481" s="626" t="s">
        <v>5623</v>
      </c>
      <c r="H2481" s="626" t="s">
        <v>5624</v>
      </c>
      <c r="I2481" s="638" t="s">
        <v>5624</v>
      </c>
      <c r="J2481" s="626" t="s">
        <v>1913</v>
      </c>
      <c r="K2481" s="698"/>
      <c r="L2481" s="645">
        <v>9</v>
      </c>
      <c r="M2481" s="667">
        <f t="shared" si="15"/>
        <v>11600.01</v>
      </c>
      <c r="N2481" s="645"/>
      <c r="O2481" s="644"/>
      <c r="P2481" s="643"/>
    </row>
    <row r="2482" spans="1:16" s="619" customFormat="1" ht="36" x14ac:dyDescent="0.2">
      <c r="A2482" s="626" t="s">
        <v>5569</v>
      </c>
      <c r="B2482" s="626" t="s">
        <v>1908</v>
      </c>
      <c r="C2482" s="638" t="s">
        <v>5603</v>
      </c>
      <c r="D2482" s="626" t="s">
        <v>5625</v>
      </c>
      <c r="E2482" s="636">
        <v>1000</v>
      </c>
      <c r="F2482" s="637">
        <v>45522702</v>
      </c>
      <c r="G2482" s="626" t="s">
        <v>5626</v>
      </c>
      <c r="H2482" s="626" t="s">
        <v>5606</v>
      </c>
      <c r="I2482" s="638" t="s">
        <v>1931</v>
      </c>
      <c r="J2482" s="626" t="s">
        <v>1931</v>
      </c>
      <c r="K2482" s="698"/>
      <c r="L2482" s="645">
        <v>4</v>
      </c>
      <c r="M2482" s="667">
        <f t="shared" si="15"/>
        <v>4000</v>
      </c>
      <c r="N2482" s="645"/>
      <c r="O2482" s="644"/>
      <c r="P2482" s="643"/>
    </row>
    <row r="2483" spans="1:16" s="619" customFormat="1" ht="36" x14ac:dyDescent="0.2">
      <c r="A2483" s="626" t="s">
        <v>5569</v>
      </c>
      <c r="B2483" s="626" t="s">
        <v>1908</v>
      </c>
      <c r="C2483" s="638" t="s">
        <v>5603</v>
      </c>
      <c r="D2483" s="626" t="s">
        <v>5627</v>
      </c>
      <c r="E2483" s="636">
        <v>1100</v>
      </c>
      <c r="F2483" s="637">
        <v>33827718</v>
      </c>
      <c r="G2483" s="626" t="s">
        <v>5628</v>
      </c>
      <c r="H2483" s="626" t="s">
        <v>3778</v>
      </c>
      <c r="I2483" s="638" t="s">
        <v>5575</v>
      </c>
      <c r="J2483" s="626" t="s">
        <v>5575</v>
      </c>
      <c r="K2483" s="698"/>
      <c r="L2483" s="645">
        <v>10</v>
      </c>
      <c r="M2483" s="667">
        <f t="shared" si="15"/>
        <v>11000</v>
      </c>
      <c r="N2483" s="645"/>
      <c r="O2483" s="644"/>
      <c r="P2483" s="643"/>
    </row>
    <row r="2484" spans="1:16" s="619" customFormat="1" ht="48" x14ac:dyDescent="0.2">
      <c r="A2484" s="626" t="s">
        <v>5569</v>
      </c>
      <c r="B2484" s="626" t="s">
        <v>1908</v>
      </c>
      <c r="C2484" s="638" t="s">
        <v>5603</v>
      </c>
      <c r="D2484" s="626" t="s">
        <v>5614</v>
      </c>
      <c r="E2484" s="636">
        <v>1533.33</v>
      </c>
      <c r="F2484" s="637">
        <v>72747394</v>
      </c>
      <c r="G2484" s="626" t="s">
        <v>5629</v>
      </c>
      <c r="H2484" s="626" t="s">
        <v>5630</v>
      </c>
      <c r="I2484" s="638" t="s">
        <v>5631</v>
      </c>
      <c r="J2484" s="626" t="s">
        <v>1913</v>
      </c>
      <c r="K2484" s="698"/>
      <c r="L2484" s="645">
        <v>6</v>
      </c>
      <c r="M2484" s="667">
        <f t="shared" si="15"/>
        <v>9199.98</v>
      </c>
      <c r="N2484" s="645"/>
      <c r="O2484" s="644"/>
      <c r="P2484" s="643"/>
    </row>
    <row r="2485" spans="1:16" s="619" customFormat="1" ht="36" x14ac:dyDescent="0.2">
      <c r="A2485" s="626" t="s">
        <v>5569</v>
      </c>
      <c r="B2485" s="626" t="s">
        <v>1908</v>
      </c>
      <c r="C2485" s="638" t="s">
        <v>5603</v>
      </c>
      <c r="D2485" s="626" t="s">
        <v>5632</v>
      </c>
      <c r="E2485" s="636">
        <v>1008</v>
      </c>
      <c r="F2485" s="637">
        <v>75192313</v>
      </c>
      <c r="G2485" s="626" t="s">
        <v>5600</v>
      </c>
      <c r="H2485" s="626" t="s">
        <v>5633</v>
      </c>
      <c r="I2485" s="638" t="s">
        <v>5633</v>
      </c>
      <c r="J2485" s="626" t="s">
        <v>1913</v>
      </c>
      <c r="K2485" s="698"/>
      <c r="L2485" s="645">
        <v>5</v>
      </c>
      <c r="M2485" s="667">
        <f t="shared" si="15"/>
        <v>5040</v>
      </c>
      <c r="N2485" s="645"/>
      <c r="O2485" s="644"/>
      <c r="P2485" s="643"/>
    </row>
    <row r="2486" spans="1:16" s="619" customFormat="1" ht="36" x14ac:dyDescent="0.2">
      <c r="A2486" s="626" t="s">
        <v>5569</v>
      </c>
      <c r="B2486" s="626" t="s">
        <v>1908</v>
      </c>
      <c r="C2486" s="638" t="s">
        <v>5603</v>
      </c>
      <c r="D2486" s="626" t="s">
        <v>5632</v>
      </c>
      <c r="E2486" s="636">
        <v>1950</v>
      </c>
      <c r="F2486" s="637">
        <v>40040613</v>
      </c>
      <c r="G2486" s="626" t="s">
        <v>5634</v>
      </c>
      <c r="H2486" s="626" t="s">
        <v>2232</v>
      </c>
      <c r="I2486" s="638" t="s">
        <v>2232</v>
      </c>
      <c r="J2486" s="626" t="s">
        <v>1913</v>
      </c>
      <c r="K2486" s="698"/>
      <c r="L2486" s="645">
        <v>2</v>
      </c>
      <c r="M2486" s="667">
        <f t="shared" si="15"/>
        <v>3900</v>
      </c>
      <c r="N2486" s="645"/>
      <c r="O2486" s="644"/>
      <c r="P2486" s="643"/>
    </row>
    <row r="2487" spans="1:16" s="619" customFormat="1" ht="36" x14ac:dyDescent="0.2">
      <c r="A2487" s="626" t="s">
        <v>5569</v>
      </c>
      <c r="B2487" s="626" t="s">
        <v>1908</v>
      </c>
      <c r="C2487" s="638" t="s">
        <v>5603</v>
      </c>
      <c r="D2487" s="626" t="s">
        <v>5635</v>
      </c>
      <c r="E2487" s="636">
        <v>1385</v>
      </c>
      <c r="F2487" s="637">
        <v>70902152</v>
      </c>
      <c r="G2487" s="626" t="s">
        <v>5636</v>
      </c>
      <c r="H2487" s="626" t="s">
        <v>1416</v>
      </c>
      <c r="I2487" s="638" t="s">
        <v>1416</v>
      </c>
      <c r="J2487" s="626" t="s">
        <v>1913</v>
      </c>
      <c r="K2487" s="698"/>
      <c r="L2487" s="645">
        <v>10</v>
      </c>
      <c r="M2487" s="667">
        <f t="shared" si="15"/>
        <v>13850</v>
      </c>
      <c r="N2487" s="645"/>
      <c r="O2487" s="644"/>
      <c r="P2487" s="643"/>
    </row>
    <row r="2488" spans="1:16" s="619" customFormat="1" ht="36" x14ac:dyDescent="0.2">
      <c r="A2488" s="626" t="s">
        <v>5569</v>
      </c>
      <c r="B2488" s="626" t="s">
        <v>1908</v>
      </c>
      <c r="C2488" s="638" t="s">
        <v>5603</v>
      </c>
      <c r="D2488" s="626" t="s">
        <v>5637</v>
      </c>
      <c r="E2488" s="636">
        <v>1887.5</v>
      </c>
      <c r="F2488" s="637">
        <v>33678947</v>
      </c>
      <c r="G2488" s="626" t="s">
        <v>5638</v>
      </c>
      <c r="H2488" s="626" t="s">
        <v>3778</v>
      </c>
      <c r="I2488" s="638" t="s">
        <v>5575</v>
      </c>
      <c r="J2488" s="626" t="s">
        <v>5575</v>
      </c>
      <c r="K2488" s="698"/>
      <c r="L2488" s="645">
        <v>8</v>
      </c>
      <c r="M2488" s="667">
        <f t="shared" si="15"/>
        <v>15100</v>
      </c>
      <c r="N2488" s="645"/>
      <c r="O2488" s="644"/>
      <c r="P2488" s="643"/>
    </row>
    <row r="2489" spans="1:16" s="619" customFormat="1" ht="48" x14ac:dyDescent="0.2">
      <c r="A2489" s="626" t="s">
        <v>5569</v>
      </c>
      <c r="B2489" s="626" t="s">
        <v>1908</v>
      </c>
      <c r="C2489" s="638" t="s">
        <v>5603</v>
      </c>
      <c r="D2489" s="626" t="s">
        <v>5639</v>
      </c>
      <c r="E2489" s="636">
        <v>1187.5</v>
      </c>
      <c r="F2489" s="637">
        <v>70561555</v>
      </c>
      <c r="G2489" s="626" t="s">
        <v>5640</v>
      </c>
      <c r="H2489" s="626" t="s">
        <v>5616</v>
      </c>
      <c r="I2489" s="638" t="s">
        <v>5616</v>
      </c>
      <c r="J2489" s="626" t="s">
        <v>1913</v>
      </c>
      <c r="K2489" s="698"/>
      <c r="L2489" s="645">
        <v>4</v>
      </c>
      <c r="M2489" s="667">
        <f t="shared" si="15"/>
        <v>4750</v>
      </c>
      <c r="N2489" s="645"/>
      <c r="O2489" s="644"/>
      <c r="P2489" s="643"/>
    </row>
    <row r="2490" spans="1:16" s="619" customFormat="1" ht="36" x14ac:dyDescent="0.2">
      <c r="A2490" s="626" t="s">
        <v>5569</v>
      </c>
      <c r="B2490" s="626" t="s">
        <v>1908</v>
      </c>
      <c r="C2490" s="638" t="s">
        <v>5603</v>
      </c>
      <c r="D2490" s="626" t="s">
        <v>5641</v>
      </c>
      <c r="E2490" s="636">
        <v>1824.5</v>
      </c>
      <c r="F2490" s="637">
        <v>70084597</v>
      </c>
      <c r="G2490" s="626" t="s">
        <v>5642</v>
      </c>
      <c r="H2490" s="626" t="s">
        <v>5621</v>
      </c>
      <c r="I2490" s="638" t="s">
        <v>5621</v>
      </c>
      <c r="J2490" s="626" t="s">
        <v>1913</v>
      </c>
      <c r="K2490" s="698"/>
      <c r="L2490" s="645"/>
      <c r="M2490" s="667"/>
      <c r="N2490" s="645"/>
      <c r="O2490" s="644">
        <v>2</v>
      </c>
      <c r="P2490" s="643">
        <f>E2490*O2490</f>
        <v>3649</v>
      </c>
    </row>
    <row r="2491" spans="1:16" s="619" customFormat="1" ht="48" x14ac:dyDescent="0.2">
      <c r="A2491" s="626" t="s">
        <v>5569</v>
      </c>
      <c r="B2491" s="626" t="s">
        <v>1908</v>
      </c>
      <c r="C2491" s="638" t="s">
        <v>5603</v>
      </c>
      <c r="D2491" s="626" t="s">
        <v>5643</v>
      </c>
      <c r="E2491" s="636">
        <v>1000</v>
      </c>
      <c r="F2491" s="637">
        <v>47498070</v>
      </c>
      <c r="G2491" s="626" t="s">
        <v>5617</v>
      </c>
      <c r="H2491" s="626" t="s">
        <v>5618</v>
      </c>
      <c r="I2491" s="638" t="s">
        <v>1931</v>
      </c>
      <c r="J2491" s="626" t="s">
        <v>1931</v>
      </c>
      <c r="K2491" s="698"/>
      <c r="L2491" s="645"/>
      <c r="M2491" s="667"/>
      <c r="N2491" s="645"/>
      <c r="O2491" s="644">
        <v>2</v>
      </c>
      <c r="P2491" s="643">
        <f t="shared" ref="P2491:P2501" si="16">E2491*O2491</f>
        <v>2000</v>
      </c>
    </row>
    <row r="2492" spans="1:16" s="619" customFormat="1" ht="36" x14ac:dyDescent="0.2">
      <c r="A2492" s="626" t="s">
        <v>5569</v>
      </c>
      <c r="B2492" s="626" t="s">
        <v>1908</v>
      </c>
      <c r="C2492" s="638" t="s">
        <v>5603</v>
      </c>
      <c r="D2492" s="626" t="s">
        <v>4782</v>
      </c>
      <c r="E2492" s="636">
        <v>520</v>
      </c>
      <c r="F2492" s="637">
        <v>45693085</v>
      </c>
      <c r="G2492" s="626" t="s">
        <v>5644</v>
      </c>
      <c r="H2492" s="626" t="s">
        <v>5645</v>
      </c>
      <c r="I2492" s="638" t="s">
        <v>5645</v>
      </c>
      <c r="J2492" s="626" t="s">
        <v>1913</v>
      </c>
      <c r="K2492" s="698"/>
      <c r="L2492" s="645"/>
      <c r="M2492" s="667"/>
      <c r="N2492" s="645"/>
      <c r="O2492" s="644">
        <v>1</v>
      </c>
      <c r="P2492" s="643">
        <f t="shared" si="16"/>
        <v>520</v>
      </c>
    </row>
    <row r="2493" spans="1:16" s="619" customFormat="1" ht="36" x14ac:dyDescent="0.2">
      <c r="A2493" s="626" t="s">
        <v>5569</v>
      </c>
      <c r="B2493" s="626" t="s">
        <v>1908</v>
      </c>
      <c r="C2493" s="638" t="s">
        <v>5603</v>
      </c>
      <c r="D2493" s="626" t="s">
        <v>4782</v>
      </c>
      <c r="E2493" s="636">
        <v>1000</v>
      </c>
      <c r="F2493" s="637" t="s">
        <v>5622</v>
      </c>
      <c r="G2493" s="626" t="s">
        <v>5623</v>
      </c>
      <c r="H2493" s="626" t="s">
        <v>5624</v>
      </c>
      <c r="I2493" s="638" t="s">
        <v>5624</v>
      </c>
      <c r="J2493" s="626" t="s">
        <v>1913</v>
      </c>
      <c r="K2493" s="698"/>
      <c r="L2493" s="645"/>
      <c r="M2493" s="667"/>
      <c r="N2493" s="645"/>
      <c r="O2493" s="644">
        <v>5</v>
      </c>
      <c r="P2493" s="643">
        <f t="shared" si="16"/>
        <v>5000</v>
      </c>
    </row>
    <row r="2494" spans="1:16" s="619" customFormat="1" ht="36" x14ac:dyDescent="0.2">
      <c r="A2494" s="626" t="s">
        <v>5569</v>
      </c>
      <c r="B2494" s="626" t="s">
        <v>1908</v>
      </c>
      <c r="C2494" s="638" t="s">
        <v>5603</v>
      </c>
      <c r="D2494" s="626" t="s">
        <v>5627</v>
      </c>
      <c r="E2494" s="636">
        <v>1000</v>
      </c>
      <c r="F2494" s="637">
        <v>33827718</v>
      </c>
      <c r="G2494" s="626" t="s">
        <v>5628</v>
      </c>
      <c r="H2494" s="626" t="s">
        <v>3778</v>
      </c>
      <c r="I2494" s="638" t="s">
        <v>5575</v>
      </c>
      <c r="J2494" s="626" t="s">
        <v>5575</v>
      </c>
      <c r="K2494" s="698"/>
      <c r="L2494" s="645"/>
      <c r="M2494" s="667"/>
      <c r="N2494" s="645"/>
      <c r="O2494" s="644">
        <v>4</v>
      </c>
      <c r="P2494" s="643">
        <f t="shared" si="16"/>
        <v>4000</v>
      </c>
    </row>
    <row r="2495" spans="1:16" s="619" customFormat="1" ht="36" x14ac:dyDescent="0.2">
      <c r="A2495" s="626" t="s">
        <v>5569</v>
      </c>
      <c r="B2495" s="626" t="s">
        <v>1908</v>
      </c>
      <c r="C2495" s="638" t="s">
        <v>5603</v>
      </c>
      <c r="D2495" s="626" t="s">
        <v>5646</v>
      </c>
      <c r="E2495" s="636">
        <v>1000</v>
      </c>
      <c r="F2495" s="637">
        <v>76154758</v>
      </c>
      <c r="G2495" s="626" t="s">
        <v>5647</v>
      </c>
      <c r="H2495" s="626"/>
      <c r="I2495" s="638"/>
      <c r="J2495" s="626"/>
      <c r="K2495" s="698"/>
      <c r="L2495" s="645"/>
      <c r="M2495" s="667"/>
      <c r="N2495" s="645"/>
      <c r="O2495" s="644">
        <v>1</v>
      </c>
      <c r="P2495" s="643">
        <f t="shared" si="16"/>
        <v>1000</v>
      </c>
    </row>
    <row r="2496" spans="1:16" s="619" customFormat="1" ht="36" x14ac:dyDescent="0.2">
      <c r="A2496" s="626" t="s">
        <v>5569</v>
      </c>
      <c r="B2496" s="626" t="s">
        <v>1908</v>
      </c>
      <c r="C2496" s="638" t="s">
        <v>5603</v>
      </c>
      <c r="D2496" s="626" t="s">
        <v>5648</v>
      </c>
      <c r="E2496" s="636">
        <v>2000</v>
      </c>
      <c r="F2496" s="637">
        <v>17623030</v>
      </c>
      <c r="G2496" s="626" t="s">
        <v>5649</v>
      </c>
      <c r="H2496" s="626" t="s">
        <v>2563</v>
      </c>
      <c r="I2496" s="638"/>
      <c r="J2496" s="626"/>
      <c r="K2496" s="698"/>
      <c r="L2496" s="645"/>
      <c r="M2496" s="667"/>
      <c r="N2496" s="645"/>
      <c r="O2496" s="644">
        <v>1</v>
      </c>
      <c r="P2496" s="643">
        <f t="shared" si="16"/>
        <v>2000</v>
      </c>
    </row>
    <row r="2497" spans="1:16" s="619" customFormat="1" ht="36" x14ac:dyDescent="0.2">
      <c r="A2497" s="626" t="s">
        <v>5569</v>
      </c>
      <c r="B2497" s="626" t="s">
        <v>1908</v>
      </c>
      <c r="C2497" s="638" t="s">
        <v>5603</v>
      </c>
      <c r="D2497" s="626" t="s">
        <v>5650</v>
      </c>
      <c r="E2497" s="636">
        <v>1166.67</v>
      </c>
      <c r="F2497" s="637">
        <v>46860903</v>
      </c>
      <c r="G2497" s="626" t="s">
        <v>5651</v>
      </c>
      <c r="H2497" s="626" t="s">
        <v>5618</v>
      </c>
      <c r="I2497" s="638" t="s">
        <v>1931</v>
      </c>
      <c r="J2497" s="626" t="s">
        <v>1931</v>
      </c>
      <c r="K2497" s="698"/>
      <c r="L2497" s="645"/>
      <c r="M2497" s="667"/>
      <c r="N2497" s="645"/>
      <c r="O2497" s="644">
        <v>3</v>
      </c>
      <c r="P2497" s="643">
        <f t="shared" si="16"/>
        <v>3500.01</v>
      </c>
    </row>
    <row r="2498" spans="1:16" s="619" customFormat="1" ht="36" x14ac:dyDescent="0.2">
      <c r="A2498" s="626" t="s">
        <v>5569</v>
      </c>
      <c r="B2498" s="626" t="s">
        <v>1908</v>
      </c>
      <c r="C2498" s="638" t="s">
        <v>5603</v>
      </c>
      <c r="D2498" s="626" t="s">
        <v>5652</v>
      </c>
      <c r="E2498" s="636">
        <v>1500</v>
      </c>
      <c r="F2498" s="637">
        <v>33678947</v>
      </c>
      <c r="G2498" s="626" t="s">
        <v>5638</v>
      </c>
      <c r="H2498" s="626" t="s">
        <v>3778</v>
      </c>
      <c r="I2498" s="638" t="s">
        <v>5575</v>
      </c>
      <c r="J2498" s="626" t="s">
        <v>5575</v>
      </c>
      <c r="K2498" s="698"/>
      <c r="L2498" s="645"/>
      <c r="M2498" s="667"/>
      <c r="N2498" s="645"/>
      <c r="O2498" s="644">
        <v>1</v>
      </c>
      <c r="P2498" s="643">
        <f t="shared" si="16"/>
        <v>1500</v>
      </c>
    </row>
    <row r="2499" spans="1:16" s="619" customFormat="1" ht="36" x14ac:dyDescent="0.2">
      <c r="A2499" s="626" t="s">
        <v>5569</v>
      </c>
      <c r="B2499" s="626" t="s">
        <v>1908</v>
      </c>
      <c r="C2499" s="638" t="s">
        <v>5603</v>
      </c>
      <c r="D2499" s="626" t="s">
        <v>5653</v>
      </c>
      <c r="E2499" s="636">
        <v>534</v>
      </c>
      <c r="F2499" s="637">
        <v>48009683</v>
      </c>
      <c r="G2499" s="626" t="s">
        <v>5654</v>
      </c>
      <c r="H2499" s="626" t="s">
        <v>1982</v>
      </c>
      <c r="I2499" s="638" t="s">
        <v>1982</v>
      </c>
      <c r="J2499" s="626" t="s">
        <v>1913</v>
      </c>
      <c r="K2499" s="698"/>
      <c r="L2499" s="645"/>
      <c r="M2499" s="667"/>
      <c r="N2499" s="645"/>
      <c r="O2499" s="644">
        <v>1</v>
      </c>
      <c r="P2499" s="643">
        <f t="shared" si="16"/>
        <v>534</v>
      </c>
    </row>
    <row r="2500" spans="1:16" s="619" customFormat="1" ht="36" x14ac:dyDescent="0.2">
      <c r="A2500" s="626" t="s">
        <v>5569</v>
      </c>
      <c r="B2500" s="626" t="s">
        <v>1908</v>
      </c>
      <c r="C2500" s="638" t="s">
        <v>5603</v>
      </c>
      <c r="D2500" s="626" t="s">
        <v>5635</v>
      </c>
      <c r="E2500" s="636">
        <v>1500</v>
      </c>
      <c r="F2500" s="637">
        <v>72927763</v>
      </c>
      <c r="G2500" s="626" t="s">
        <v>5655</v>
      </c>
      <c r="H2500" s="626" t="s">
        <v>1911</v>
      </c>
      <c r="I2500" s="638" t="s">
        <v>1911</v>
      </c>
      <c r="J2500" s="626" t="s">
        <v>1913</v>
      </c>
      <c r="K2500" s="698"/>
      <c r="L2500" s="645"/>
      <c r="M2500" s="667"/>
      <c r="N2500" s="645"/>
      <c r="O2500" s="644">
        <v>1</v>
      </c>
      <c r="P2500" s="643">
        <f t="shared" si="16"/>
        <v>1500</v>
      </c>
    </row>
    <row r="2501" spans="1:16" s="619" customFormat="1" ht="36.75" thickBot="1" x14ac:dyDescent="0.25">
      <c r="A2501" s="626" t="s">
        <v>5569</v>
      </c>
      <c r="B2501" s="626" t="s">
        <v>1908</v>
      </c>
      <c r="C2501" s="638" t="s">
        <v>5603</v>
      </c>
      <c r="D2501" s="626" t="s">
        <v>5656</v>
      </c>
      <c r="E2501" s="636">
        <v>1000</v>
      </c>
      <c r="F2501" s="637">
        <v>70560157</v>
      </c>
      <c r="G2501" s="626" t="s">
        <v>5657</v>
      </c>
      <c r="H2501" s="626" t="s">
        <v>1951</v>
      </c>
      <c r="I2501" s="638" t="s">
        <v>1931</v>
      </c>
      <c r="J2501" s="626" t="s">
        <v>1931</v>
      </c>
      <c r="K2501" s="698"/>
      <c r="L2501" s="699"/>
      <c r="M2501" s="667"/>
      <c r="N2501" s="699"/>
      <c r="O2501" s="644">
        <v>1</v>
      </c>
      <c r="P2501" s="679">
        <f t="shared" si="16"/>
        <v>1000</v>
      </c>
    </row>
    <row r="2502" spans="1:16" s="619" customFormat="1" ht="13.5" customHeight="1" thickBot="1" x14ac:dyDescent="0.25">
      <c r="A2502" s="1149" t="s">
        <v>1829</v>
      </c>
      <c r="B2502" s="1150"/>
      <c r="C2502" s="1150"/>
      <c r="D2502" s="1151"/>
      <c r="E2502" s="610">
        <f>SUM(E2459:E2501)</f>
        <v>56539.39</v>
      </c>
      <c r="F2502" s="623"/>
      <c r="G2502" s="109"/>
      <c r="H2502" s="109"/>
      <c r="I2502" s="109"/>
      <c r="J2502" s="109"/>
      <c r="K2502" s="623"/>
      <c r="L2502" s="109"/>
      <c r="M2502" s="610">
        <f>SUM(M2459:M2501)</f>
        <v>174987.99</v>
      </c>
      <c r="N2502" s="623"/>
      <c r="O2502" s="623"/>
      <c r="P2502" s="610">
        <f>SUM(P2459:P2501)</f>
        <v>102403.01</v>
      </c>
    </row>
    <row r="2503" spans="1:16" s="619" customFormat="1" ht="36" x14ac:dyDescent="0.2">
      <c r="A2503" s="630" t="s">
        <v>5658</v>
      </c>
      <c r="B2503" s="626" t="s">
        <v>1908</v>
      </c>
      <c r="C2503" s="638" t="s">
        <v>104</v>
      </c>
      <c r="D2503" s="626" t="s">
        <v>5659</v>
      </c>
      <c r="E2503" s="636">
        <v>3500</v>
      </c>
      <c r="F2503" s="637" t="s">
        <v>5660</v>
      </c>
      <c r="G2503" s="626" t="s">
        <v>5661</v>
      </c>
      <c r="H2503" s="626" t="s">
        <v>5662</v>
      </c>
      <c r="I2503" s="638" t="s">
        <v>5663</v>
      </c>
      <c r="J2503" s="626" t="s">
        <v>5662</v>
      </c>
      <c r="K2503" s="700"/>
      <c r="L2503" s="633"/>
      <c r="M2503" s="636"/>
      <c r="N2503" s="630">
        <v>10</v>
      </c>
      <c r="O2503" s="638">
        <v>4</v>
      </c>
      <c r="P2503" s="701">
        <f t="shared" ref="P2503:P2566" si="17">E2503*O2503</f>
        <v>14000</v>
      </c>
    </row>
    <row r="2504" spans="1:16" s="619" customFormat="1" ht="36" x14ac:dyDescent="0.2">
      <c r="A2504" s="626" t="s">
        <v>5658</v>
      </c>
      <c r="B2504" s="626" t="s">
        <v>1908</v>
      </c>
      <c r="C2504" s="638" t="s">
        <v>104</v>
      </c>
      <c r="D2504" s="626" t="s">
        <v>3681</v>
      </c>
      <c r="E2504" s="636">
        <v>1150</v>
      </c>
      <c r="F2504" s="637" t="s">
        <v>5664</v>
      </c>
      <c r="G2504" s="626" t="s">
        <v>5665</v>
      </c>
      <c r="H2504" s="626" t="s">
        <v>1919</v>
      </c>
      <c r="I2504" s="638" t="s">
        <v>5666</v>
      </c>
      <c r="J2504" s="626" t="s">
        <v>5667</v>
      </c>
      <c r="K2504" s="702"/>
      <c r="L2504" s="654"/>
      <c r="M2504" s="636"/>
      <c r="N2504" s="626">
        <v>9</v>
      </c>
      <c r="O2504" s="638">
        <v>3</v>
      </c>
      <c r="P2504" s="703">
        <f t="shared" si="17"/>
        <v>3450</v>
      </c>
    </row>
    <row r="2505" spans="1:16" s="619" customFormat="1" ht="36" x14ac:dyDescent="0.2">
      <c r="A2505" s="626" t="s">
        <v>5658</v>
      </c>
      <c r="B2505" s="626" t="s">
        <v>1908</v>
      </c>
      <c r="C2505" s="638" t="s">
        <v>104</v>
      </c>
      <c r="D2505" s="626" t="s">
        <v>5668</v>
      </c>
      <c r="E2505" s="636">
        <v>4000</v>
      </c>
      <c r="F2505" s="637" t="s">
        <v>5669</v>
      </c>
      <c r="G2505" s="626" t="s">
        <v>5670</v>
      </c>
      <c r="H2505" s="626" t="s">
        <v>5671</v>
      </c>
      <c r="I2505" s="638" t="s">
        <v>5663</v>
      </c>
      <c r="J2505" s="626" t="s">
        <v>5672</v>
      </c>
      <c r="K2505" s="702"/>
      <c r="L2505" s="654"/>
      <c r="M2505" s="636"/>
      <c r="N2505" s="626">
        <v>8</v>
      </c>
      <c r="O2505" s="638">
        <v>2</v>
      </c>
      <c r="P2505" s="703">
        <f t="shared" si="17"/>
        <v>8000</v>
      </c>
    </row>
    <row r="2506" spans="1:16" s="619" customFormat="1" ht="36" x14ac:dyDescent="0.2">
      <c r="A2506" s="626" t="s">
        <v>5658</v>
      </c>
      <c r="B2506" s="626" t="s">
        <v>1908</v>
      </c>
      <c r="C2506" s="638" t="s">
        <v>104</v>
      </c>
      <c r="D2506" s="626" t="s">
        <v>5668</v>
      </c>
      <c r="E2506" s="636">
        <v>4000</v>
      </c>
      <c r="F2506" s="637" t="s">
        <v>5673</v>
      </c>
      <c r="G2506" s="626" t="s">
        <v>5674</v>
      </c>
      <c r="H2506" s="626" t="s">
        <v>5675</v>
      </c>
      <c r="I2506" s="638" t="s">
        <v>3768</v>
      </c>
      <c r="J2506" s="626" t="s">
        <v>5676</v>
      </c>
      <c r="K2506" s="702"/>
      <c r="L2506" s="654"/>
      <c r="M2506" s="636"/>
      <c r="N2506" s="626">
        <v>8</v>
      </c>
      <c r="O2506" s="638">
        <v>2</v>
      </c>
      <c r="P2506" s="703">
        <f t="shared" si="17"/>
        <v>8000</v>
      </c>
    </row>
    <row r="2507" spans="1:16" s="619" customFormat="1" ht="48" x14ac:dyDescent="0.2">
      <c r="A2507" s="626" t="s">
        <v>5658</v>
      </c>
      <c r="B2507" s="626" t="s">
        <v>1908</v>
      </c>
      <c r="C2507" s="638" t="s">
        <v>104</v>
      </c>
      <c r="D2507" s="626" t="s">
        <v>5668</v>
      </c>
      <c r="E2507" s="636">
        <v>4000</v>
      </c>
      <c r="F2507" s="637" t="s">
        <v>5677</v>
      </c>
      <c r="G2507" s="626" t="s">
        <v>5678</v>
      </c>
      <c r="H2507" s="626" t="s">
        <v>5679</v>
      </c>
      <c r="I2507" s="638" t="s">
        <v>5663</v>
      </c>
      <c r="J2507" s="626" t="s">
        <v>5672</v>
      </c>
      <c r="K2507" s="702"/>
      <c r="L2507" s="654"/>
      <c r="M2507" s="636"/>
      <c r="N2507" s="626">
        <v>8</v>
      </c>
      <c r="O2507" s="638">
        <v>2</v>
      </c>
      <c r="P2507" s="703">
        <f t="shared" si="17"/>
        <v>8000</v>
      </c>
    </row>
    <row r="2508" spans="1:16" s="619" customFormat="1" ht="36" x14ac:dyDescent="0.2">
      <c r="A2508" s="626" t="s">
        <v>5658</v>
      </c>
      <c r="B2508" s="626" t="s">
        <v>1908</v>
      </c>
      <c r="C2508" s="638" t="s">
        <v>104</v>
      </c>
      <c r="D2508" s="626" t="s">
        <v>5668</v>
      </c>
      <c r="E2508" s="636">
        <v>4000</v>
      </c>
      <c r="F2508" s="637" t="s">
        <v>5680</v>
      </c>
      <c r="G2508" s="626" t="s">
        <v>5681</v>
      </c>
      <c r="H2508" s="626" t="s">
        <v>5682</v>
      </c>
      <c r="I2508" s="638" t="s">
        <v>5663</v>
      </c>
      <c r="J2508" s="626" t="s">
        <v>5672</v>
      </c>
      <c r="K2508" s="702"/>
      <c r="L2508" s="654"/>
      <c r="M2508" s="636"/>
      <c r="N2508" s="626">
        <v>8</v>
      </c>
      <c r="O2508" s="638">
        <v>2</v>
      </c>
      <c r="P2508" s="703">
        <f t="shared" si="17"/>
        <v>8000</v>
      </c>
    </row>
    <row r="2509" spans="1:16" s="619" customFormat="1" ht="36" x14ac:dyDescent="0.2">
      <c r="A2509" s="626" t="s">
        <v>5658</v>
      </c>
      <c r="B2509" s="626" t="s">
        <v>1908</v>
      </c>
      <c r="C2509" s="638" t="s">
        <v>104</v>
      </c>
      <c r="D2509" s="626" t="s">
        <v>5668</v>
      </c>
      <c r="E2509" s="636">
        <v>4000</v>
      </c>
      <c r="F2509" s="637" t="s">
        <v>5683</v>
      </c>
      <c r="G2509" s="626" t="s">
        <v>5684</v>
      </c>
      <c r="H2509" s="626" t="s">
        <v>5675</v>
      </c>
      <c r="I2509" s="638" t="s">
        <v>3768</v>
      </c>
      <c r="J2509" s="626" t="s">
        <v>2662</v>
      </c>
      <c r="K2509" s="702"/>
      <c r="L2509" s="654"/>
      <c r="M2509" s="636"/>
      <c r="N2509" s="626">
        <v>8</v>
      </c>
      <c r="O2509" s="638">
        <v>2</v>
      </c>
      <c r="P2509" s="703">
        <f t="shared" si="17"/>
        <v>8000</v>
      </c>
    </row>
    <row r="2510" spans="1:16" s="619" customFormat="1" ht="48" x14ac:dyDescent="0.2">
      <c r="A2510" s="626" t="s">
        <v>5658</v>
      </c>
      <c r="B2510" s="626" t="s">
        <v>1908</v>
      </c>
      <c r="C2510" s="638" t="s">
        <v>104</v>
      </c>
      <c r="D2510" s="626" t="s">
        <v>5668</v>
      </c>
      <c r="E2510" s="636">
        <v>4000</v>
      </c>
      <c r="F2510" s="637" t="s">
        <v>5685</v>
      </c>
      <c r="G2510" s="626" t="s">
        <v>5686</v>
      </c>
      <c r="H2510" s="626" t="s">
        <v>5679</v>
      </c>
      <c r="I2510" s="638" t="s">
        <v>5663</v>
      </c>
      <c r="J2510" s="626" t="s">
        <v>5672</v>
      </c>
      <c r="K2510" s="702"/>
      <c r="L2510" s="654"/>
      <c r="M2510" s="636"/>
      <c r="N2510" s="626">
        <v>8</v>
      </c>
      <c r="O2510" s="638">
        <v>2</v>
      </c>
      <c r="P2510" s="703">
        <f t="shared" si="17"/>
        <v>8000</v>
      </c>
    </row>
    <row r="2511" spans="1:16" s="619" customFormat="1" ht="36" x14ac:dyDescent="0.2">
      <c r="A2511" s="626" t="s">
        <v>5658</v>
      </c>
      <c r="B2511" s="626" t="s">
        <v>1908</v>
      </c>
      <c r="C2511" s="638" t="s">
        <v>104</v>
      </c>
      <c r="D2511" s="626" t="s">
        <v>5668</v>
      </c>
      <c r="E2511" s="636">
        <v>4000</v>
      </c>
      <c r="F2511" s="637" t="s">
        <v>5687</v>
      </c>
      <c r="G2511" s="626" t="s">
        <v>5688</v>
      </c>
      <c r="H2511" s="626" t="s">
        <v>1416</v>
      </c>
      <c r="I2511" s="638" t="s">
        <v>5663</v>
      </c>
      <c r="J2511" s="626" t="s">
        <v>5689</v>
      </c>
      <c r="K2511" s="702"/>
      <c r="L2511" s="654"/>
      <c r="M2511" s="636"/>
      <c r="N2511" s="626">
        <v>8</v>
      </c>
      <c r="O2511" s="638">
        <v>2</v>
      </c>
      <c r="P2511" s="703">
        <f t="shared" si="17"/>
        <v>8000</v>
      </c>
    </row>
    <row r="2512" spans="1:16" s="619" customFormat="1" ht="36" x14ac:dyDescent="0.2">
      <c r="A2512" s="626" t="s">
        <v>5658</v>
      </c>
      <c r="B2512" s="626" t="s">
        <v>1908</v>
      </c>
      <c r="C2512" s="638" t="s">
        <v>104</v>
      </c>
      <c r="D2512" s="626" t="s">
        <v>5668</v>
      </c>
      <c r="E2512" s="636">
        <v>4000</v>
      </c>
      <c r="F2512" s="637" t="s">
        <v>5690</v>
      </c>
      <c r="G2512" s="626" t="s">
        <v>5691</v>
      </c>
      <c r="H2512" s="626" t="s">
        <v>5692</v>
      </c>
      <c r="I2512" s="638" t="s">
        <v>3768</v>
      </c>
      <c r="J2512" s="626" t="s">
        <v>5676</v>
      </c>
      <c r="K2512" s="702"/>
      <c r="L2512" s="654"/>
      <c r="M2512" s="636"/>
      <c r="N2512" s="626">
        <v>8</v>
      </c>
      <c r="O2512" s="638">
        <v>2</v>
      </c>
      <c r="P2512" s="703">
        <f t="shared" si="17"/>
        <v>8000</v>
      </c>
    </row>
    <row r="2513" spans="1:16" s="619" customFormat="1" ht="48" x14ac:dyDescent="0.2">
      <c r="A2513" s="626" t="s">
        <v>5658</v>
      </c>
      <c r="B2513" s="626" t="s">
        <v>1908</v>
      </c>
      <c r="C2513" s="638" t="s">
        <v>104</v>
      </c>
      <c r="D2513" s="626" t="s">
        <v>5668</v>
      </c>
      <c r="E2513" s="636">
        <v>4000</v>
      </c>
      <c r="F2513" s="637" t="s">
        <v>5693</v>
      </c>
      <c r="G2513" s="626" t="s">
        <v>5694</v>
      </c>
      <c r="H2513" s="626" t="s">
        <v>5695</v>
      </c>
      <c r="I2513" s="638" t="s">
        <v>3768</v>
      </c>
      <c r="J2513" s="626" t="s">
        <v>5676</v>
      </c>
      <c r="K2513" s="702"/>
      <c r="L2513" s="654"/>
      <c r="M2513" s="636"/>
      <c r="N2513" s="626">
        <v>8</v>
      </c>
      <c r="O2513" s="638">
        <v>2</v>
      </c>
      <c r="P2513" s="703">
        <f t="shared" si="17"/>
        <v>8000</v>
      </c>
    </row>
    <row r="2514" spans="1:16" s="619" customFormat="1" ht="36" x14ac:dyDescent="0.2">
      <c r="A2514" s="626" t="s">
        <v>5658</v>
      </c>
      <c r="B2514" s="626" t="s">
        <v>1908</v>
      </c>
      <c r="C2514" s="638" t="s">
        <v>104</v>
      </c>
      <c r="D2514" s="626" t="s">
        <v>5696</v>
      </c>
      <c r="E2514" s="636">
        <v>4000</v>
      </c>
      <c r="F2514" s="637" t="s">
        <v>5697</v>
      </c>
      <c r="G2514" s="626" t="s">
        <v>5698</v>
      </c>
      <c r="H2514" s="626" t="s">
        <v>5699</v>
      </c>
      <c r="I2514" s="638" t="s">
        <v>5663</v>
      </c>
      <c r="J2514" s="626" t="s">
        <v>5672</v>
      </c>
      <c r="K2514" s="702"/>
      <c r="L2514" s="654"/>
      <c r="M2514" s="636"/>
      <c r="N2514" s="626">
        <v>8</v>
      </c>
      <c r="O2514" s="638">
        <v>2</v>
      </c>
      <c r="P2514" s="703">
        <f t="shared" si="17"/>
        <v>8000</v>
      </c>
    </row>
    <row r="2515" spans="1:16" s="619" customFormat="1" ht="48" x14ac:dyDescent="0.2">
      <c r="A2515" s="626" t="s">
        <v>5658</v>
      </c>
      <c r="B2515" s="626" t="s">
        <v>1908</v>
      </c>
      <c r="C2515" s="638" t="s">
        <v>104</v>
      </c>
      <c r="D2515" s="626" t="s">
        <v>5696</v>
      </c>
      <c r="E2515" s="636">
        <v>4000</v>
      </c>
      <c r="F2515" s="637" t="s">
        <v>5700</v>
      </c>
      <c r="G2515" s="626" t="s">
        <v>5701</v>
      </c>
      <c r="H2515" s="626" t="s">
        <v>5702</v>
      </c>
      <c r="I2515" s="638" t="s">
        <v>3768</v>
      </c>
      <c r="J2515" s="626" t="s">
        <v>5676</v>
      </c>
      <c r="K2515" s="702"/>
      <c r="L2515" s="654"/>
      <c r="M2515" s="636"/>
      <c r="N2515" s="626">
        <v>8</v>
      </c>
      <c r="O2515" s="638">
        <v>2</v>
      </c>
      <c r="P2515" s="703">
        <f t="shared" si="17"/>
        <v>8000</v>
      </c>
    </row>
    <row r="2516" spans="1:16" s="619" customFormat="1" ht="36" x14ac:dyDescent="0.2">
      <c r="A2516" s="626" t="s">
        <v>5658</v>
      </c>
      <c r="B2516" s="626" t="s">
        <v>1908</v>
      </c>
      <c r="C2516" s="638" t="s">
        <v>104</v>
      </c>
      <c r="D2516" s="626" t="s">
        <v>5696</v>
      </c>
      <c r="E2516" s="636">
        <v>4000</v>
      </c>
      <c r="F2516" s="637" t="s">
        <v>5703</v>
      </c>
      <c r="G2516" s="626" t="s">
        <v>5704</v>
      </c>
      <c r="H2516" s="626" t="s">
        <v>5702</v>
      </c>
      <c r="I2516" s="638" t="s">
        <v>3768</v>
      </c>
      <c r="J2516" s="626" t="s">
        <v>5676</v>
      </c>
      <c r="K2516" s="702"/>
      <c r="L2516" s="654"/>
      <c r="M2516" s="636"/>
      <c r="N2516" s="626">
        <v>8</v>
      </c>
      <c r="O2516" s="638">
        <v>2</v>
      </c>
      <c r="P2516" s="703">
        <f t="shared" si="17"/>
        <v>8000</v>
      </c>
    </row>
    <row r="2517" spans="1:16" s="619" customFormat="1" ht="36" x14ac:dyDescent="0.2">
      <c r="A2517" s="626" t="s">
        <v>5658</v>
      </c>
      <c r="B2517" s="626" t="s">
        <v>1908</v>
      </c>
      <c r="C2517" s="638" t="s">
        <v>104</v>
      </c>
      <c r="D2517" s="626" t="s">
        <v>5696</v>
      </c>
      <c r="E2517" s="636">
        <v>4000</v>
      </c>
      <c r="F2517" s="637" t="s">
        <v>5705</v>
      </c>
      <c r="G2517" s="626" t="s">
        <v>5706</v>
      </c>
      <c r="H2517" s="626" t="s">
        <v>5699</v>
      </c>
      <c r="I2517" s="638" t="s">
        <v>3768</v>
      </c>
      <c r="J2517" s="626" t="s">
        <v>5676</v>
      </c>
      <c r="K2517" s="702"/>
      <c r="L2517" s="654"/>
      <c r="M2517" s="636"/>
      <c r="N2517" s="626">
        <v>8</v>
      </c>
      <c r="O2517" s="638">
        <v>2</v>
      </c>
      <c r="P2517" s="703">
        <f t="shared" si="17"/>
        <v>8000</v>
      </c>
    </row>
    <row r="2518" spans="1:16" s="619" customFormat="1" ht="36" x14ac:dyDescent="0.2">
      <c r="A2518" s="626" t="s">
        <v>5658</v>
      </c>
      <c r="B2518" s="626" t="s">
        <v>1908</v>
      </c>
      <c r="C2518" s="638" t="s">
        <v>104</v>
      </c>
      <c r="D2518" s="626" t="s">
        <v>5696</v>
      </c>
      <c r="E2518" s="636">
        <v>4000</v>
      </c>
      <c r="F2518" s="637" t="s">
        <v>5707</v>
      </c>
      <c r="G2518" s="626" t="s">
        <v>5708</v>
      </c>
      <c r="H2518" s="626" t="s">
        <v>5699</v>
      </c>
      <c r="I2518" s="638" t="s">
        <v>5663</v>
      </c>
      <c r="J2518" s="626" t="s">
        <v>5672</v>
      </c>
      <c r="K2518" s="702"/>
      <c r="L2518" s="654"/>
      <c r="M2518" s="636"/>
      <c r="N2518" s="626">
        <v>8</v>
      </c>
      <c r="O2518" s="638">
        <v>2</v>
      </c>
      <c r="P2518" s="703">
        <f t="shared" si="17"/>
        <v>8000</v>
      </c>
    </row>
    <row r="2519" spans="1:16" s="619" customFormat="1" ht="36" x14ac:dyDescent="0.2">
      <c r="A2519" s="626" t="s">
        <v>5658</v>
      </c>
      <c r="B2519" s="626" t="s">
        <v>1908</v>
      </c>
      <c r="C2519" s="638" t="s">
        <v>104</v>
      </c>
      <c r="D2519" s="626" t="s">
        <v>5696</v>
      </c>
      <c r="E2519" s="636">
        <v>4000</v>
      </c>
      <c r="F2519" s="637" t="s">
        <v>5709</v>
      </c>
      <c r="G2519" s="626" t="s">
        <v>5710</v>
      </c>
      <c r="H2519" s="626" t="s">
        <v>5702</v>
      </c>
      <c r="I2519" s="638" t="s">
        <v>3768</v>
      </c>
      <c r="J2519" s="626" t="s">
        <v>5676</v>
      </c>
      <c r="K2519" s="702"/>
      <c r="L2519" s="654"/>
      <c r="M2519" s="636"/>
      <c r="N2519" s="626">
        <v>8</v>
      </c>
      <c r="O2519" s="638">
        <v>2</v>
      </c>
      <c r="P2519" s="703">
        <f t="shared" si="17"/>
        <v>8000</v>
      </c>
    </row>
    <row r="2520" spans="1:16" s="619" customFormat="1" ht="36" x14ac:dyDescent="0.2">
      <c r="A2520" s="626" t="s">
        <v>5658</v>
      </c>
      <c r="B2520" s="626" t="s">
        <v>1908</v>
      </c>
      <c r="C2520" s="638" t="s">
        <v>104</v>
      </c>
      <c r="D2520" s="626" t="s">
        <v>5696</v>
      </c>
      <c r="E2520" s="636">
        <v>4000</v>
      </c>
      <c r="F2520" s="637" t="s">
        <v>5711</v>
      </c>
      <c r="G2520" s="626" t="s">
        <v>5712</v>
      </c>
      <c r="H2520" s="626" t="s">
        <v>5713</v>
      </c>
      <c r="I2520" s="638" t="s">
        <v>3768</v>
      </c>
      <c r="J2520" s="626" t="s">
        <v>5676</v>
      </c>
      <c r="K2520" s="702"/>
      <c r="L2520" s="654"/>
      <c r="M2520" s="636"/>
      <c r="N2520" s="626">
        <v>8</v>
      </c>
      <c r="O2520" s="638">
        <v>2</v>
      </c>
      <c r="P2520" s="703">
        <f t="shared" si="17"/>
        <v>8000</v>
      </c>
    </row>
    <row r="2521" spans="1:16" s="619" customFormat="1" ht="36" x14ac:dyDescent="0.2">
      <c r="A2521" s="626" t="s">
        <v>5658</v>
      </c>
      <c r="B2521" s="626" t="s">
        <v>1908</v>
      </c>
      <c r="C2521" s="638" t="s">
        <v>104</v>
      </c>
      <c r="D2521" s="626" t="s">
        <v>5696</v>
      </c>
      <c r="E2521" s="636">
        <v>4000</v>
      </c>
      <c r="F2521" s="637" t="s">
        <v>5714</v>
      </c>
      <c r="G2521" s="626" t="s">
        <v>5715</v>
      </c>
      <c r="H2521" s="626" t="s">
        <v>5716</v>
      </c>
      <c r="I2521" s="638" t="s">
        <v>3768</v>
      </c>
      <c r="J2521" s="626" t="s">
        <v>5676</v>
      </c>
      <c r="K2521" s="702"/>
      <c r="L2521" s="654"/>
      <c r="M2521" s="636"/>
      <c r="N2521" s="626">
        <v>8</v>
      </c>
      <c r="O2521" s="638">
        <v>2</v>
      </c>
      <c r="P2521" s="703">
        <f t="shared" si="17"/>
        <v>8000</v>
      </c>
    </row>
    <row r="2522" spans="1:16" s="619" customFormat="1" ht="36" x14ac:dyDescent="0.2">
      <c r="A2522" s="626" t="s">
        <v>5658</v>
      </c>
      <c r="B2522" s="626" t="s">
        <v>1908</v>
      </c>
      <c r="C2522" s="638" t="s">
        <v>104</v>
      </c>
      <c r="D2522" s="626" t="s">
        <v>5696</v>
      </c>
      <c r="E2522" s="636">
        <v>4000</v>
      </c>
      <c r="F2522" s="637" t="s">
        <v>5717</v>
      </c>
      <c r="G2522" s="626" t="s">
        <v>5718</v>
      </c>
      <c r="H2522" s="626" t="s">
        <v>5713</v>
      </c>
      <c r="I2522" s="638" t="s">
        <v>3768</v>
      </c>
      <c r="J2522" s="626" t="s">
        <v>5676</v>
      </c>
      <c r="K2522" s="702"/>
      <c r="L2522" s="654"/>
      <c r="M2522" s="636"/>
      <c r="N2522" s="626">
        <v>8</v>
      </c>
      <c r="O2522" s="638">
        <v>2</v>
      </c>
      <c r="P2522" s="703">
        <f t="shared" si="17"/>
        <v>8000</v>
      </c>
    </row>
    <row r="2523" spans="1:16" s="619" customFormat="1" ht="36" x14ac:dyDescent="0.2">
      <c r="A2523" s="626" t="s">
        <v>5658</v>
      </c>
      <c r="B2523" s="626" t="s">
        <v>1908</v>
      </c>
      <c r="C2523" s="638" t="s">
        <v>104</v>
      </c>
      <c r="D2523" s="626" t="s">
        <v>5696</v>
      </c>
      <c r="E2523" s="636">
        <v>4000</v>
      </c>
      <c r="F2523" s="637" t="s">
        <v>5719</v>
      </c>
      <c r="G2523" s="626" t="s">
        <v>5720</v>
      </c>
      <c r="H2523" s="626" t="s">
        <v>5699</v>
      </c>
      <c r="I2523" s="638" t="s">
        <v>5663</v>
      </c>
      <c r="J2523" s="626" t="s">
        <v>5672</v>
      </c>
      <c r="K2523" s="702"/>
      <c r="L2523" s="654"/>
      <c r="M2523" s="636"/>
      <c r="N2523" s="626">
        <v>8</v>
      </c>
      <c r="O2523" s="638">
        <v>2</v>
      </c>
      <c r="P2523" s="703">
        <f t="shared" si="17"/>
        <v>8000</v>
      </c>
    </row>
    <row r="2524" spans="1:16" s="619" customFormat="1" ht="36" x14ac:dyDescent="0.2">
      <c r="A2524" s="626" t="s">
        <v>5658</v>
      </c>
      <c r="B2524" s="626" t="s">
        <v>1908</v>
      </c>
      <c r="C2524" s="638" t="s">
        <v>104</v>
      </c>
      <c r="D2524" s="626" t="s">
        <v>5696</v>
      </c>
      <c r="E2524" s="636">
        <v>4000</v>
      </c>
      <c r="F2524" s="637" t="s">
        <v>5721</v>
      </c>
      <c r="G2524" s="626" t="s">
        <v>5722</v>
      </c>
      <c r="H2524" s="626" t="s">
        <v>5699</v>
      </c>
      <c r="I2524" s="638" t="s">
        <v>5663</v>
      </c>
      <c r="J2524" s="626" t="s">
        <v>5672</v>
      </c>
      <c r="K2524" s="702"/>
      <c r="L2524" s="654"/>
      <c r="M2524" s="636"/>
      <c r="N2524" s="626">
        <v>8</v>
      </c>
      <c r="O2524" s="638">
        <v>2</v>
      </c>
      <c r="P2524" s="703">
        <f t="shared" si="17"/>
        <v>8000</v>
      </c>
    </row>
    <row r="2525" spans="1:16" s="619" customFormat="1" ht="36" x14ac:dyDescent="0.2">
      <c r="A2525" s="626" t="s">
        <v>5658</v>
      </c>
      <c r="B2525" s="626" t="s">
        <v>1908</v>
      </c>
      <c r="C2525" s="638" t="s">
        <v>104</v>
      </c>
      <c r="D2525" s="626" t="s">
        <v>5696</v>
      </c>
      <c r="E2525" s="636">
        <v>4000</v>
      </c>
      <c r="F2525" s="637" t="s">
        <v>5723</v>
      </c>
      <c r="G2525" s="626" t="s">
        <v>5724</v>
      </c>
      <c r="H2525" s="626" t="s">
        <v>5713</v>
      </c>
      <c r="I2525" s="638" t="s">
        <v>3768</v>
      </c>
      <c r="J2525" s="626" t="s">
        <v>5676</v>
      </c>
      <c r="K2525" s="702"/>
      <c r="L2525" s="654"/>
      <c r="M2525" s="636"/>
      <c r="N2525" s="626">
        <v>8</v>
      </c>
      <c r="O2525" s="638">
        <v>2</v>
      </c>
      <c r="P2525" s="703">
        <f t="shared" si="17"/>
        <v>8000</v>
      </c>
    </row>
    <row r="2526" spans="1:16" s="619" customFormat="1" ht="36" x14ac:dyDescent="0.2">
      <c r="A2526" s="626" t="s">
        <v>5658</v>
      </c>
      <c r="B2526" s="626" t="s">
        <v>1908</v>
      </c>
      <c r="C2526" s="638" t="s">
        <v>104</v>
      </c>
      <c r="D2526" s="626" t="s">
        <v>5696</v>
      </c>
      <c r="E2526" s="636">
        <v>4000</v>
      </c>
      <c r="F2526" s="637" t="s">
        <v>5725</v>
      </c>
      <c r="G2526" s="626" t="s">
        <v>5726</v>
      </c>
      <c r="H2526" s="626" t="s">
        <v>5713</v>
      </c>
      <c r="I2526" s="638" t="s">
        <v>3768</v>
      </c>
      <c r="J2526" s="626" t="s">
        <v>5676</v>
      </c>
      <c r="K2526" s="702"/>
      <c r="L2526" s="654"/>
      <c r="M2526" s="636"/>
      <c r="N2526" s="626">
        <v>8</v>
      </c>
      <c r="O2526" s="638">
        <v>2</v>
      </c>
      <c r="P2526" s="703">
        <f t="shared" si="17"/>
        <v>8000</v>
      </c>
    </row>
    <row r="2527" spans="1:16" s="619" customFormat="1" ht="36" x14ac:dyDescent="0.2">
      <c r="A2527" s="626" t="s">
        <v>5658</v>
      </c>
      <c r="B2527" s="626" t="s">
        <v>1908</v>
      </c>
      <c r="C2527" s="638" t="s">
        <v>104</v>
      </c>
      <c r="D2527" s="626" t="s">
        <v>5696</v>
      </c>
      <c r="E2527" s="636">
        <v>4000</v>
      </c>
      <c r="F2527" s="637" t="s">
        <v>5727</v>
      </c>
      <c r="G2527" s="626" t="s">
        <v>5728</v>
      </c>
      <c r="H2527" s="626" t="s">
        <v>5713</v>
      </c>
      <c r="I2527" s="638" t="s">
        <v>3768</v>
      </c>
      <c r="J2527" s="626" t="s">
        <v>5676</v>
      </c>
      <c r="K2527" s="702"/>
      <c r="L2527" s="654"/>
      <c r="M2527" s="636"/>
      <c r="N2527" s="626">
        <v>8</v>
      </c>
      <c r="O2527" s="638">
        <v>2</v>
      </c>
      <c r="P2527" s="703">
        <f t="shared" si="17"/>
        <v>8000</v>
      </c>
    </row>
    <row r="2528" spans="1:16" s="619" customFormat="1" ht="36" x14ac:dyDescent="0.2">
      <c r="A2528" s="626" t="s">
        <v>5658</v>
      </c>
      <c r="B2528" s="626" t="s">
        <v>1908</v>
      </c>
      <c r="C2528" s="638" t="s">
        <v>104</v>
      </c>
      <c r="D2528" s="626" t="s">
        <v>5696</v>
      </c>
      <c r="E2528" s="636">
        <v>4000</v>
      </c>
      <c r="F2528" s="637" t="s">
        <v>5729</v>
      </c>
      <c r="G2528" s="626" t="s">
        <v>5730</v>
      </c>
      <c r="H2528" s="626" t="s">
        <v>5731</v>
      </c>
      <c r="I2528" s="638" t="s">
        <v>3768</v>
      </c>
      <c r="J2528" s="626" t="s">
        <v>5676</v>
      </c>
      <c r="K2528" s="702"/>
      <c r="L2528" s="654"/>
      <c r="M2528" s="636"/>
      <c r="N2528" s="626">
        <v>8</v>
      </c>
      <c r="O2528" s="638">
        <v>2</v>
      </c>
      <c r="P2528" s="703">
        <f t="shared" si="17"/>
        <v>8000</v>
      </c>
    </row>
    <row r="2529" spans="1:16" s="619" customFormat="1" ht="36" x14ac:dyDescent="0.2">
      <c r="A2529" s="626" t="s">
        <v>5658</v>
      </c>
      <c r="B2529" s="626" t="s">
        <v>1908</v>
      </c>
      <c r="C2529" s="638" t="s">
        <v>104</v>
      </c>
      <c r="D2529" s="626" t="s">
        <v>5696</v>
      </c>
      <c r="E2529" s="636">
        <v>4000</v>
      </c>
      <c r="F2529" s="637" t="s">
        <v>5732</v>
      </c>
      <c r="G2529" s="626" t="s">
        <v>5733</v>
      </c>
      <c r="H2529" s="626" t="s">
        <v>5731</v>
      </c>
      <c r="I2529" s="638" t="s">
        <v>3768</v>
      </c>
      <c r="J2529" s="626" t="s">
        <v>5676</v>
      </c>
      <c r="K2529" s="702"/>
      <c r="L2529" s="654"/>
      <c r="M2529" s="636"/>
      <c r="N2529" s="626">
        <v>8</v>
      </c>
      <c r="O2529" s="638">
        <v>2</v>
      </c>
      <c r="P2529" s="703">
        <f t="shared" si="17"/>
        <v>8000</v>
      </c>
    </row>
    <row r="2530" spans="1:16" s="619" customFormat="1" ht="36" x14ac:dyDescent="0.2">
      <c r="A2530" s="626" t="s">
        <v>5658</v>
      </c>
      <c r="B2530" s="626" t="s">
        <v>1908</v>
      </c>
      <c r="C2530" s="638" t="s">
        <v>104</v>
      </c>
      <c r="D2530" s="626" t="s">
        <v>5696</v>
      </c>
      <c r="E2530" s="636">
        <v>4000</v>
      </c>
      <c r="F2530" s="637" t="s">
        <v>5734</v>
      </c>
      <c r="G2530" s="626" t="s">
        <v>5735</v>
      </c>
      <c r="H2530" s="626" t="s">
        <v>5699</v>
      </c>
      <c r="I2530" s="638" t="s">
        <v>3768</v>
      </c>
      <c r="J2530" s="626" t="s">
        <v>5676</v>
      </c>
      <c r="K2530" s="702"/>
      <c r="L2530" s="654"/>
      <c r="M2530" s="636"/>
      <c r="N2530" s="626">
        <v>8</v>
      </c>
      <c r="O2530" s="638">
        <v>2</v>
      </c>
      <c r="P2530" s="703">
        <f t="shared" si="17"/>
        <v>8000</v>
      </c>
    </row>
    <row r="2531" spans="1:16" s="619" customFormat="1" ht="36" x14ac:dyDescent="0.2">
      <c r="A2531" s="626" t="s">
        <v>5658</v>
      </c>
      <c r="B2531" s="626" t="s">
        <v>1908</v>
      </c>
      <c r="C2531" s="638" t="s">
        <v>104</v>
      </c>
      <c r="D2531" s="626" t="s">
        <v>5736</v>
      </c>
      <c r="E2531" s="636">
        <v>2500</v>
      </c>
      <c r="F2531" s="637" t="s">
        <v>5737</v>
      </c>
      <c r="G2531" s="626" t="s">
        <v>5738</v>
      </c>
      <c r="H2531" s="626" t="s">
        <v>5337</v>
      </c>
      <c r="I2531" s="638" t="s">
        <v>5663</v>
      </c>
      <c r="J2531" s="626" t="s">
        <v>3529</v>
      </c>
      <c r="K2531" s="702"/>
      <c r="L2531" s="654"/>
      <c r="M2531" s="636"/>
      <c r="N2531" s="626">
        <v>8</v>
      </c>
      <c r="O2531" s="638">
        <v>2</v>
      </c>
      <c r="P2531" s="703">
        <f t="shared" si="17"/>
        <v>5000</v>
      </c>
    </row>
    <row r="2532" spans="1:16" s="619" customFormat="1" ht="36" x14ac:dyDescent="0.2">
      <c r="A2532" s="626" t="s">
        <v>5658</v>
      </c>
      <c r="B2532" s="626" t="s">
        <v>1908</v>
      </c>
      <c r="C2532" s="638" t="s">
        <v>104</v>
      </c>
      <c r="D2532" s="626" t="s">
        <v>5739</v>
      </c>
      <c r="E2532" s="636">
        <v>2000</v>
      </c>
      <c r="F2532" s="637" t="s">
        <v>5740</v>
      </c>
      <c r="G2532" s="626" t="s">
        <v>5741</v>
      </c>
      <c r="H2532" s="626" t="s">
        <v>5742</v>
      </c>
      <c r="I2532" s="638" t="s">
        <v>3768</v>
      </c>
      <c r="J2532" s="626" t="s">
        <v>5676</v>
      </c>
      <c r="K2532" s="702"/>
      <c r="L2532" s="654"/>
      <c r="M2532" s="636"/>
      <c r="N2532" s="626">
        <v>10</v>
      </c>
      <c r="O2532" s="638">
        <v>4</v>
      </c>
      <c r="P2532" s="703">
        <f t="shared" si="17"/>
        <v>8000</v>
      </c>
    </row>
    <row r="2533" spans="1:16" s="619" customFormat="1" ht="48" x14ac:dyDescent="0.2">
      <c r="A2533" s="626" t="s">
        <v>5658</v>
      </c>
      <c r="B2533" s="626" t="s">
        <v>1908</v>
      </c>
      <c r="C2533" s="638" t="s">
        <v>104</v>
      </c>
      <c r="D2533" s="626" t="s">
        <v>5743</v>
      </c>
      <c r="E2533" s="636">
        <v>2500</v>
      </c>
      <c r="F2533" s="637" t="s">
        <v>5744</v>
      </c>
      <c r="G2533" s="626" t="s">
        <v>5745</v>
      </c>
      <c r="H2533" s="626" t="s">
        <v>5662</v>
      </c>
      <c r="I2533" s="638" t="s">
        <v>5663</v>
      </c>
      <c r="J2533" s="626" t="s">
        <v>5662</v>
      </c>
      <c r="K2533" s="702"/>
      <c r="L2533" s="654"/>
      <c r="M2533" s="636"/>
      <c r="N2533" s="626">
        <v>10</v>
      </c>
      <c r="O2533" s="638">
        <v>4</v>
      </c>
      <c r="P2533" s="703">
        <f t="shared" si="17"/>
        <v>10000</v>
      </c>
    </row>
    <row r="2534" spans="1:16" s="619" customFormat="1" ht="36" x14ac:dyDescent="0.2">
      <c r="A2534" s="626" t="s">
        <v>5658</v>
      </c>
      <c r="B2534" s="626" t="s">
        <v>1908</v>
      </c>
      <c r="C2534" s="638" t="s">
        <v>104</v>
      </c>
      <c r="D2534" s="626" t="s">
        <v>5746</v>
      </c>
      <c r="E2534" s="636">
        <v>1150</v>
      </c>
      <c r="F2534" s="637" t="s">
        <v>5747</v>
      </c>
      <c r="G2534" s="626" t="s">
        <v>5748</v>
      </c>
      <c r="H2534" s="626" t="s">
        <v>1919</v>
      </c>
      <c r="I2534" s="638" t="s">
        <v>5666</v>
      </c>
      <c r="J2534" s="626" t="s">
        <v>5667</v>
      </c>
      <c r="K2534" s="702"/>
      <c r="L2534" s="654"/>
      <c r="M2534" s="636"/>
      <c r="N2534" s="626">
        <v>8</v>
      </c>
      <c r="O2534" s="638">
        <v>2</v>
      </c>
      <c r="P2534" s="703">
        <f t="shared" si="17"/>
        <v>2300</v>
      </c>
    </row>
    <row r="2535" spans="1:16" s="619" customFormat="1" ht="36" x14ac:dyDescent="0.2">
      <c r="A2535" s="626" t="s">
        <v>5658</v>
      </c>
      <c r="B2535" s="626" t="s">
        <v>1908</v>
      </c>
      <c r="C2535" s="638" t="s">
        <v>104</v>
      </c>
      <c r="D2535" s="626" t="s">
        <v>5749</v>
      </c>
      <c r="E2535" s="636">
        <v>1400</v>
      </c>
      <c r="F2535" s="637" t="s">
        <v>5750</v>
      </c>
      <c r="G2535" s="626" t="s">
        <v>5751</v>
      </c>
      <c r="H2535" s="626" t="s">
        <v>1919</v>
      </c>
      <c r="I2535" s="638" t="s">
        <v>5666</v>
      </c>
      <c r="J2535" s="626" t="s">
        <v>5667</v>
      </c>
      <c r="K2535" s="702"/>
      <c r="L2535" s="654"/>
      <c r="M2535" s="636"/>
      <c r="N2535" s="626">
        <v>10</v>
      </c>
      <c r="O2535" s="638">
        <v>4</v>
      </c>
      <c r="P2535" s="703">
        <f t="shared" si="17"/>
        <v>5600</v>
      </c>
    </row>
    <row r="2536" spans="1:16" s="619" customFormat="1" ht="36" x14ac:dyDescent="0.2">
      <c r="A2536" s="626" t="s">
        <v>5658</v>
      </c>
      <c r="B2536" s="626" t="s">
        <v>1908</v>
      </c>
      <c r="C2536" s="638" t="s">
        <v>104</v>
      </c>
      <c r="D2536" s="626" t="s">
        <v>5752</v>
      </c>
      <c r="E2536" s="636">
        <v>2500</v>
      </c>
      <c r="F2536" s="637" t="s">
        <v>5753</v>
      </c>
      <c r="G2536" s="626" t="s">
        <v>5754</v>
      </c>
      <c r="H2536" s="626" t="s">
        <v>5755</v>
      </c>
      <c r="I2536" s="638" t="s">
        <v>5663</v>
      </c>
      <c r="J2536" s="626" t="s">
        <v>5672</v>
      </c>
      <c r="K2536" s="702"/>
      <c r="L2536" s="654"/>
      <c r="M2536" s="636"/>
      <c r="N2536" s="626">
        <v>10</v>
      </c>
      <c r="O2536" s="638">
        <v>4</v>
      </c>
      <c r="P2536" s="703">
        <f t="shared" si="17"/>
        <v>10000</v>
      </c>
    </row>
    <row r="2537" spans="1:16" s="619" customFormat="1" ht="36" x14ac:dyDescent="0.2">
      <c r="A2537" s="626" t="s">
        <v>5658</v>
      </c>
      <c r="B2537" s="626" t="s">
        <v>1908</v>
      </c>
      <c r="C2537" s="638" t="s">
        <v>104</v>
      </c>
      <c r="D2537" s="626" t="s">
        <v>5749</v>
      </c>
      <c r="E2537" s="636">
        <v>1400</v>
      </c>
      <c r="F2537" s="637" t="s">
        <v>5756</v>
      </c>
      <c r="G2537" s="626" t="s">
        <v>5757</v>
      </c>
      <c r="H2537" s="626" t="s">
        <v>1919</v>
      </c>
      <c r="I2537" s="638" t="s">
        <v>5666</v>
      </c>
      <c r="J2537" s="626" t="s">
        <v>5667</v>
      </c>
      <c r="K2537" s="702"/>
      <c r="L2537" s="654"/>
      <c r="M2537" s="636"/>
      <c r="N2537" s="626">
        <v>10</v>
      </c>
      <c r="O2537" s="638">
        <v>4</v>
      </c>
      <c r="P2537" s="703">
        <f t="shared" si="17"/>
        <v>5600</v>
      </c>
    </row>
    <row r="2538" spans="1:16" s="619" customFormat="1" ht="36" x14ac:dyDescent="0.2">
      <c r="A2538" s="626" t="s">
        <v>5658</v>
      </c>
      <c r="B2538" s="626" t="s">
        <v>1908</v>
      </c>
      <c r="C2538" s="638" t="s">
        <v>104</v>
      </c>
      <c r="D2538" s="626" t="s">
        <v>5749</v>
      </c>
      <c r="E2538" s="636">
        <v>1400</v>
      </c>
      <c r="F2538" s="637" t="s">
        <v>5758</v>
      </c>
      <c r="G2538" s="626" t="s">
        <v>5759</v>
      </c>
      <c r="H2538" s="626" t="s">
        <v>5760</v>
      </c>
      <c r="I2538" s="638" t="s">
        <v>4354</v>
      </c>
      <c r="J2538" s="626" t="s">
        <v>5761</v>
      </c>
      <c r="K2538" s="702"/>
      <c r="L2538" s="654"/>
      <c r="M2538" s="636"/>
      <c r="N2538" s="626">
        <v>10</v>
      </c>
      <c r="O2538" s="638">
        <v>4</v>
      </c>
      <c r="P2538" s="703">
        <f t="shared" si="17"/>
        <v>5600</v>
      </c>
    </row>
    <row r="2539" spans="1:16" s="619" customFormat="1" ht="48" x14ac:dyDescent="0.2">
      <c r="A2539" s="626" t="s">
        <v>5658</v>
      </c>
      <c r="B2539" s="626" t="s">
        <v>1908</v>
      </c>
      <c r="C2539" s="638" t="s">
        <v>104</v>
      </c>
      <c r="D2539" s="626" t="s">
        <v>5749</v>
      </c>
      <c r="E2539" s="636">
        <v>1400</v>
      </c>
      <c r="F2539" s="637" t="s">
        <v>5762</v>
      </c>
      <c r="G2539" s="626" t="s">
        <v>5763</v>
      </c>
      <c r="H2539" s="626" t="s">
        <v>5764</v>
      </c>
      <c r="I2539" s="638" t="s">
        <v>4354</v>
      </c>
      <c r="J2539" s="626" t="s">
        <v>5765</v>
      </c>
      <c r="K2539" s="702"/>
      <c r="L2539" s="654"/>
      <c r="M2539" s="636"/>
      <c r="N2539" s="626">
        <v>10</v>
      </c>
      <c r="O2539" s="638">
        <v>4</v>
      </c>
      <c r="P2539" s="703">
        <f t="shared" si="17"/>
        <v>5600</v>
      </c>
    </row>
    <row r="2540" spans="1:16" s="619" customFormat="1" ht="36" x14ac:dyDescent="0.2">
      <c r="A2540" s="626" t="s">
        <v>5658</v>
      </c>
      <c r="B2540" s="626" t="s">
        <v>1908</v>
      </c>
      <c r="C2540" s="638" t="s">
        <v>104</v>
      </c>
      <c r="D2540" s="626" t="s">
        <v>5746</v>
      </c>
      <c r="E2540" s="636">
        <v>1150</v>
      </c>
      <c r="F2540" s="637" t="s">
        <v>5766</v>
      </c>
      <c r="G2540" s="626" t="s">
        <v>5767</v>
      </c>
      <c r="H2540" s="626" t="s">
        <v>5768</v>
      </c>
      <c r="I2540" s="638" t="s">
        <v>4354</v>
      </c>
      <c r="J2540" s="626" t="s">
        <v>5769</v>
      </c>
      <c r="K2540" s="702"/>
      <c r="L2540" s="654"/>
      <c r="M2540" s="636"/>
      <c r="N2540" s="626">
        <v>8</v>
      </c>
      <c r="O2540" s="638">
        <v>2</v>
      </c>
      <c r="P2540" s="703">
        <f t="shared" si="17"/>
        <v>2300</v>
      </c>
    </row>
    <row r="2541" spans="1:16" s="619" customFormat="1" ht="36" x14ac:dyDescent="0.2">
      <c r="A2541" s="626" t="s">
        <v>5658</v>
      </c>
      <c r="B2541" s="626" t="s">
        <v>1908</v>
      </c>
      <c r="C2541" s="638" t="s">
        <v>104</v>
      </c>
      <c r="D2541" s="626" t="s">
        <v>5749</v>
      </c>
      <c r="E2541" s="636">
        <v>1400</v>
      </c>
      <c r="F2541" s="637" t="s">
        <v>5770</v>
      </c>
      <c r="G2541" s="626" t="s">
        <v>5771</v>
      </c>
      <c r="H2541" s="626" t="s">
        <v>5772</v>
      </c>
      <c r="I2541" s="638" t="s">
        <v>3768</v>
      </c>
      <c r="J2541" s="626" t="s">
        <v>5773</v>
      </c>
      <c r="K2541" s="702"/>
      <c r="L2541" s="654"/>
      <c r="M2541" s="636"/>
      <c r="N2541" s="626">
        <v>10</v>
      </c>
      <c r="O2541" s="638">
        <v>4</v>
      </c>
      <c r="P2541" s="703">
        <f t="shared" si="17"/>
        <v>5600</v>
      </c>
    </row>
    <row r="2542" spans="1:16" s="619" customFormat="1" ht="36" x14ac:dyDescent="0.2">
      <c r="A2542" s="626" t="s">
        <v>5658</v>
      </c>
      <c r="B2542" s="626" t="s">
        <v>1908</v>
      </c>
      <c r="C2542" s="638" t="s">
        <v>104</v>
      </c>
      <c r="D2542" s="626" t="s">
        <v>5752</v>
      </c>
      <c r="E2542" s="636">
        <v>2500</v>
      </c>
      <c r="F2542" s="637" t="s">
        <v>5774</v>
      </c>
      <c r="G2542" s="626" t="s">
        <v>5775</v>
      </c>
      <c r="H2542" s="626" t="s">
        <v>5776</v>
      </c>
      <c r="I2542" s="638" t="s">
        <v>5663</v>
      </c>
      <c r="J2542" s="626" t="s">
        <v>5777</v>
      </c>
      <c r="K2542" s="702"/>
      <c r="L2542" s="654"/>
      <c r="M2542" s="636"/>
      <c r="N2542" s="626">
        <v>10</v>
      </c>
      <c r="O2542" s="638">
        <v>4</v>
      </c>
      <c r="P2542" s="703">
        <f t="shared" si="17"/>
        <v>10000</v>
      </c>
    </row>
    <row r="2543" spans="1:16" s="619" customFormat="1" ht="36" x14ac:dyDescent="0.2">
      <c r="A2543" s="626" t="s">
        <v>5658</v>
      </c>
      <c r="B2543" s="626" t="s">
        <v>1908</v>
      </c>
      <c r="C2543" s="638" t="s">
        <v>104</v>
      </c>
      <c r="D2543" s="626" t="s">
        <v>5749</v>
      </c>
      <c r="E2543" s="636">
        <v>1400</v>
      </c>
      <c r="F2543" s="637" t="s">
        <v>5778</v>
      </c>
      <c r="G2543" s="626" t="s">
        <v>5779</v>
      </c>
      <c r="H2543" s="626" t="s">
        <v>5780</v>
      </c>
      <c r="I2543" s="638" t="s">
        <v>4354</v>
      </c>
      <c r="J2543" s="626" t="s">
        <v>5769</v>
      </c>
      <c r="K2543" s="702"/>
      <c r="L2543" s="654"/>
      <c r="M2543" s="636"/>
      <c r="N2543" s="626">
        <v>10</v>
      </c>
      <c r="O2543" s="638">
        <v>4</v>
      </c>
      <c r="P2543" s="703">
        <f t="shared" si="17"/>
        <v>5600</v>
      </c>
    </row>
    <row r="2544" spans="1:16" s="619" customFormat="1" ht="36" x14ac:dyDescent="0.2">
      <c r="A2544" s="626" t="s">
        <v>5658</v>
      </c>
      <c r="B2544" s="626" t="s">
        <v>1908</v>
      </c>
      <c r="C2544" s="638" t="s">
        <v>104</v>
      </c>
      <c r="D2544" s="626" t="s">
        <v>5749</v>
      </c>
      <c r="E2544" s="636">
        <v>1400</v>
      </c>
      <c r="F2544" s="637" t="s">
        <v>5781</v>
      </c>
      <c r="G2544" s="626" t="s">
        <v>5782</v>
      </c>
      <c r="H2544" s="626" t="s">
        <v>1919</v>
      </c>
      <c r="I2544" s="638" t="s">
        <v>5666</v>
      </c>
      <c r="J2544" s="626" t="s">
        <v>5667</v>
      </c>
      <c r="K2544" s="702"/>
      <c r="L2544" s="654"/>
      <c r="M2544" s="636"/>
      <c r="N2544" s="626">
        <v>10</v>
      </c>
      <c r="O2544" s="638">
        <v>4</v>
      </c>
      <c r="P2544" s="703">
        <f t="shared" si="17"/>
        <v>5600</v>
      </c>
    </row>
    <row r="2545" spans="1:16" s="619" customFormat="1" ht="36" x14ac:dyDescent="0.2">
      <c r="A2545" s="626" t="s">
        <v>5658</v>
      </c>
      <c r="B2545" s="626" t="s">
        <v>1908</v>
      </c>
      <c r="C2545" s="638" t="s">
        <v>104</v>
      </c>
      <c r="D2545" s="626" t="s">
        <v>5749</v>
      </c>
      <c r="E2545" s="636">
        <v>1400</v>
      </c>
      <c r="F2545" s="637" t="s">
        <v>5783</v>
      </c>
      <c r="G2545" s="626" t="s">
        <v>5784</v>
      </c>
      <c r="H2545" s="626" t="s">
        <v>5780</v>
      </c>
      <c r="I2545" s="638" t="s">
        <v>4354</v>
      </c>
      <c r="J2545" s="626" t="s">
        <v>5769</v>
      </c>
      <c r="K2545" s="702"/>
      <c r="L2545" s="654"/>
      <c r="M2545" s="636"/>
      <c r="N2545" s="626">
        <v>10</v>
      </c>
      <c r="O2545" s="638">
        <v>4</v>
      </c>
      <c r="P2545" s="703">
        <f t="shared" si="17"/>
        <v>5600</v>
      </c>
    </row>
    <row r="2546" spans="1:16" s="619" customFormat="1" ht="48" x14ac:dyDescent="0.2">
      <c r="A2546" s="626" t="s">
        <v>5658</v>
      </c>
      <c r="B2546" s="626" t="s">
        <v>1908</v>
      </c>
      <c r="C2546" s="638" t="s">
        <v>104</v>
      </c>
      <c r="D2546" s="626" t="s">
        <v>3681</v>
      </c>
      <c r="E2546" s="636">
        <v>1150</v>
      </c>
      <c r="F2546" s="637" t="s">
        <v>5785</v>
      </c>
      <c r="G2546" s="626" t="s">
        <v>5786</v>
      </c>
      <c r="H2546" s="626" t="s">
        <v>1919</v>
      </c>
      <c r="I2546" s="638" t="s">
        <v>5666</v>
      </c>
      <c r="J2546" s="626" t="s">
        <v>5667</v>
      </c>
      <c r="K2546" s="702"/>
      <c r="L2546" s="654"/>
      <c r="M2546" s="636"/>
      <c r="N2546" s="626">
        <v>9</v>
      </c>
      <c r="O2546" s="638">
        <v>3</v>
      </c>
      <c r="P2546" s="703">
        <f t="shared" si="17"/>
        <v>3450</v>
      </c>
    </row>
    <row r="2547" spans="1:16" s="619" customFormat="1" ht="36" x14ac:dyDescent="0.2">
      <c r="A2547" s="626" t="s">
        <v>5658</v>
      </c>
      <c r="B2547" s="626" t="s">
        <v>1908</v>
      </c>
      <c r="C2547" s="638" t="s">
        <v>104</v>
      </c>
      <c r="D2547" s="626" t="s">
        <v>5787</v>
      </c>
      <c r="E2547" s="636">
        <v>2500</v>
      </c>
      <c r="F2547" s="637" t="s">
        <v>5788</v>
      </c>
      <c r="G2547" s="626" t="s">
        <v>5789</v>
      </c>
      <c r="H2547" s="626" t="s">
        <v>5790</v>
      </c>
      <c r="I2547" s="638" t="s">
        <v>5663</v>
      </c>
      <c r="J2547" s="626" t="s">
        <v>5662</v>
      </c>
      <c r="K2547" s="702"/>
      <c r="L2547" s="654"/>
      <c r="M2547" s="636"/>
      <c r="N2547" s="626">
        <v>8</v>
      </c>
      <c r="O2547" s="638">
        <v>2</v>
      </c>
      <c r="P2547" s="703">
        <f t="shared" si="17"/>
        <v>5000</v>
      </c>
    </row>
    <row r="2548" spans="1:16" s="619" customFormat="1" ht="36" x14ac:dyDescent="0.2">
      <c r="A2548" s="626" t="s">
        <v>5658</v>
      </c>
      <c r="B2548" s="626" t="s">
        <v>1908</v>
      </c>
      <c r="C2548" s="638" t="s">
        <v>104</v>
      </c>
      <c r="D2548" s="626" t="s">
        <v>5746</v>
      </c>
      <c r="E2548" s="636">
        <v>1150</v>
      </c>
      <c r="F2548" s="637" t="s">
        <v>5791</v>
      </c>
      <c r="G2548" s="626" t="s">
        <v>5792</v>
      </c>
      <c r="H2548" s="626" t="s">
        <v>1919</v>
      </c>
      <c r="I2548" s="638" t="s">
        <v>5666</v>
      </c>
      <c r="J2548" s="626" t="s">
        <v>5667</v>
      </c>
      <c r="K2548" s="702"/>
      <c r="L2548" s="654"/>
      <c r="M2548" s="636"/>
      <c r="N2548" s="626">
        <v>8</v>
      </c>
      <c r="O2548" s="638">
        <v>2</v>
      </c>
      <c r="P2548" s="703">
        <f t="shared" si="17"/>
        <v>2300</v>
      </c>
    </row>
    <row r="2549" spans="1:16" s="619" customFormat="1" ht="36" x14ac:dyDescent="0.2">
      <c r="A2549" s="626" t="s">
        <v>5658</v>
      </c>
      <c r="B2549" s="626" t="s">
        <v>1908</v>
      </c>
      <c r="C2549" s="638" t="s">
        <v>104</v>
      </c>
      <c r="D2549" s="626" t="s">
        <v>5749</v>
      </c>
      <c r="E2549" s="636">
        <v>1400</v>
      </c>
      <c r="F2549" s="637" t="s">
        <v>5793</v>
      </c>
      <c r="G2549" s="626" t="s">
        <v>5794</v>
      </c>
      <c r="H2549" s="626" t="s">
        <v>5772</v>
      </c>
      <c r="I2549" s="638" t="s">
        <v>3768</v>
      </c>
      <c r="J2549" s="626" t="s">
        <v>5773</v>
      </c>
      <c r="K2549" s="702"/>
      <c r="L2549" s="654"/>
      <c r="M2549" s="636"/>
      <c r="N2549" s="626">
        <v>10</v>
      </c>
      <c r="O2549" s="638">
        <v>4</v>
      </c>
      <c r="P2549" s="703">
        <f t="shared" si="17"/>
        <v>5600</v>
      </c>
    </row>
    <row r="2550" spans="1:16" s="619" customFormat="1" ht="36" x14ac:dyDescent="0.2">
      <c r="A2550" s="626" t="s">
        <v>5658</v>
      </c>
      <c r="B2550" s="626" t="s">
        <v>1908</v>
      </c>
      <c r="C2550" s="638" t="s">
        <v>104</v>
      </c>
      <c r="D2550" s="626" t="s">
        <v>5752</v>
      </c>
      <c r="E2550" s="636">
        <v>2500</v>
      </c>
      <c r="F2550" s="637" t="s">
        <v>5795</v>
      </c>
      <c r="G2550" s="626" t="s">
        <v>5796</v>
      </c>
      <c r="H2550" s="626" t="s">
        <v>5415</v>
      </c>
      <c r="I2550" s="638" t="s">
        <v>3587</v>
      </c>
      <c r="J2550" s="626" t="s">
        <v>3587</v>
      </c>
      <c r="K2550" s="702"/>
      <c r="L2550" s="654"/>
      <c r="M2550" s="636"/>
      <c r="N2550" s="626">
        <v>10</v>
      </c>
      <c r="O2550" s="638">
        <v>4</v>
      </c>
      <c r="P2550" s="703">
        <f t="shared" si="17"/>
        <v>10000</v>
      </c>
    </row>
    <row r="2551" spans="1:16" s="619" customFormat="1" ht="36" x14ac:dyDescent="0.2">
      <c r="A2551" s="626" t="s">
        <v>5658</v>
      </c>
      <c r="B2551" s="626" t="s">
        <v>1908</v>
      </c>
      <c r="C2551" s="638" t="s">
        <v>104</v>
      </c>
      <c r="D2551" s="626" t="s">
        <v>5749</v>
      </c>
      <c r="E2551" s="636">
        <v>1400</v>
      </c>
      <c r="F2551" s="637" t="s">
        <v>5797</v>
      </c>
      <c r="G2551" s="626" t="s">
        <v>5798</v>
      </c>
      <c r="H2551" s="626" t="s">
        <v>5699</v>
      </c>
      <c r="I2551" s="638" t="s">
        <v>4354</v>
      </c>
      <c r="J2551" s="626" t="s">
        <v>5769</v>
      </c>
      <c r="K2551" s="702"/>
      <c r="L2551" s="654"/>
      <c r="M2551" s="636"/>
      <c r="N2551" s="626">
        <v>10</v>
      </c>
      <c r="O2551" s="638">
        <v>4</v>
      </c>
      <c r="P2551" s="703">
        <f t="shared" si="17"/>
        <v>5600</v>
      </c>
    </row>
    <row r="2552" spans="1:16" s="619" customFormat="1" ht="36" x14ac:dyDescent="0.2">
      <c r="A2552" s="626" t="s">
        <v>5658</v>
      </c>
      <c r="B2552" s="626" t="s">
        <v>1908</v>
      </c>
      <c r="C2552" s="638" t="s">
        <v>104</v>
      </c>
      <c r="D2552" s="626" t="s">
        <v>5749</v>
      </c>
      <c r="E2552" s="636">
        <v>1400</v>
      </c>
      <c r="F2552" s="637" t="s">
        <v>5799</v>
      </c>
      <c r="G2552" s="626" t="s">
        <v>5800</v>
      </c>
      <c r="H2552" s="626" t="s">
        <v>5699</v>
      </c>
      <c r="I2552" s="638" t="s">
        <v>4354</v>
      </c>
      <c r="J2552" s="626" t="s">
        <v>5765</v>
      </c>
      <c r="K2552" s="702"/>
      <c r="L2552" s="654"/>
      <c r="M2552" s="636"/>
      <c r="N2552" s="626">
        <v>10</v>
      </c>
      <c r="O2552" s="638">
        <v>4</v>
      </c>
      <c r="P2552" s="703">
        <f t="shared" si="17"/>
        <v>5600</v>
      </c>
    </row>
    <row r="2553" spans="1:16" s="619" customFormat="1" ht="36" x14ac:dyDescent="0.2">
      <c r="A2553" s="626" t="s">
        <v>5658</v>
      </c>
      <c r="B2553" s="626" t="s">
        <v>1908</v>
      </c>
      <c r="C2553" s="638" t="s">
        <v>104</v>
      </c>
      <c r="D2553" s="626" t="s">
        <v>5749</v>
      </c>
      <c r="E2553" s="636">
        <v>1400</v>
      </c>
      <c r="F2553" s="637" t="s">
        <v>5801</v>
      </c>
      <c r="G2553" s="626" t="s">
        <v>5802</v>
      </c>
      <c r="H2553" s="626" t="s">
        <v>1919</v>
      </c>
      <c r="I2553" s="638" t="s">
        <v>5666</v>
      </c>
      <c r="J2553" s="626" t="s">
        <v>5667</v>
      </c>
      <c r="K2553" s="702"/>
      <c r="L2553" s="654"/>
      <c r="M2553" s="636"/>
      <c r="N2553" s="626">
        <v>10</v>
      </c>
      <c r="O2553" s="638">
        <v>4</v>
      </c>
      <c r="P2553" s="703">
        <f t="shared" si="17"/>
        <v>5600</v>
      </c>
    </row>
    <row r="2554" spans="1:16" s="619" customFormat="1" ht="36" x14ac:dyDescent="0.2">
      <c r="A2554" s="626" t="s">
        <v>5658</v>
      </c>
      <c r="B2554" s="626" t="s">
        <v>1908</v>
      </c>
      <c r="C2554" s="638" t="s">
        <v>104</v>
      </c>
      <c r="D2554" s="626" t="s">
        <v>5746</v>
      </c>
      <c r="E2554" s="636">
        <v>1150</v>
      </c>
      <c r="F2554" s="637" t="s">
        <v>5803</v>
      </c>
      <c r="G2554" s="626" t="s">
        <v>5804</v>
      </c>
      <c r="H2554" s="626" t="s">
        <v>1919</v>
      </c>
      <c r="I2554" s="638" t="s">
        <v>5666</v>
      </c>
      <c r="J2554" s="626" t="s">
        <v>5667</v>
      </c>
      <c r="K2554" s="702"/>
      <c r="L2554" s="654"/>
      <c r="M2554" s="636"/>
      <c r="N2554" s="626">
        <v>8</v>
      </c>
      <c r="O2554" s="638">
        <v>2</v>
      </c>
      <c r="P2554" s="703">
        <f t="shared" si="17"/>
        <v>2300</v>
      </c>
    </row>
    <row r="2555" spans="1:16" s="619" customFormat="1" ht="36" x14ac:dyDescent="0.2">
      <c r="A2555" s="626" t="s">
        <v>5658</v>
      </c>
      <c r="B2555" s="626" t="s">
        <v>1908</v>
      </c>
      <c r="C2555" s="638" t="s">
        <v>104</v>
      </c>
      <c r="D2555" s="626" t="s">
        <v>5752</v>
      </c>
      <c r="E2555" s="636">
        <v>2500</v>
      </c>
      <c r="F2555" s="637" t="s">
        <v>5805</v>
      </c>
      <c r="G2555" s="626" t="s">
        <v>5806</v>
      </c>
      <c r="H2555" s="626" t="s">
        <v>5415</v>
      </c>
      <c r="I2555" s="638" t="s">
        <v>3587</v>
      </c>
      <c r="J2555" s="626" t="s">
        <v>5807</v>
      </c>
      <c r="K2555" s="702"/>
      <c r="L2555" s="654"/>
      <c r="M2555" s="636"/>
      <c r="N2555" s="626">
        <v>10</v>
      </c>
      <c r="O2555" s="638">
        <v>4</v>
      </c>
      <c r="P2555" s="703">
        <f t="shared" si="17"/>
        <v>10000</v>
      </c>
    </row>
    <row r="2556" spans="1:16" s="619" customFormat="1" ht="36" x14ac:dyDescent="0.2">
      <c r="A2556" s="626" t="s">
        <v>5658</v>
      </c>
      <c r="B2556" s="626" t="s">
        <v>1908</v>
      </c>
      <c r="C2556" s="638" t="s">
        <v>104</v>
      </c>
      <c r="D2556" s="626" t="s">
        <v>5749</v>
      </c>
      <c r="E2556" s="636">
        <v>1400</v>
      </c>
      <c r="F2556" s="637" t="s">
        <v>5808</v>
      </c>
      <c r="G2556" s="626" t="s">
        <v>5809</v>
      </c>
      <c r="H2556" s="626" t="s">
        <v>5337</v>
      </c>
      <c r="I2556" s="638" t="s">
        <v>3768</v>
      </c>
      <c r="J2556" s="626" t="s">
        <v>1931</v>
      </c>
      <c r="K2556" s="702"/>
      <c r="L2556" s="654"/>
      <c r="M2556" s="636"/>
      <c r="N2556" s="626">
        <v>10</v>
      </c>
      <c r="O2556" s="638">
        <v>4</v>
      </c>
      <c r="P2556" s="703">
        <f t="shared" si="17"/>
        <v>5600</v>
      </c>
    </row>
    <row r="2557" spans="1:16" s="619" customFormat="1" ht="36" x14ac:dyDescent="0.2">
      <c r="A2557" s="626" t="s">
        <v>5658</v>
      </c>
      <c r="B2557" s="626" t="s">
        <v>1908</v>
      </c>
      <c r="C2557" s="638" t="s">
        <v>104</v>
      </c>
      <c r="D2557" s="626" t="s">
        <v>5749</v>
      </c>
      <c r="E2557" s="636">
        <v>1400</v>
      </c>
      <c r="F2557" s="637" t="s">
        <v>5810</v>
      </c>
      <c r="G2557" s="626" t="s">
        <v>5811</v>
      </c>
      <c r="H2557" s="626" t="s">
        <v>5812</v>
      </c>
      <c r="I2557" s="638" t="s">
        <v>4354</v>
      </c>
      <c r="J2557" s="626" t="s">
        <v>5765</v>
      </c>
      <c r="K2557" s="702"/>
      <c r="L2557" s="654"/>
      <c r="M2557" s="636"/>
      <c r="N2557" s="626">
        <v>10</v>
      </c>
      <c r="O2557" s="638">
        <v>4</v>
      </c>
      <c r="P2557" s="703">
        <f t="shared" si="17"/>
        <v>5600</v>
      </c>
    </row>
    <row r="2558" spans="1:16" s="619" customFormat="1" ht="36" x14ac:dyDescent="0.2">
      <c r="A2558" s="626" t="s">
        <v>5658</v>
      </c>
      <c r="B2558" s="626" t="s">
        <v>1908</v>
      </c>
      <c r="C2558" s="638" t="s">
        <v>104</v>
      </c>
      <c r="D2558" s="626" t="s">
        <v>5749</v>
      </c>
      <c r="E2558" s="636">
        <v>1400</v>
      </c>
      <c r="F2558" s="637" t="s">
        <v>5813</v>
      </c>
      <c r="G2558" s="626" t="s">
        <v>5814</v>
      </c>
      <c r="H2558" s="626" t="s">
        <v>5772</v>
      </c>
      <c r="I2558" s="638" t="s">
        <v>3768</v>
      </c>
      <c r="J2558" s="626" t="s">
        <v>5773</v>
      </c>
      <c r="K2558" s="702"/>
      <c r="L2558" s="654"/>
      <c r="M2558" s="636"/>
      <c r="N2558" s="626">
        <v>10</v>
      </c>
      <c r="O2558" s="638">
        <v>4</v>
      </c>
      <c r="P2558" s="703">
        <f t="shared" si="17"/>
        <v>5600</v>
      </c>
    </row>
    <row r="2559" spans="1:16" s="619" customFormat="1" ht="36" x14ac:dyDescent="0.2">
      <c r="A2559" s="626" t="s">
        <v>5658</v>
      </c>
      <c r="B2559" s="626" t="s">
        <v>1908</v>
      </c>
      <c r="C2559" s="638" t="s">
        <v>104</v>
      </c>
      <c r="D2559" s="626" t="s">
        <v>5749</v>
      </c>
      <c r="E2559" s="636">
        <v>1400</v>
      </c>
      <c r="F2559" s="637" t="s">
        <v>5815</v>
      </c>
      <c r="G2559" s="626" t="s">
        <v>5816</v>
      </c>
      <c r="H2559" s="626" t="s">
        <v>4722</v>
      </c>
      <c r="I2559" s="638" t="s">
        <v>4354</v>
      </c>
      <c r="J2559" s="626" t="s">
        <v>5761</v>
      </c>
      <c r="K2559" s="702"/>
      <c r="L2559" s="654"/>
      <c r="M2559" s="636"/>
      <c r="N2559" s="626">
        <v>10</v>
      </c>
      <c r="O2559" s="638">
        <v>4</v>
      </c>
      <c r="P2559" s="703">
        <f t="shared" si="17"/>
        <v>5600</v>
      </c>
    </row>
    <row r="2560" spans="1:16" s="619" customFormat="1" ht="36" x14ac:dyDescent="0.2">
      <c r="A2560" s="626" t="s">
        <v>5658</v>
      </c>
      <c r="B2560" s="626" t="s">
        <v>1908</v>
      </c>
      <c r="C2560" s="638" t="s">
        <v>104</v>
      </c>
      <c r="D2560" s="626" t="s">
        <v>5746</v>
      </c>
      <c r="E2560" s="636">
        <v>1150</v>
      </c>
      <c r="F2560" s="637" t="s">
        <v>5817</v>
      </c>
      <c r="G2560" s="626" t="s">
        <v>5818</v>
      </c>
      <c r="H2560" s="626" t="s">
        <v>1919</v>
      </c>
      <c r="I2560" s="638" t="s">
        <v>5666</v>
      </c>
      <c r="J2560" s="626" t="s">
        <v>5667</v>
      </c>
      <c r="K2560" s="702"/>
      <c r="L2560" s="654"/>
      <c r="M2560" s="636"/>
      <c r="N2560" s="626">
        <v>8</v>
      </c>
      <c r="O2560" s="638">
        <v>2</v>
      </c>
      <c r="P2560" s="703">
        <f t="shared" si="17"/>
        <v>2300</v>
      </c>
    </row>
    <row r="2561" spans="1:16" s="619" customFormat="1" ht="36" x14ac:dyDescent="0.2">
      <c r="A2561" s="626" t="s">
        <v>5658</v>
      </c>
      <c r="B2561" s="626" t="s">
        <v>1908</v>
      </c>
      <c r="C2561" s="638" t="s">
        <v>104</v>
      </c>
      <c r="D2561" s="626" t="s">
        <v>5752</v>
      </c>
      <c r="E2561" s="636">
        <v>2500</v>
      </c>
      <c r="F2561" s="637" t="s">
        <v>5819</v>
      </c>
      <c r="G2561" s="626" t="s">
        <v>5820</v>
      </c>
      <c r="H2561" s="626" t="s">
        <v>5790</v>
      </c>
      <c r="I2561" s="638" t="s">
        <v>5663</v>
      </c>
      <c r="J2561" s="626" t="s">
        <v>5663</v>
      </c>
      <c r="K2561" s="702"/>
      <c r="L2561" s="654"/>
      <c r="M2561" s="636"/>
      <c r="N2561" s="626">
        <v>10</v>
      </c>
      <c r="O2561" s="638">
        <v>4</v>
      </c>
      <c r="P2561" s="703">
        <f t="shared" si="17"/>
        <v>10000</v>
      </c>
    </row>
    <row r="2562" spans="1:16" s="619" customFormat="1" ht="36" x14ac:dyDescent="0.2">
      <c r="A2562" s="626" t="s">
        <v>5658</v>
      </c>
      <c r="B2562" s="626" t="s">
        <v>1908</v>
      </c>
      <c r="C2562" s="638" t="s">
        <v>104</v>
      </c>
      <c r="D2562" s="626" t="s">
        <v>5749</v>
      </c>
      <c r="E2562" s="636">
        <v>1400</v>
      </c>
      <c r="F2562" s="637" t="s">
        <v>5821</v>
      </c>
      <c r="G2562" s="626" t="s">
        <v>5822</v>
      </c>
      <c r="H2562" s="626" t="s">
        <v>1919</v>
      </c>
      <c r="I2562" s="638" t="s">
        <v>5666</v>
      </c>
      <c r="J2562" s="626" t="s">
        <v>5667</v>
      </c>
      <c r="K2562" s="702"/>
      <c r="L2562" s="654"/>
      <c r="M2562" s="636"/>
      <c r="N2562" s="626">
        <v>10</v>
      </c>
      <c r="O2562" s="638">
        <v>4</v>
      </c>
      <c r="P2562" s="703">
        <f t="shared" si="17"/>
        <v>5600</v>
      </c>
    </row>
    <row r="2563" spans="1:16" s="619" customFormat="1" ht="36" x14ac:dyDescent="0.2">
      <c r="A2563" s="626" t="s">
        <v>5658</v>
      </c>
      <c r="B2563" s="626" t="s">
        <v>1908</v>
      </c>
      <c r="C2563" s="638" t="s">
        <v>104</v>
      </c>
      <c r="D2563" s="626" t="s">
        <v>5749</v>
      </c>
      <c r="E2563" s="636">
        <v>1400</v>
      </c>
      <c r="F2563" s="637" t="s">
        <v>5823</v>
      </c>
      <c r="G2563" s="626" t="s">
        <v>5824</v>
      </c>
      <c r="H2563" s="626" t="s">
        <v>5772</v>
      </c>
      <c r="I2563" s="638" t="s">
        <v>3768</v>
      </c>
      <c r="J2563" s="626" t="s">
        <v>5773</v>
      </c>
      <c r="K2563" s="702"/>
      <c r="L2563" s="654"/>
      <c r="M2563" s="636"/>
      <c r="N2563" s="626">
        <v>10</v>
      </c>
      <c r="O2563" s="638">
        <v>4</v>
      </c>
      <c r="P2563" s="703">
        <f t="shared" si="17"/>
        <v>5600</v>
      </c>
    </row>
    <row r="2564" spans="1:16" s="619" customFormat="1" ht="36" x14ac:dyDescent="0.2">
      <c r="A2564" s="626" t="s">
        <v>5658</v>
      </c>
      <c r="B2564" s="626" t="s">
        <v>1908</v>
      </c>
      <c r="C2564" s="638" t="s">
        <v>104</v>
      </c>
      <c r="D2564" s="626" t="s">
        <v>5749</v>
      </c>
      <c r="E2564" s="636">
        <v>1400</v>
      </c>
      <c r="F2564" s="637" t="s">
        <v>5825</v>
      </c>
      <c r="G2564" s="626" t="s">
        <v>5826</v>
      </c>
      <c r="H2564" s="626" t="s">
        <v>1919</v>
      </c>
      <c r="I2564" s="638" t="s">
        <v>5666</v>
      </c>
      <c r="J2564" s="626" t="s">
        <v>5667</v>
      </c>
      <c r="K2564" s="702"/>
      <c r="L2564" s="654"/>
      <c r="M2564" s="636"/>
      <c r="N2564" s="626">
        <v>10</v>
      </c>
      <c r="O2564" s="638">
        <v>4</v>
      </c>
      <c r="P2564" s="703">
        <f t="shared" si="17"/>
        <v>5600</v>
      </c>
    </row>
    <row r="2565" spans="1:16" s="619" customFormat="1" ht="36" x14ac:dyDescent="0.2">
      <c r="A2565" s="626" t="s">
        <v>5658</v>
      </c>
      <c r="B2565" s="626" t="s">
        <v>1908</v>
      </c>
      <c r="C2565" s="638" t="s">
        <v>104</v>
      </c>
      <c r="D2565" s="626" t="s">
        <v>5749</v>
      </c>
      <c r="E2565" s="636">
        <v>1400</v>
      </c>
      <c r="F2565" s="637" t="s">
        <v>5827</v>
      </c>
      <c r="G2565" s="626" t="s">
        <v>5828</v>
      </c>
      <c r="H2565" s="626" t="s">
        <v>5829</v>
      </c>
      <c r="I2565" s="638" t="s">
        <v>4354</v>
      </c>
      <c r="J2565" s="626" t="s">
        <v>5830</v>
      </c>
      <c r="K2565" s="702"/>
      <c r="L2565" s="654"/>
      <c r="M2565" s="636"/>
      <c r="N2565" s="626">
        <v>10</v>
      </c>
      <c r="O2565" s="638">
        <v>4</v>
      </c>
      <c r="P2565" s="703">
        <f t="shared" si="17"/>
        <v>5600</v>
      </c>
    </row>
    <row r="2566" spans="1:16" s="619" customFormat="1" ht="36" x14ac:dyDescent="0.2">
      <c r="A2566" s="626" t="s">
        <v>5658</v>
      </c>
      <c r="B2566" s="626" t="s">
        <v>1908</v>
      </c>
      <c r="C2566" s="638" t="s">
        <v>104</v>
      </c>
      <c r="D2566" s="626" t="s">
        <v>5749</v>
      </c>
      <c r="E2566" s="636">
        <v>1400</v>
      </c>
      <c r="F2566" s="637" t="s">
        <v>5831</v>
      </c>
      <c r="G2566" s="626" t="s">
        <v>5832</v>
      </c>
      <c r="H2566" s="626" t="s">
        <v>1919</v>
      </c>
      <c r="I2566" s="638" t="s">
        <v>5666</v>
      </c>
      <c r="J2566" s="626" t="s">
        <v>5667</v>
      </c>
      <c r="K2566" s="702"/>
      <c r="L2566" s="654"/>
      <c r="M2566" s="636"/>
      <c r="N2566" s="626">
        <v>10</v>
      </c>
      <c r="O2566" s="638">
        <v>4</v>
      </c>
      <c r="P2566" s="703">
        <f t="shared" si="17"/>
        <v>5600</v>
      </c>
    </row>
    <row r="2567" spans="1:16" s="619" customFormat="1" ht="36" x14ac:dyDescent="0.2">
      <c r="A2567" s="626" t="s">
        <v>5658</v>
      </c>
      <c r="B2567" s="626" t="s">
        <v>1908</v>
      </c>
      <c r="C2567" s="638" t="s">
        <v>104</v>
      </c>
      <c r="D2567" s="626" t="s">
        <v>5749</v>
      </c>
      <c r="E2567" s="636">
        <v>1400</v>
      </c>
      <c r="F2567" s="637" t="s">
        <v>5833</v>
      </c>
      <c r="G2567" s="626" t="s">
        <v>5834</v>
      </c>
      <c r="H2567" s="626" t="s">
        <v>5780</v>
      </c>
      <c r="I2567" s="638" t="s">
        <v>4354</v>
      </c>
      <c r="J2567" s="626" t="s">
        <v>5830</v>
      </c>
      <c r="K2567" s="702"/>
      <c r="L2567" s="654"/>
      <c r="M2567" s="636"/>
      <c r="N2567" s="626">
        <v>10</v>
      </c>
      <c r="O2567" s="638">
        <v>4</v>
      </c>
      <c r="P2567" s="703">
        <f t="shared" ref="P2567:P2630" si="18">E2567*O2567</f>
        <v>5600</v>
      </c>
    </row>
    <row r="2568" spans="1:16" s="619" customFormat="1" ht="36" x14ac:dyDescent="0.2">
      <c r="A2568" s="626" t="s">
        <v>5658</v>
      </c>
      <c r="B2568" s="626" t="s">
        <v>1908</v>
      </c>
      <c r="C2568" s="638" t="s">
        <v>104</v>
      </c>
      <c r="D2568" s="626" t="s">
        <v>3681</v>
      </c>
      <c r="E2568" s="636">
        <v>1150</v>
      </c>
      <c r="F2568" s="637" t="s">
        <v>5835</v>
      </c>
      <c r="G2568" s="626" t="s">
        <v>5836</v>
      </c>
      <c r="H2568" s="626" t="s">
        <v>1919</v>
      </c>
      <c r="I2568" s="638" t="s">
        <v>5666</v>
      </c>
      <c r="J2568" s="626" t="s">
        <v>5667</v>
      </c>
      <c r="K2568" s="702"/>
      <c r="L2568" s="654"/>
      <c r="M2568" s="636"/>
      <c r="N2568" s="626">
        <v>9</v>
      </c>
      <c r="O2568" s="638">
        <v>3</v>
      </c>
      <c r="P2568" s="703">
        <f t="shared" si="18"/>
        <v>3450</v>
      </c>
    </row>
    <row r="2569" spans="1:16" s="619" customFormat="1" ht="36" x14ac:dyDescent="0.2">
      <c r="A2569" s="626" t="s">
        <v>5658</v>
      </c>
      <c r="B2569" s="626" t="s">
        <v>1908</v>
      </c>
      <c r="C2569" s="638" t="s">
        <v>104</v>
      </c>
      <c r="D2569" s="626" t="s">
        <v>5787</v>
      </c>
      <c r="E2569" s="636">
        <v>2500</v>
      </c>
      <c r="F2569" s="637" t="s">
        <v>5837</v>
      </c>
      <c r="G2569" s="626" t="s">
        <v>5838</v>
      </c>
      <c r="H2569" s="626" t="s">
        <v>5790</v>
      </c>
      <c r="I2569" s="638" t="s">
        <v>5663</v>
      </c>
      <c r="J2569" s="626" t="s">
        <v>5662</v>
      </c>
      <c r="K2569" s="702"/>
      <c r="L2569" s="654"/>
      <c r="M2569" s="636"/>
      <c r="N2569" s="626">
        <v>8</v>
      </c>
      <c r="O2569" s="638">
        <v>2</v>
      </c>
      <c r="P2569" s="703">
        <f t="shared" si="18"/>
        <v>5000</v>
      </c>
    </row>
    <row r="2570" spans="1:16" s="619" customFormat="1" ht="36" x14ac:dyDescent="0.2">
      <c r="A2570" s="626" t="s">
        <v>5658</v>
      </c>
      <c r="B2570" s="626" t="s">
        <v>1908</v>
      </c>
      <c r="C2570" s="638" t="s">
        <v>104</v>
      </c>
      <c r="D2570" s="626" t="s">
        <v>5746</v>
      </c>
      <c r="E2570" s="636">
        <v>1150</v>
      </c>
      <c r="F2570" s="637" t="s">
        <v>5839</v>
      </c>
      <c r="G2570" s="626" t="s">
        <v>5840</v>
      </c>
      <c r="H2570" s="626" t="s">
        <v>1919</v>
      </c>
      <c r="I2570" s="638" t="s">
        <v>5666</v>
      </c>
      <c r="J2570" s="626" t="s">
        <v>5667</v>
      </c>
      <c r="K2570" s="702"/>
      <c r="L2570" s="654"/>
      <c r="M2570" s="636"/>
      <c r="N2570" s="626">
        <v>8</v>
      </c>
      <c r="O2570" s="638">
        <v>2</v>
      </c>
      <c r="P2570" s="703">
        <f t="shared" si="18"/>
        <v>2300</v>
      </c>
    </row>
    <row r="2571" spans="1:16" s="619" customFormat="1" ht="36" x14ac:dyDescent="0.2">
      <c r="A2571" s="626" t="s">
        <v>5658</v>
      </c>
      <c r="B2571" s="626" t="s">
        <v>1908</v>
      </c>
      <c r="C2571" s="638" t="s">
        <v>104</v>
      </c>
      <c r="D2571" s="626" t="s">
        <v>5752</v>
      </c>
      <c r="E2571" s="636">
        <v>2500</v>
      </c>
      <c r="F2571" s="637" t="s">
        <v>5841</v>
      </c>
      <c r="G2571" s="626" t="s">
        <v>5842</v>
      </c>
      <c r="H2571" s="626" t="s">
        <v>5699</v>
      </c>
      <c r="I2571" s="638" t="s">
        <v>3768</v>
      </c>
      <c r="J2571" s="626" t="s">
        <v>5676</v>
      </c>
      <c r="K2571" s="702"/>
      <c r="L2571" s="654"/>
      <c r="M2571" s="636"/>
      <c r="N2571" s="626">
        <v>10</v>
      </c>
      <c r="O2571" s="638">
        <v>4</v>
      </c>
      <c r="P2571" s="703">
        <f t="shared" si="18"/>
        <v>10000</v>
      </c>
    </row>
    <row r="2572" spans="1:16" s="619" customFormat="1" ht="36" x14ac:dyDescent="0.2">
      <c r="A2572" s="626" t="s">
        <v>5658</v>
      </c>
      <c r="B2572" s="626" t="s">
        <v>1908</v>
      </c>
      <c r="C2572" s="638" t="s">
        <v>104</v>
      </c>
      <c r="D2572" s="626" t="s">
        <v>5749</v>
      </c>
      <c r="E2572" s="636">
        <v>1400</v>
      </c>
      <c r="F2572" s="637" t="s">
        <v>5843</v>
      </c>
      <c r="G2572" s="626" t="s">
        <v>5844</v>
      </c>
      <c r="H2572" s="626" t="s">
        <v>1919</v>
      </c>
      <c r="I2572" s="638" t="s">
        <v>5666</v>
      </c>
      <c r="J2572" s="626" t="s">
        <v>5667</v>
      </c>
      <c r="K2572" s="702"/>
      <c r="L2572" s="654"/>
      <c r="M2572" s="636"/>
      <c r="N2572" s="626">
        <v>10</v>
      </c>
      <c r="O2572" s="638">
        <v>4</v>
      </c>
      <c r="P2572" s="703">
        <f t="shared" si="18"/>
        <v>5600</v>
      </c>
    </row>
    <row r="2573" spans="1:16" s="619" customFormat="1" ht="36" x14ac:dyDescent="0.2">
      <c r="A2573" s="626" t="s">
        <v>5658</v>
      </c>
      <c r="B2573" s="626" t="s">
        <v>1908</v>
      </c>
      <c r="C2573" s="638" t="s">
        <v>104</v>
      </c>
      <c r="D2573" s="626" t="s">
        <v>5749</v>
      </c>
      <c r="E2573" s="636">
        <v>1400</v>
      </c>
      <c r="F2573" s="637" t="s">
        <v>5845</v>
      </c>
      <c r="G2573" s="626" t="s">
        <v>5846</v>
      </c>
      <c r="H2573" s="626" t="s">
        <v>1919</v>
      </c>
      <c r="I2573" s="638" t="s">
        <v>5666</v>
      </c>
      <c r="J2573" s="626" t="s">
        <v>5667</v>
      </c>
      <c r="K2573" s="702"/>
      <c r="L2573" s="654"/>
      <c r="M2573" s="636"/>
      <c r="N2573" s="626">
        <v>10</v>
      </c>
      <c r="O2573" s="638">
        <v>4</v>
      </c>
      <c r="P2573" s="703">
        <f t="shared" si="18"/>
        <v>5600</v>
      </c>
    </row>
    <row r="2574" spans="1:16" s="619" customFormat="1" ht="36" x14ac:dyDescent="0.2">
      <c r="A2574" s="626" t="s">
        <v>5658</v>
      </c>
      <c r="B2574" s="626" t="s">
        <v>1908</v>
      </c>
      <c r="C2574" s="638" t="s">
        <v>104</v>
      </c>
      <c r="D2574" s="626" t="s">
        <v>5749</v>
      </c>
      <c r="E2574" s="636">
        <v>1400</v>
      </c>
      <c r="F2574" s="637" t="s">
        <v>5847</v>
      </c>
      <c r="G2574" s="626" t="s">
        <v>5848</v>
      </c>
      <c r="H2574" s="626" t="s">
        <v>1919</v>
      </c>
      <c r="I2574" s="638" t="s">
        <v>5666</v>
      </c>
      <c r="J2574" s="626" t="s">
        <v>5667</v>
      </c>
      <c r="K2574" s="702"/>
      <c r="L2574" s="654"/>
      <c r="M2574" s="636"/>
      <c r="N2574" s="626">
        <v>10</v>
      </c>
      <c r="O2574" s="638">
        <v>4</v>
      </c>
      <c r="P2574" s="703">
        <f t="shared" si="18"/>
        <v>5600</v>
      </c>
    </row>
    <row r="2575" spans="1:16" s="619" customFormat="1" ht="36" x14ac:dyDescent="0.2">
      <c r="A2575" s="626" t="s">
        <v>5658</v>
      </c>
      <c r="B2575" s="626" t="s">
        <v>1908</v>
      </c>
      <c r="C2575" s="638" t="s">
        <v>104</v>
      </c>
      <c r="D2575" s="626" t="s">
        <v>5749</v>
      </c>
      <c r="E2575" s="636">
        <v>1400</v>
      </c>
      <c r="F2575" s="637" t="s">
        <v>5849</v>
      </c>
      <c r="G2575" s="626" t="s">
        <v>5850</v>
      </c>
      <c r="H2575" s="626" t="s">
        <v>5851</v>
      </c>
      <c r="I2575" s="638" t="s">
        <v>4354</v>
      </c>
      <c r="J2575" s="626" t="s">
        <v>5765</v>
      </c>
      <c r="K2575" s="702"/>
      <c r="L2575" s="654"/>
      <c r="M2575" s="636"/>
      <c r="N2575" s="626">
        <v>10</v>
      </c>
      <c r="O2575" s="638">
        <v>4</v>
      </c>
      <c r="P2575" s="703">
        <f t="shared" si="18"/>
        <v>5600</v>
      </c>
    </row>
    <row r="2576" spans="1:16" s="619" customFormat="1" ht="36" x14ac:dyDescent="0.2">
      <c r="A2576" s="626" t="s">
        <v>5658</v>
      </c>
      <c r="B2576" s="626" t="s">
        <v>1908</v>
      </c>
      <c r="C2576" s="638" t="s">
        <v>104</v>
      </c>
      <c r="D2576" s="626" t="s">
        <v>3681</v>
      </c>
      <c r="E2576" s="636">
        <v>1150</v>
      </c>
      <c r="F2576" s="637" t="s">
        <v>5852</v>
      </c>
      <c r="G2576" s="626" t="s">
        <v>5853</v>
      </c>
      <c r="H2576" s="626" t="s">
        <v>1919</v>
      </c>
      <c r="I2576" s="638" t="s">
        <v>5666</v>
      </c>
      <c r="J2576" s="626" t="s">
        <v>5667</v>
      </c>
      <c r="K2576" s="702"/>
      <c r="L2576" s="654"/>
      <c r="M2576" s="636"/>
      <c r="N2576" s="626">
        <v>9</v>
      </c>
      <c r="O2576" s="638">
        <v>3</v>
      </c>
      <c r="P2576" s="703">
        <f t="shared" si="18"/>
        <v>3450</v>
      </c>
    </row>
    <row r="2577" spans="1:16" s="619" customFormat="1" ht="36" x14ac:dyDescent="0.2">
      <c r="A2577" s="626" t="s">
        <v>5658</v>
      </c>
      <c r="B2577" s="626" t="s">
        <v>1908</v>
      </c>
      <c r="C2577" s="638" t="s">
        <v>104</v>
      </c>
      <c r="D2577" s="626" t="s">
        <v>5787</v>
      </c>
      <c r="E2577" s="636">
        <v>2500</v>
      </c>
      <c r="F2577" s="637" t="s">
        <v>5854</v>
      </c>
      <c r="G2577" s="626" t="s">
        <v>5855</v>
      </c>
      <c r="H2577" s="626" t="s">
        <v>5790</v>
      </c>
      <c r="I2577" s="638" t="s">
        <v>5663</v>
      </c>
      <c r="J2577" s="626" t="s">
        <v>5662</v>
      </c>
      <c r="K2577" s="702"/>
      <c r="L2577" s="654"/>
      <c r="M2577" s="636"/>
      <c r="N2577" s="626">
        <v>8</v>
      </c>
      <c r="O2577" s="638">
        <v>2</v>
      </c>
      <c r="P2577" s="703">
        <f t="shared" si="18"/>
        <v>5000</v>
      </c>
    </row>
    <row r="2578" spans="1:16" s="619" customFormat="1" ht="36" x14ac:dyDescent="0.2">
      <c r="A2578" s="626" t="s">
        <v>5658</v>
      </c>
      <c r="B2578" s="626" t="s">
        <v>1908</v>
      </c>
      <c r="C2578" s="638" t="s">
        <v>104</v>
      </c>
      <c r="D2578" s="626" t="s">
        <v>5856</v>
      </c>
      <c r="E2578" s="636">
        <v>2500</v>
      </c>
      <c r="F2578" s="637" t="s">
        <v>5857</v>
      </c>
      <c r="G2578" s="626" t="s">
        <v>5858</v>
      </c>
      <c r="H2578" s="626" t="s">
        <v>5859</v>
      </c>
      <c r="I2578" s="638" t="s">
        <v>3768</v>
      </c>
      <c r="J2578" s="626" t="s">
        <v>5676</v>
      </c>
      <c r="K2578" s="702"/>
      <c r="L2578" s="654"/>
      <c r="M2578" s="636"/>
      <c r="N2578" s="626">
        <v>10</v>
      </c>
      <c r="O2578" s="638">
        <v>4</v>
      </c>
      <c r="P2578" s="703">
        <f t="shared" si="18"/>
        <v>10000</v>
      </c>
    </row>
    <row r="2579" spans="1:16" s="619" customFormat="1" ht="36" x14ac:dyDescent="0.2">
      <c r="A2579" s="626" t="s">
        <v>5658</v>
      </c>
      <c r="B2579" s="626" t="s">
        <v>1908</v>
      </c>
      <c r="C2579" s="638" t="s">
        <v>104</v>
      </c>
      <c r="D2579" s="626" t="s">
        <v>5746</v>
      </c>
      <c r="E2579" s="636">
        <v>1150</v>
      </c>
      <c r="F2579" s="637" t="s">
        <v>5860</v>
      </c>
      <c r="G2579" s="626" t="s">
        <v>5861</v>
      </c>
      <c r="H2579" s="626" t="s">
        <v>1919</v>
      </c>
      <c r="I2579" s="638" t="s">
        <v>5666</v>
      </c>
      <c r="J2579" s="626" t="s">
        <v>5667</v>
      </c>
      <c r="K2579" s="702"/>
      <c r="L2579" s="654"/>
      <c r="M2579" s="636"/>
      <c r="N2579" s="626">
        <v>8</v>
      </c>
      <c r="O2579" s="638">
        <v>2</v>
      </c>
      <c r="P2579" s="703">
        <f t="shared" si="18"/>
        <v>2300</v>
      </c>
    </row>
    <row r="2580" spans="1:16" s="619" customFormat="1" ht="36" x14ac:dyDescent="0.2">
      <c r="A2580" s="626" t="s">
        <v>5658</v>
      </c>
      <c r="B2580" s="626" t="s">
        <v>1908</v>
      </c>
      <c r="C2580" s="638" t="s">
        <v>104</v>
      </c>
      <c r="D2580" s="626" t="s">
        <v>5749</v>
      </c>
      <c r="E2580" s="636">
        <v>1400</v>
      </c>
      <c r="F2580" s="637" t="s">
        <v>5862</v>
      </c>
      <c r="G2580" s="626" t="s">
        <v>5863</v>
      </c>
      <c r="H2580" s="626" t="s">
        <v>5829</v>
      </c>
      <c r="I2580" s="638" t="s">
        <v>5663</v>
      </c>
      <c r="J2580" s="626" t="s">
        <v>4337</v>
      </c>
      <c r="K2580" s="702"/>
      <c r="L2580" s="654"/>
      <c r="M2580" s="636"/>
      <c r="N2580" s="626">
        <v>10</v>
      </c>
      <c r="O2580" s="638">
        <v>4</v>
      </c>
      <c r="P2580" s="703">
        <f t="shared" si="18"/>
        <v>5600</v>
      </c>
    </row>
    <row r="2581" spans="1:16" s="619" customFormat="1" ht="36" x14ac:dyDescent="0.2">
      <c r="A2581" s="626" t="s">
        <v>5658</v>
      </c>
      <c r="B2581" s="626" t="s">
        <v>1908</v>
      </c>
      <c r="C2581" s="638" t="s">
        <v>104</v>
      </c>
      <c r="D2581" s="626" t="s">
        <v>5752</v>
      </c>
      <c r="E2581" s="636">
        <v>2500</v>
      </c>
      <c r="F2581" s="637" t="s">
        <v>5864</v>
      </c>
      <c r="G2581" s="626" t="s">
        <v>5865</v>
      </c>
      <c r="H2581" s="626" t="s">
        <v>2586</v>
      </c>
      <c r="I2581" s="638" t="s">
        <v>3587</v>
      </c>
      <c r="J2581" s="626" t="s">
        <v>4020</v>
      </c>
      <c r="K2581" s="702"/>
      <c r="L2581" s="654"/>
      <c r="M2581" s="636"/>
      <c r="N2581" s="626">
        <v>10</v>
      </c>
      <c r="O2581" s="638">
        <v>4</v>
      </c>
      <c r="P2581" s="703">
        <f t="shared" si="18"/>
        <v>10000</v>
      </c>
    </row>
    <row r="2582" spans="1:16" s="619" customFormat="1" ht="36" x14ac:dyDescent="0.2">
      <c r="A2582" s="626" t="s">
        <v>5658</v>
      </c>
      <c r="B2582" s="626" t="s">
        <v>1908</v>
      </c>
      <c r="C2582" s="638" t="s">
        <v>104</v>
      </c>
      <c r="D2582" s="626" t="s">
        <v>3681</v>
      </c>
      <c r="E2582" s="636">
        <v>1150</v>
      </c>
      <c r="F2582" s="637" t="s">
        <v>5866</v>
      </c>
      <c r="G2582" s="626" t="s">
        <v>5867</v>
      </c>
      <c r="H2582" s="626" t="s">
        <v>1919</v>
      </c>
      <c r="I2582" s="638" t="s">
        <v>5666</v>
      </c>
      <c r="J2582" s="626" t="s">
        <v>5667</v>
      </c>
      <c r="K2582" s="702"/>
      <c r="L2582" s="654"/>
      <c r="M2582" s="636"/>
      <c r="N2582" s="626">
        <v>9</v>
      </c>
      <c r="O2582" s="638">
        <v>3</v>
      </c>
      <c r="P2582" s="703">
        <f t="shared" si="18"/>
        <v>3450</v>
      </c>
    </row>
    <row r="2583" spans="1:16" s="619" customFormat="1" ht="36" x14ac:dyDescent="0.2">
      <c r="A2583" s="626" t="s">
        <v>5658</v>
      </c>
      <c r="B2583" s="626" t="s">
        <v>1908</v>
      </c>
      <c r="C2583" s="638" t="s">
        <v>104</v>
      </c>
      <c r="D2583" s="626" t="s">
        <v>5749</v>
      </c>
      <c r="E2583" s="636">
        <v>1400</v>
      </c>
      <c r="F2583" s="637" t="s">
        <v>5868</v>
      </c>
      <c r="G2583" s="626" t="s">
        <v>5869</v>
      </c>
      <c r="H2583" s="626" t="s">
        <v>5870</v>
      </c>
      <c r="I2583" s="638" t="s">
        <v>4354</v>
      </c>
      <c r="J2583" s="626" t="s">
        <v>5765</v>
      </c>
      <c r="K2583" s="702"/>
      <c r="L2583" s="654"/>
      <c r="M2583" s="636"/>
      <c r="N2583" s="626">
        <v>10</v>
      </c>
      <c r="O2583" s="638">
        <v>4</v>
      </c>
      <c r="P2583" s="703">
        <f t="shared" si="18"/>
        <v>5600</v>
      </c>
    </row>
    <row r="2584" spans="1:16" s="619" customFormat="1" ht="36" x14ac:dyDescent="0.2">
      <c r="A2584" s="626" t="s">
        <v>5658</v>
      </c>
      <c r="B2584" s="626" t="s">
        <v>1908</v>
      </c>
      <c r="C2584" s="638" t="s">
        <v>104</v>
      </c>
      <c r="D2584" s="626" t="s">
        <v>5749</v>
      </c>
      <c r="E2584" s="636">
        <v>1400</v>
      </c>
      <c r="F2584" s="637" t="s">
        <v>5871</v>
      </c>
      <c r="G2584" s="626" t="s">
        <v>5872</v>
      </c>
      <c r="H2584" s="626" t="s">
        <v>1919</v>
      </c>
      <c r="I2584" s="638" t="s">
        <v>5666</v>
      </c>
      <c r="J2584" s="626" t="s">
        <v>5667</v>
      </c>
      <c r="K2584" s="702"/>
      <c r="L2584" s="654"/>
      <c r="M2584" s="636"/>
      <c r="N2584" s="626">
        <v>10</v>
      </c>
      <c r="O2584" s="638">
        <v>4</v>
      </c>
      <c r="P2584" s="703">
        <f t="shared" si="18"/>
        <v>5600</v>
      </c>
    </row>
    <row r="2585" spans="1:16" s="619" customFormat="1" ht="48" x14ac:dyDescent="0.2">
      <c r="A2585" s="626" t="s">
        <v>5658</v>
      </c>
      <c r="B2585" s="626" t="s">
        <v>1908</v>
      </c>
      <c r="C2585" s="638" t="s">
        <v>104</v>
      </c>
      <c r="D2585" s="626" t="s">
        <v>5749</v>
      </c>
      <c r="E2585" s="636">
        <v>1400</v>
      </c>
      <c r="F2585" s="637" t="s">
        <v>5873</v>
      </c>
      <c r="G2585" s="626" t="s">
        <v>5874</v>
      </c>
      <c r="H2585" s="626" t="s">
        <v>5875</v>
      </c>
      <c r="I2585" s="638" t="s">
        <v>3587</v>
      </c>
      <c r="J2585" s="626" t="s">
        <v>5876</v>
      </c>
      <c r="K2585" s="702"/>
      <c r="L2585" s="654"/>
      <c r="M2585" s="636"/>
      <c r="N2585" s="626">
        <v>10</v>
      </c>
      <c r="O2585" s="638">
        <v>4</v>
      </c>
      <c r="P2585" s="703">
        <f t="shared" si="18"/>
        <v>5600</v>
      </c>
    </row>
    <row r="2586" spans="1:16" s="619" customFormat="1" ht="36" x14ac:dyDescent="0.2">
      <c r="A2586" s="626" t="s">
        <v>5658</v>
      </c>
      <c r="B2586" s="626" t="s">
        <v>1908</v>
      </c>
      <c r="C2586" s="638" t="s">
        <v>104</v>
      </c>
      <c r="D2586" s="626" t="s">
        <v>5787</v>
      </c>
      <c r="E2586" s="636">
        <v>2500</v>
      </c>
      <c r="F2586" s="637" t="s">
        <v>5877</v>
      </c>
      <c r="G2586" s="626" t="s">
        <v>5878</v>
      </c>
      <c r="H2586" s="626" t="s">
        <v>5879</v>
      </c>
      <c r="I2586" s="638" t="s">
        <v>5663</v>
      </c>
      <c r="J2586" s="626" t="s">
        <v>5880</v>
      </c>
      <c r="K2586" s="702"/>
      <c r="L2586" s="654"/>
      <c r="M2586" s="636"/>
      <c r="N2586" s="626">
        <v>8</v>
      </c>
      <c r="O2586" s="638">
        <v>2</v>
      </c>
      <c r="P2586" s="703">
        <f t="shared" si="18"/>
        <v>5000</v>
      </c>
    </row>
    <row r="2587" spans="1:16" s="619" customFormat="1" ht="36" x14ac:dyDescent="0.2">
      <c r="A2587" s="626" t="s">
        <v>5658</v>
      </c>
      <c r="B2587" s="626" t="s">
        <v>1908</v>
      </c>
      <c r="C2587" s="638" t="s">
        <v>104</v>
      </c>
      <c r="D2587" s="626" t="s">
        <v>5746</v>
      </c>
      <c r="E2587" s="636">
        <v>1150</v>
      </c>
      <c r="F2587" s="637" t="s">
        <v>5881</v>
      </c>
      <c r="G2587" s="626" t="s">
        <v>5882</v>
      </c>
      <c r="H2587" s="626" t="s">
        <v>1919</v>
      </c>
      <c r="I2587" s="638" t="s">
        <v>5666</v>
      </c>
      <c r="J2587" s="626" t="s">
        <v>5667</v>
      </c>
      <c r="K2587" s="702"/>
      <c r="L2587" s="654"/>
      <c r="M2587" s="636"/>
      <c r="N2587" s="626">
        <v>8</v>
      </c>
      <c r="O2587" s="638">
        <v>2</v>
      </c>
      <c r="P2587" s="703">
        <f t="shared" si="18"/>
        <v>2300</v>
      </c>
    </row>
    <row r="2588" spans="1:16" s="619" customFormat="1" ht="36" x14ac:dyDescent="0.2">
      <c r="A2588" s="626" t="s">
        <v>5658</v>
      </c>
      <c r="B2588" s="626" t="s">
        <v>1908</v>
      </c>
      <c r="C2588" s="638" t="s">
        <v>104</v>
      </c>
      <c r="D2588" s="626" t="s">
        <v>5749</v>
      </c>
      <c r="E2588" s="636">
        <v>1400</v>
      </c>
      <c r="F2588" s="637" t="s">
        <v>5883</v>
      </c>
      <c r="G2588" s="626" t="s">
        <v>5884</v>
      </c>
      <c r="H2588" s="626" t="s">
        <v>5885</v>
      </c>
      <c r="I2588" s="638" t="s">
        <v>4354</v>
      </c>
      <c r="J2588" s="626" t="s">
        <v>5769</v>
      </c>
      <c r="K2588" s="702"/>
      <c r="L2588" s="654"/>
      <c r="M2588" s="636"/>
      <c r="N2588" s="626">
        <v>10</v>
      </c>
      <c r="O2588" s="638">
        <v>4</v>
      </c>
      <c r="P2588" s="703">
        <f t="shared" si="18"/>
        <v>5600</v>
      </c>
    </row>
    <row r="2589" spans="1:16" s="619" customFormat="1" ht="36" x14ac:dyDescent="0.2">
      <c r="A2589" s="626" t="s">
        <v>5658</v>
      </c>
      <c r="B2589" s="626" t="s">
        <v>1908</v>
      </c>
      <c r="C2589" s="638" t="s">
        <v>104</v>
      </c>
      <c r="D2589" s="626" t="s">
        <v>5749</v>
      </c>
      <c r="E2589" s="636">
        <v>1400</v>
      </c>
      <c r="F2589" s="637" t="s">
        <v>5886</v>
      </c>
      <c r="G2589" s="626" t="s">
        <v>5887</v>
      </c>
      <c r="H2589" s="626" t="s">
        <v>1919</v>
      </c>
      <c r="I2589" s="638" t="s">
        <v>5666</v>
      </c>
      <c r="J2589" s="626" t="s">
        <v>5667</v>
      </c>
      <c r="K2589" s="702"/>
      <c r="L2589" s="654"/>
      <c r="M2589" s="636"/>
      <c r="N2589" s="626">
        <v>10</v>
      </c>
      <c r="O2589" s="638">
        <v>4</v>
      </c>
      <c r="P2589" s="703">
        <f t="shared" si="18"/>
        <v>5600</v>
      </c>
    </row>
    <row r="2590" spans="1:16" s="619" customFormat="1" ht="36" x14ac:dyDescent="0.2">
      <c r="A2590" s="626" t="s">
        <v>5658</v>
      </c>
      <c r="B2590" s="626" t="s">
        <v>1908</v>
      </c>
      <c r="C2590" s="638" t="s">
        <v>104</v>
      </c>
      <c r="D2590" s="626" t="s">
        <v>5752</v>
      </c>
      <c r="E2590" s="636">
        <v>2500</v>
      </c>
      <c r="F2590" s="637" t="s">
        <v>5888</v>
      </c>
      <c r="G2590" s="626" t="s">
        <v>5889</v>
      </c>
      <c r="H2590" s="626" t="s">
        <v>5699</v>
      </c>
      <c r="I2590" s="638" t="s">
        <v>4354</v>
      </c>
      <c r="J2590" s="626" t="s">
        <v>5830</v>
      </c>
      <c r="K2590" s="702"/>
      <c r="L2590" s="654"/>
      <c r="M2590" s="636"/>
      <c r="N2590" s="626">
        <v>10</v>
      </c>
      <c r="O2590" s="638">
        <v>4</v>
      </c>
      <c r="P2590" s="703">
        <f t="shared" si="18"/>
        <v>10000</v>
      </c>
    </row>
    <row r="2591" spans="1:16" s="619" customFormat="1" ht="36" x14ac:dyDescent="0.2">
      <c r="A2591" s="626" t="s">
        <v>5658</v>
      </c>
      <c r="B2591" s="626" t="s">
        <v>1908</v>
      </c>
      <c r="C2591" s="638" t="s">
        <v>104</v>
      </c>
      <c r="D2591" s="626" t="s">
        <v>5746</v>
      </c>
      <c r="E2591" s="636">
        <v>1150</v>
      </c>
      <c r="F2591" s="637" t="s">
        <v>5890</v>
      </c>
      <c r="G2591" s="626" t="s">
        <v>5891</v>
      </c>
      <c r="H2591" s="626" t="s">
        <v>1919</v>
      </c>
      <c r="I2591" s="638" t="s">
        <v>5666</v>
      </c>
      <c r="J2591" s="626" t="s">
        <v>5667</v>
      </c>
      <c r="K2591" s="702"/>
      <c r="L2591" s="654"/>
      <c r="M2591" s="636"/>
      <c r="N2591" s="626">
        <v>8</v>
      </c>
      <c r="O2591" s="638">
        <v>2</v>
      </c>
      <c r="P2591" s="703">
        <f t="shared" si="18"/>
        <v>2300</v>
      </c>
    </row>
    <row r="2592" spans="1:16" s="619" customFormat="1" ht="36" x14ac:dyDescent="0.2">
      <c r="A2592" s="626" t="s">
        <v>5658</v>
      </c>
      <c r="B2592" s="626" t="s">
        <v>1908</v>
      </c>
      <c r="C2592" s="638" t="s">
        <v>104</v>
      </c>
      <c r="D2592" s="626" t="s">
        <v>5749</v>
      </c>
      <c r="E2592" s="636">
        <v>1400</v>
      </c>
      <c r="F2592" s="637" t="s">
        <v>5892</v>
      </c>
      <c r="G2592" s="626" t="s">
        <v>5893</v>
      </c>
      <c r="H2592" s="626" t="s">
        <v>5894</v>
      </c>
      <c r="I2592" s="638" t="s">
        <v>3768</v>
      </c>
      <c r="J2592" s="626" t="s">
        <v>5773</v>
      </c>
      <c r="K2592" s="702"/>
      <c r="L2592" s="654"/>
      <c r="M2592" s="636"/>
      <c r="N2592" s="626">
        <v>10</v>
      </c>
      <c r="O2592" s="638">
        <v>4</v>
      </c>
      <c r="P2592" s="703">
        <f t="shared" si="18"/>
        <v>5600</v>
      </c>
    </row>
    <row r="2593" spans="1:16" s="619" customFormat="1" ht="36" x14ac:dyDescent="0.2">
      <c r="A2593" s="626" t="s">
        <v>5658</v>
      </c>
      <c r="B2593" s="626" t="s">
        <v>1908</v>
      </c>
      <c r="C2593" s="638" t="s">
        <v>104</v>
      </c>
      <c r="D2593" s="626" t="s">
        <v>5752</v>
      </c>
      <c r="E2593" s="636">
        <v>2500</v>
      </c>
      <c r="F2593" s="637" t="s">
        <v>5895</v>
      </c>
      <c r="G2593" s="626" t="s">
        <v>5896</v>
      </c>
      <c r="H2593" s="626" t="s">
        <v>5699</v>
      </c>
      <c r="I2593" s="638" t="s">
        <v>3768</v>
      </c>
      <c r="J2593" s="626" t="s">
        <v>5676</v>
      </c>
      <c r="K2593" s="702"/>
      <c r="L2593" s="654"/>
      <c r="M2593" s="636"/>
      <c r="N2593" s="626">
        <v>10</v>
      </c>
      <c r="O2593" s="638">
        <v>4</v>
      </c>
      <c r="P2593" s="703">
        <f t="shared" si="18"/>
        <v>10000</v>
      </c>
    </row>
    <row r="2594" spans="1:16" s="619" customFormat="1" ht="36" x14ac:dyDescent="0.2">
      <c r="A2594" s="626" t="s">
        <v>5658</v>
      </c>
      <c r="B2594" s="626" t="s">
        <v>1908</v>
      </c>
      <c r="C2594" s="638" t="s">
        <v>104</v>
      </c>
      <c r="D2594" s="626" t="s">
        <v>5749</v>
      </c>
      <c r="E2594" s="636">
        <v>1400</v>
      </c>
      <c r="F2594" s="637" t="s">
        <v>5897</v>
      </c>
      <c r="G2594" s="626" t="s">
        <v>5898</v>
      </c>
      <c r="H2594" s="626" t="s">
        <v>5870</v>
      </c>
      <c r="I2594" s="638" t="s">
        <v>5666</v>
      </c>
      <c r="J2594" s="626" t="s">
        <v>5667</v>
      </c>
      <c r="K2594" s="702"/>
      <c r="L2594" s="654"/>
      <c r="M2594" s="636"/>
      <c r="N2594" s="626">
        <v>10</v>
      </c>
      <c r="O2594" s="638">
        <v>4</v>
      </c>
      <c r="P2594" s="703">
        <f t="shared" si="18"/>
        <v>5600</v>
      </c>
    </row>
    <row r="2595" spans="1:16" s="619" customFormat="1" ht="36" x14ac:dyDescent="0.2">
      <c r="A2595" s="626" t="s">
        <v>5658</v>
      </c>
      <c r="B2595" s="626" t="s">
        <v>1908</v>
      </c>
      <c r="C2595" s="638" t="s">
        <v>104</v>
      </c>
      <c r="D2595" s="626" t="s">
        <v>5749</v>
      </c>
      <c r="E2595" s="636">
        <v>1400</v>
      </c>
      <c r="F2595" s="637" t="s">
        <v>5899</v>
      </c>
      <c r="G2595" s="626" t="s">
        <v>5900</v>
      </c>
      <c r="H2595" s="626" t="s">
        <v>1919</v>
      </c>
      <c r="I2595" s="638" t="s">
        <v>5666</v>
      </c>
      <c r="J2595" s="626" t="s">
        <v>5667</v>
      </c>
      <c r="K2595" s="702"/>
      <c r="L2595" s="654"/>
      <c r="M2595" s="636"/>
      <c r="N2595" s="626">
        <v>10</v>
      </c>
      <c r="O2595" s="638">
        <v>4</v>
      </c>
      <c r="P2595" s="703">
        <f t="shared" si="18"/>
        <v>5600</v>
      </c>
    </row>
    <row r="2596" spans="1:16" s="619" customFormat="1" ht="36" x14ac:dyDescent="0.2">
      <c r="A2596" s="626" t="s">
        <v>5658</v>
      </c>
      <c r="B2596" s="626" t="s">
        <v>1908</v>
      </c>
      <c r="C2596" s="638" t="s">
        <v>104</v>
      </c>
      <c r="D2596" s="626" t="s">
        <v>5749</v>
      </c>
      <c r="E2596" s="636">
        <v>1400</v>
      </c>
      <c r="F2596" s="637" t="s">
        <v>5901</v>
      </c>
      <c r="G2596" s="626" t="s">
        <v>5902</v>
      </c>
      <c r="H2596" s="626" t="s">
        <v>5903</v>
      </c>
      <c r="I2596" s="638" t="s">
        <v>4354</v>
      </c>
      <c r="J2596" s="626" t="s">
        <v>5769</v>
      </c>
      <c r="K2596" s="702"/>
      <c r="L2596" s="654"/>
      <c r="M2596" s="636"/>
      <c r="N2596" s="626">
        <v>10</v>
      </c>
      <c r="O2596" s="638">
        <v>4</v>
      </c>
      <c r="P2596" s="703">
        <f t="shared" si="18"/>
        <v>5600</v>
      </c>
    </row>
    <row r="2597" spans="1:16" s="619" customFormat="1" ht="36" x14ac:dyDescent="0.2">
      <c r="A2597" s="626" t="s">
        <v>5658</v>
      </c>
      <c r="B2597" s="626" t="s">
        <v>1908</v>
      </c>
      <c r="C2597" s="638" t="s">
        <v>104</v>
      </c>
      <c r="D2597" s="626" t="s">
        <v>5746</v>
      </c>
      <c r="E2597" s="636">
        <v>1150</v>
      </c>
      <c r="F2597" s="637" t="s">
        <v>5904</v>
      </c>
      <c r="G2597" s="626" t="s">
        <v>5905</v>
      </c>
      <c r="H2597" s="626" t="s">
        <v>1919</v>
      </c>
      <c r="I2597" s="638" t="s">
        <v>5666</v>
      </c>
      <c r="J2597" s="626" t="s">
        <v>5667</v>
      </c>
      <c r="K2597" s="702"/>
      <c r="L2597" s="654"/>
      <c r="M2597" s="636"/>
      <c r="N2597" s="626">
        <v>8</v>
      </c>
      <c r="O2597" s="638">
        <v>2</v>
      </c>
      <c r="P2597" s="703">
        <f t="shared" si="18"/>
        <v>2300</v>
      </c>
    </row>
    <row r="2598" spans="1:16" s="619" customFormat="1" ht="36" x14ac:dyDescent="0.2">
      <c r="A2598" s="626" t="s">
        <v>5658</v>
      </c>
      <c r="B2598" s="626" t="s">
        <v>1908</v>
      </c>
      <c r="C2598" s="638" t="s">
        <v>104</v>
      </c>
      <c r="D2598" s="626" t="s">
        <v>5749</v>
      </c>
      <c r="E2598" s="636">
        <v>1400</v>
      </c>
      <c r="F2598" s="637" t="s">
        <v>5906</v>
      </c>
      <c r="G2598" s="626" t="s">
        <v>5907</v>
      </c>
      <c r="H2598" s="626" t="s">
        <v>1919</v>
      </c>
      <c r="I2598" s="638" t="s">
        <v>5666</v>
      </c>
      <c r="J2598" s="626" t="s">
        <v>5667</v>
      </c>
      <c r="K2598" s="702"/>
      <c r="L2598" s="654"/>
      <c r="M2598" s="636"/>
      <c r="N2598" s="626">
        <v>10</v>
      </c>
      <c r="O2598" s="638">
        <v>4</v>
      </c>
      <c r="P2598" s="703">
        <f t="shared" si="18"/>
        <v>5600</v>
      </c>
    </row>
    <row r="2599" spans="1:16" s="619" customFormat="1" ht="36" x14ac:dyDescent="0.2">
      <c r="A2599" s="626" t="s">
        <v>5658</v>
      </c>
      <c r="B2599" s="626" t="s">
        <v>1908</v>
      </c>
      <c r="C2599" s="638" t="s">
        <v>104</v>
      </c>
      <c r="D2599" s="626" t="s">
        <v>5752</v>
      </c>
      <c r="E2599" s="636">
        <v>2500</v>
      </c>
      <c r="F2599" s="637" t="s">
        <v>5908</v>
      </c>
      <c r="G2599" s="626" t="s">
        <v>5909</v>
      </c>
      <c r="H2599" s="626" t="s">
        <v>5755</v>
      </c>
      <c r="I2599" s="638" t="s">
        <v>5663</v>
      </c>
      <c r="J2599" s="626" t="s">
        <v>5672</v>
      </c>
      <c r="K2599" s="702"/>
      <c r="L2599" s="654"/>
      <c r="M2599" s="636"/>
      <c r="N2599" s="626">
        <v>10</v>
      </c>
      <c r="O2599" s="638">
        <v>4</v>
      </c>
      <c r="P2599" s="703">
        <f t="shared" si="18"/>
        <v>10000</v>
      </c>
    </row>
    <row r="2600" spans="1:16" s="619" customFormat="1" ht="36" x14ac:dyDescent="0.2">
      <c r="A2600" s="626" t="s">
        <v>5658</v>
      </c>
      <c r="B2600" s="626" t="s">
        <v>1908</v>
      </c>
      <c r="C2600" s="638" t="s">
        <v>104</v>
      </c>
      <c r="D2600" s="626" t="s">
        <v>5749</v>
      </c>
      <c r="E2600" s="636">
        <v>1400</v>
      </c>
      <c r="F2600" s="637" t="s">
        <v>5910</v>
      </c>
      <c r="G2600" s="626" t="s">
        <v>5911</v>
      </c>
      <c r="H2600" s="626" t="s">
        <v>1919</v>
      </c>
      <c r="I2600" s="638" t="s">
        <v>5666</v>
      </c>
      <c r="J2600" s="626" t="s">
        <v>5667</v>
      </c>
      <c r="K2600" s="702"/>
      <c r="L2600" s="654"/>
      <c r="M2600" s="636"/>
      <c r="N2600" s="626">
        <v>10</v>
      </c>
      <c r="O2600" s="638">
        <v>4</v>
      </c>
      <c r="P2600" s="703">
        <f t="shared" si="18"/>
        <v>5600</v>
      </c>
    </row>
    <row r="2601" spans="1:16" s="619" customFormat="1" ht="36" x14ac:dyDescent="0.2">
      <c r="A2601" s="626" t="s">
        <v>5658</v>
      </c>
      <c r="B2601" s="626" t="s">
        <v>1908</v>
      </c>
      <c r="C2601" s="638" t="s">
        <v>104</v>
      </c>
      <c r="D2601" s="626" t="s">
        <v>5749</v>
      </c>
      <c r="E2601" s="636">
        <v>1400</v>
      </c>
      <c r="F2601" s="637" t="s">
        <v>5912</v>
      </c>
      <c r="G2601" s="626" t="s">
        <v>5913</v>
      </c>
      <c r="H2601" s="626" t="s">
        <v>5337</v>
      </c>
      <c r="I2601" s="638" t="s">
        <v>4354</v>
      </c>
      <c r="J2601" s="626" t="s">
        <v>5769</v>
      </c>
      <c r="K2601" s="702"/>
      <c r="L2601" s="654"/>
      <c r="M2601" s="636"/>
      <c r="N2601" s="626">
        <v>10</v>
      </c>
      <c r="O2601" s="638">
        <v>4</v>
      </c>
      <c r="P2601" s="703">
        <f t="shared" si="18"/>
        <v>5600</v>
      </c>
    </row>
    <row r="2602" spans="1:16" s="619" customFormat="1" ht="36" x14ac:dyDescent="0.2">
      <c r="A2602" s="626" t="s">
        <v>5658</v>
      </c>
      <c r="B2602" s="626" t="s">
        <v>1908</v>
      </c>
      <c r="C2602" s="638" t="s">
        <v>104</v>
      </c>
      <c r="D2602" s="626" t="s">
        <v>5749</v>
      </c>
      <c r="E2602" s="636">
        <v>1400</v>
      </c>
      <c r="F2602" s="637" t="s">
        <v>5914</v>
      </c>
      <c r="G2602" s="626" t="s">
        <v>5915</v>
      </c>
      <c r="H2602" s="626" t="s">
        <v>5870</v>
      </c>
      <c r="I2602" s="638" t="s">
        <v>5666</v>
      </c>
      <c r="J2602" s="626" t="s">
        <v>5667</v>
      </c>
      <c r="K2602" s="702"/>
      <c r="L2602" s="654"/>
      <c r="M2602" s="636"/>
      <c r="N2602" s="626">
        <v>10</v>
      </c>
      <c r="O2602" s="638">
        <v>4</v>
      </c>
      <c r="P2602" s="703">
        <f t="shared" si="18"/>
        <v>5600</v>
      </c>
    </row>
    <row r="2603" spans="1:16" s="619" customFormat="1" ht="36" x14ac:dyDescent="0.2">
      <c r="A2603" s="626" t="s">
        <v>5658</v>
      </c>
      <c r="B2603" s="626" t="s">
        <v>1908</v>
      </c>
      <c r="C2603" s="638" t="s">
        <v>104</v>
      </c>
      <c r="D2603" s="626" t="s">
        <v>5746</v>
      </c>
      <c r="E2603" s="636">
        <v>1150</v>
      </c>
      <c r="F2603" s="637" t="s">
        <v>5916</v>
      </c>
      <c r="G2603" s="626" t="s">
        <v>5917</v>
      </c>
      <c r="H2603" s="626" t="s">
        <v>1919</v>
      </c>
      <c r="I2603" s="638" t="s">
        <v>5666</v>
      </c>
      <c r="J2603" s="626" t="s">
        <v>5667</v>
      </c>
      <c r="K2603" s="702"/>
      <c r="L2603" s="654"/>
      <c r="M2603" s="636"/>
      <c r="N2603" s="626">
        <v>8</v>
      </c>
      <c r="O2603" s="638">
        <v>2</v>
      </c>
      <c r="P2603" s="703">
        <f t="shared" si="18"/>
        <v>2300</v>
      </c>
    </row>
    <row r="2604" spans="1:16" s="619" customFormat="1" ht="36" x14ac:dyDescent="0.2">
      <c r="A2604" s="626" t="s">
        <v>5658</v>
      </c>
      <c r="B2604" s="626" t="s">
        <v>1908</v>
      </c>
      <c r="C2604" s="638" t="s">
        <v>104</v>
      </c>
      <c r="D2604" s="626" t="s">
        <v>5749</v>
      </c>
      <c r="E2604" s="636">
        <v>1400</v>
      </c>
      <c r="F2604" s="637" t="s">
        <v>5918</v>
      </c>
      <c r="G2604" s="626" t="s">
        <v>5919</v>
      </c>
      <c r="H2604" s="626" t="s">
        <v>5699</v>
      </c>
      <c r="I2604" s="638" t="s">
        <v>4354</v>
      </c>
      <c r="J2604" s="626" t="s">
        <v>5769</v>
      </c>
      <c r="K2604" s="702"/>
      <c r="L2604" s="654"/>
      <c r="M2604" s="636"/>
      <c r="N2604" s="626">
        <v>10</v>
      </c>
      <c r="O2604" s="638">
        <v>4</v>
      </c>
      <c r="P2604" s="703">
        <f t="shared" si="18"/>
        <v>5600</v>
      </c>
    </row>
    <row r="2605" spans="1:16" s="619" customFormat="1" ht="36" x14ac:dyDescent="0.2">
      <c r="A2605" s="626" t="s">
        <v>5658</v>
      </c>
      <c r="B2605" s="626" t="s">
        <v>1908</v>
      </c>
      <c r="C2605" s="638" t="s">
        <v>104</v>
      </c>
      <c r="D2605" s="626" t="s">
        <v>5749</v>
      </c>
      <c r="E2605" s="636">
        <v>1400</v>
      </c>
      <c r="F2605" s="637" t="s">
        <v>5920</v>
      </c>
      <c r="G2605" s="626" t="s">
        <v>5921</v>
      </c>
      <c r="H2605" s="626" t="s">
        <v>5870</v>
      </c>
      <c r="I2605" s="638" t="s">
        <v>5666</v>
      </c>
      <c r="J2605" s="626" t="s">
        <v>5667</v>
      </c>
      <c r="K2605" s="702"/>
      <c r="L2605" s="654"/>
      <c r="M2605" s="636"/>
      <c r="N2605" s="626">
        <v>10</v>
      </c>
      <c r="O2605" s="638">
        <v>4</v>
      </c>
      <c r="P2605" s="703">
        <f t="shared" si="18"/>
        <v>5600</v>
      </c>
    </row>
    <row r="2606" spans="1:16" s="619" customFormat="1" ht="36" x14ac:dyDescent="0.2">
      <c r="A2606" s="626" t="s">
        <v>5658</v>
      </c>
      <c r="B2606" s="626" t="s">
        <v>1908</v>
      </c>
      <c r="C2606" s="638" t="s">
        <v>104</v>
      </c>
      <c r="D2606" s="626" t="s">
        <v>5752</v>
      </c>
      <c r="E2606" s="636">
        <v>2500</v>
      </c>
      <c r="F2606" s="637" t="s">
        <v>5922</v>
      </c>
      <c r="G2606" s="626" t="s">
        <v>5923</v>
      </c>
      <c r="H2606" s="626" t="s">
        <v>5924</v>
      </c>
      <c r="I2606" s="638" t="s">
        <v>4354</v>
      </c>
      <c r="J2606" s="626" t="s">
        <v>5830</v>
      </c>
      <c r="K2606" s="702"/>
      <c r="L2606" s="654"/>
      <c r="M2606" s="636"/>
      <c r="N2606" s="626">
        <v>10</v>
      </c>
      <c r="O2606" s="638">
        <v>4</v>
      </c>
      <c r="P2606" s="703">
        <f t="shared" si="18"/>
        <v>10000</v>
      </c>
    </row>
    <row r="2607" spans="1:16" s="619" customFormat="1" ht="36" x14ac:dyDescent="0.2">
      <c r="A2607" s="626" t="s">
        <v>5658</v>
      </c>
      <c r="B2607" s="626" t="s">
        <v>1908</v>
      </c>
      <c r="C2607" s="638" t="s">
        <v>104</v>
      </c>
      <c r="D2607" s="626" t="s">
        <v>3681</v>
      </c>
      <c r="E2607" s="636">
        <v>1150</v>
      </c>
      <c r="F2607" s="637" t="s">
        <v>5925</v>
      </c>
      <c r="G2607" s="626" t="s">
        <v>5926</v>
      </c>
      <c r="H2607" s="626" t="s">
        <v>1919</v>
      </c>
      <c r="I2607" s="638" t="s">
        <v>5666</v>
      </c>
      <c r="J2607" s="626" t="s">
        <v>5765</v>
      </c>
      <c r="K2607" s="702"/>
      <c r="L2607" s="654"/>
      <c r="M2607" s="636"/>
      <c r="N2607" s="626">
        <v>9</v>
      </c>
      <c r="O2607" s="638">
        <v>3</v>
      </c>
      <c r="P2607" s="703">
        <f t="shared" si="18"/>
        <v>3450</v>
      </c>
    </row>
    <row r="2608" spans="1:16" s="619" customFormat="1" ht="36" x14ac:dyDescent="0.2">
      <c r="A2608" s="626" t="s">
        <v>5658</v>
      </c>
      <c r="B2608" s="626" t="s">
        <v>1908</v>
      </c>
      <c r="C2608" s="638" t="s">
        <v>104</v>
      </c>
      <c r="D2608" s="626" t="s">
        <v>5787</v>
      </c>
      <c r="E2608" s="636">
        <v>2500</v>
      </c>
      <c r="F2608" s="637" t="s">
        <v>5927</v>
      </c>
      <c r="G2608" s="626" t="s">
        <v>5928</v>
      </c>
      <c r="H2608" s="626" t="s">
        <v>5790</v>
      </c>
      <c r="I2608" s="638" t="s">
        <v>5663</v>
      </c>
      <c r="J2608" s="626" t="s">
        <v>5662</v>
      </c>
      <c r="K2608" s="702"/>
      <c r="L2608" s="654"/>
      <c r="M2608" s="636"/>
      <c r="N2608" s="626">
        <v>8</v>
      </c>
      <c r="O2608" s="638">
        <v>2</v>
      </c>
      <c r="P2608" s="703">
        <f t="shared" si="18"/>
        <v>5000</v>
      </c>
    </row>
    <row r="2609" spans="1:16" s="619" customFormat="1" ht="36" x14ac:dyDescent="0.2">
      <c r="A2609" s="626" t="s">
        <v>5658</v>
      </c>
      <c r="B2609" s="626" t="s">
        <v>1908</v>
      </c>
      <c r="C2609" s="638" t="s">
        <v>104</v>
      </c>
      <c r="D2609" s="626" t="s">
        <v>5746</v>
      </c>
      <c r="E2609" s="636">
        <v>1150</v>
      </c>
      <c r="F2609" s="637" t="s">
        <v>5929</v>
      </c>
      <c r="G2609" s="626" t="s">
        <v>5930</v>
      </c>
      <c r="H2609" s="626" t="s">
        <v>5931</v>
      </c>
      <c r="I2609" s="638" t="s">
        <v>4354</v>
      </c>
      <c r="J2609" s="626" t="s">
        <v>5765</v>
      </c>
      <c r="K2609" s="702"/>
      <c r="L2609" s="654"/>
      <c r="M2609" s="636"/>
      <c r="N2609" s="626">
        <v>8</v>
      </c>
      <c r="O2609" s="638">
        <v>2</v>
      </c>
      <c r="P2609" s="703">
        <f t="shared" si="18"/>
        <v>2300</v>
      </c>
    </row>
    <row r="2610" spans="1:16" s="619" customFormat="1" ht="36" x14ac:dyDescent="0.2">
      <c r="A2610" s="626" t="s">
        <v>5658</v>
      </c>
      <c r="B2610" s="626" t="s">
        <v>1908</v>
      </c>
      <c r="C2610" s="638" t="s">
        <v>104</v>
      </c>
      <c r="D2610" s="626" t="s">
        <v>5749</v>
      </c>
      <c r="E2610" s="636">
        <v>1400</v>
      </c>
      <c r="F2610" s="637" t="s">
        <v>5932</v>
      </c>
      <c r="G2610" s="626" t="s">
        <v>5933</v>
      </c>
      <c r="H2610" s="626" t="s">
        <v>1919</v>
      </c>
      <c r="I2610" s="638" t="s">
        <v>5666</v>
      </c>
      <c r="J2610" s="626" t="s">
        <v>5667</v>
      </c>
      <c r="K2610" s="702"/>
      <c r="L2610" s="654"/>
      <c r="M2610" s="636"/>
      <c r="N2610" s="626">
        <v>10</v>
      </c>
      <c r="O2610" s="638">
        <v>4</v>
      </c>
      <c r="P2610" s="703">
        <f t="shared" si="18"/>
        <v>5600</v>
      </c>
    </row>
    <row r="2611" spans="1:16" s="619" customFormat="1" ht="36" x14ac:dyDescent="0.2">
      <c r="A2611" s="626" t="s">
        <v>5658</v>
      </c>
      <c r="B2611" s="626" t="s">
        <v>1908</v>
      </c>
      <c r="C2611" s="638" t="s">
        <v>104</v>
      </c>
      <c r="D2611" s="626" t="s">
        <v>5749</v>
      </c>
      <c r="E2611" s="636">
        <v>1400</v>
      </c>
      <c r="F2611" s="637" t="s">
        <v>5934</v>
      </c>
      <c r="G2611" s="626" t="s">
        <v>5935</v>
      </c>
      <c r="H2611" s="626" t="s">
        <v>4722</v>
      </c>
      <c r="I2611" s="638" t="s">
        <v>4354</v>
      </c>
      <c r="J2611" s="626" t="s">
        <v>5765</v>
      </c>
      <c r="K2611" s="702"/>
      <c r="L2611" s="654"/>
      <c r="M2611" s="636"/>
      <c r="N2611" s="626">
        <v>10</v>
      </c>
      <c r="O2611" s="638">
        <v>4</v>
      </c>
      <c r="P2611" s="703">
        <f t="shared" si="18"/>
        <v>5600</v>
      </c>
    </row>
    <row r="2612" spans="1:16" s="619" customFormat="1" ht="36" x14ac:dyDescent="0.2">
      <c r="A2612" s="626" t="s">
        <v>5658</v>
      </c>
      <c r="B2612" s="626" t="s">
        <v>1908</v>
      </c>
      <c r="C2612" s="638" t="s">
        <v>104</v>
      </c>
      <c r="D2612" s="626" t="s">
        <v>5752</v>
      </c>
      <c r="E2612" s="636">
        <v>2500</v>
      </c>
      <c r="F2612" s="637" t="s">
        <v>5936</v>
      </c>
      <c r="G2612" s="626" t="s">
        <v>5937</v>
      </c>
      <c r="H2612" s="626" t="s">
        <v>5415</v>
      </c>
      <c r="I2612" s="638" t="s">
        <v>3587</v>
      </c>
      <c r="J2612" s="626" t="s">
        <v>3587</v>
      </c>
      <c r="K2612" s="702"/>
      <c r="L2612" s="654"/>
      <c r="M2612" s="636"/>
      <c r="N2612" s="626">
        <v>10</v>
      </c>
      <c r="O2612" s="638">
        <v>4</v>
      </c>
      <c r="P2612" s="703">
        <f t="shared" si="18"/>
        <v>10000</v>
      </c>
    </row>
    <row r="2613" spans="1:16" s="619" customFormat="1" ht="36" x14ac:dyDescent="0.2">
      <c r="A2613" s="626" t="s">
        <v>5658</v>
      </c>
      <c r="B2613" s="626" t="s">
        <v>1908</v>
      </c>
      <c r="C2613" s="638" t="s">
        <v>104</v>
      </c>
      <c r="D2613" s="626" t="s">
        <v>5746</v>
      </c>
      <c r="E2613" s="636">
        <v>1150</v>
      </c>
      <c r="F2613" s="637" t="s">
        <v>5938</v>
      </c>
      <c r="G2613" s="626" t="s">
        <v>5939</v>
      </c>
      <c r="H2613" s="626" t="s">
        <v>1919</v>
      </c>
      <c r="I2613" s="638" t="s">
        <v>5666</v>
      </c>
      <c r="J2613" s="626" t="s">
        <v>5667</v>
      </c>
      <c r="K2613" s="702"/>
      <c r="L2613" s="654"/>
      <c r="M2613" s="636"/>
      <c r="N2613" s="626">
        <v>8</v>
      </c>
      <c r="O2613" s="638">
        <v>2</v>
      </c>
      <c r="P2613" s="703">
        <f t="shared" si="18"/>
        <v>2300</v>
      </c>
    </row>
    <row r="2614" spans="1:16" s="619" customFormat="1" ht="36" x14ac:dyDescent="0.2">
      <c r="A2614" s="626" t="s">
        <v>5658</v>
      </c>
      <c r="B2614" s="626" t="s">
        <v>1908</v>
      </c>
      <c r="C2614" s="638" t="s">
        <v>104</v>
      </c>
      <c r="D2614" s="626" t="s">
        <v>5752</v>
      </c>
      <c r="E2614" s="636">
        <v>2500</v>
      </c>
      <c r="F2614" s="637" t="s">
        <v>5940</v>
      </c>
      <c r="G2614" s="626" t="s">
        <v>5941</v>
      </c>
      <c r="H2614" s="626" t="s">
        <v>5760</v>
      </c>
      <c r="I2614" s="638" t="s">
        <v>4354</v>
      </c>
      <c r="J2614" s="626" t="s">
        <v>5765</v>
      </c>
      <c r="K2614" s="702"/>
      <c r="L2614" s="654"/>
      <c r="M2614" s="636"/>
      <c r="N2614" s="626">
        <v>10</v>
      </c>
      <c r="O2614" s="638">
        <v>4</v>
      </c>
      <c r="P2614" s="703">
        <f t="shared" si="18"/>
        <v>10000</v>
      </c>
    </row>
    <row r="2615" spans="1:16" s="619" customFormat="1" ht="36" x14ac:dyDescent="0.2">
      <c r="A2615" s="626" t="s">
        <v>5658</v>
      </c>
      <c r="B2615" s="626" t="s">
        <v>1908</v>
      </c>
      <c r="C2615" s="638" t="s">
        <v>104</v>
      </c>
      <c r="D2615" s="626" t="s">
        <v>5749</v>
      </c>
      <c r="E2615" s="636">
        <v>1400</v>
      </c>
      <c r="F2615" s="637" t="s">
        <v>5942</v>
      </c>
      <c r="G2615" s="626" t="s">
        <v>5943</v>
      </c>
      <c r="H2615" s="626" t="s">
        <v>5944</v>
      </c>
      <c r="I2615" s="638" t="s">
        <v>4354</v>
      </c>
      <c r="J2615" s="626" t="s">
        <v>5769</v>
      </c>
      <c r="K2615" s="702"/>
      <c r="L2615" s="654"/>
      <c r="M2615" s="636"/>
      <c r="N2615" s="626">
        <v>10</v>
      </c>
      <c r="O2615" s="638">
        <v>4</v>
      </c>
      <c r="P2615" s="703">
        <f t="shared" si="18"/>
        <v>5600</v>
      </c>
    </row>
    <row r="2616" spans="1:16" s="619" customFormat="1" ht="36" x14ac:dyDescent="0.2">
      <c r="A2616" s="626" t="s">
        <v>5658</v>
      </c>
      <c r="B2616" s="626" t="s">
        <v>1908</v>
      </c>
      <c r="C2616" s="638" t="s">
        <v>104</v>
      </c>
      <c r="D2616" s="626" t="s">
        <v>5749</v>
      </c>
      <c r="E2616" s="636">
        <v>1400</v>
      </c>
      <c r="F2616" s="637" t="s">
        <v>5945</v>
      </c>
      <c r="G2616" s="626" t="s">
        <v>5946</v>
      </c>
      <c r="H2616" s="626" t="s">
        <v>1919</v>
      </c>
      <c r="I2616" s="638" t="s">
        <v>5666</v>
      </c>
      <c r="J2616" s="626" t="s">
        <v>5667</v>
      </c>
      <c r="K2616" s="702"/>
      <c r="L2616" s="654"/>
      <c r="M2616" s="636"/>
      <c r="N2616" s="626">
        <v>10</v>
      </c>
      <c r="O2616" s="638">
        <v>4</v>
      </c>
      <c r="P2616" s="703">
        <f t="shared" si="18"/>
        <v>5600</v>
      </c>
    </row>
    <row r="2617" spans="1:16" s="619" customFormat="1" ht="36" x14ac:dyDescent="0.2">
      <c r="A2617" s="626" t="s">
        <v>5658</v>
      </c>
      <c r="B2617" s="626" t="s">
        <v>1908</v>
      </c>
      <c r="C2617" s="638" t="s">
        <v>104</v>
      </c>
      <c r="D2617" s="626" t="s">
        <v>5749</v>
      </c>
      <c r="E2617" s="636">
        <v>1400</v>
      </c>
      <c r="F2617" s="637" t="s">
        <v>5947</v>
      </c>
      <c r="G2617" s="626" t="s">
        <v>5948</v>
      </c>
      <c r="H2617" s="626" t="s">
        <v>2845</v>
      </c>
      <c r="I2617" s="638" t="s">
        <v>4354</v>
      </c>
      <c r="J2617" s="626" t="s">
        <v>5769</v>
      </c>
      <c r="K2617" s="702"/>
      <c r="L2617" s="654"/>
      <c r="M2617" s="636"/>
      <c r="N2617" s="626">
        <v>10</v>
      </c>
      <c r="O2617" s="638">
        <v>4</v>
      </c>
      <c r="P2617" s="703">
        <f t="shared" si="18"/>
        <v>5600</v>
      </c>
    </row>
    <row r="2618" spans="1:16" s="619" customFormat="1" ht="36" x14ac:dyDescent="0.2">
      <c r="A2618" s="626" t="s">
        <v>5658</v>
      </c>
      <c r="B2618" s="626" t="s">
        <v>1908</v>
      </c>
      <c r="C2618" s="638" t="s">
        <v>104</v>
      </c>
      <c r="D2618" s="626" t="s">
        <v>5749</v>
      </c>
      <c r="E2618" s="636">
        <v>1400</v>
      </c>
      <c r="F2618" s="637" t="s">
        <v>5949</v>
      </c>
      <c r="G2618" s="626" t="s">
        <v>5950</v>
      </c>
      <c r="H2618" s="626" t="s">
        <v>1919</v>
      </c>
      <c r="I2618" s="638" t="s">
        <v>5666</v>
      </c>
      <c r="J2618" s="626" t="s">
        <v>5667</v>
      </c>
      <c r="K2618" s="702"/>
      <c r="L2618" s="654"/>
      <c r="M2618" s="636"/>
      <c r="N2618" s="626">
        <v>10</v>
      </c>
      <c r="O2618" s="638">
        <v>4</v>
      </c>
      <c r="P2618" s="703">
        <f t="shared" si="18"/>
        <v>5600</v>
      </c>
    </row>
    <row r="2619" spans="1:16" s="619" customFormat="1" ht="36" x14ac:dyDescent="0.2">
      <c r="A2619" s="626" t="s">
        <v>5658</v>
      </c>
      <c r="B2619" s="626" t="s">
        <v>1908</v>
      </c>
      <c r="C2619" s="638" t="s">
        <v>104</v>
      </c>
      <c r="D2619" s="626" t="s">
        <v>5746</v>
      </c>
      <c r="E2619" s="636">
        <v>1150</v>
      </c>
      <c r="F2619" s="637" t="s">
        <v>5951</v>
      </c>
      <c r="G2619" s="626" t="s">
        <v>5952</v>
      </c>
      <c r="H2619" s="626" t="s">
        <v>1919</v>
      </c>
      <c r="I2619" s="638" t="s">
        <v>5666</v>
      </c>
      <c r="J2619" s="626" t="s">
        <v>5667</v>
      </c>
      <c r="K2619" s="702"/>
      <c r="L2619" s="654"/>
      <c r="M2619" s="636"/>
      <c r="N2619" s="626">
        <v>8</v>
      </c>
      <c r="O2619" s="638">
        <v>2</v>
      </c>
      <c r="P2619" s="703">
        <f t="shared" si="18"/>
        <v>2300</v>
      </c>
    </row>
    <row r="2620" spans="1:16" s="619" customFormat="1" ht="36" x14ac:dyDescent="0.2">
      <c r="A2620" s="626" t="s">
        <v>5658</v>
      </c>
      <c r="B2620" s="626" t="s">
        <v>1908</v>
      </c>
      <c r="C2620" s="638" t="s">
        <v>104</v>
      </c>
      <c r="D2620" s="626" t="s">
        <v>5749</v>
      </c>
      <c r="E2620" s="636">
        <v>1400</v>
      </c>
      <c r="F2620" s="637" t="s">
        <v>5953</v>
      </c>
      <c r="G2620" s="626" t="s">
        <v>5954</v>
      </c>
      <c r="H2620" s="626" t="s">
        <v>5337</v>
      </c>
      <c r="I2620" s="638" t="s">
        <v>3768</v>
      </c>
      <c r="J2620" s="626" t="s">
        <v>5773</v>
      </c>
      <c r="K2620" s="702"/>
      <c r="L2620" s="654"/>
      <c r="M2620" s="636"/>
      <c r="N2620" s="626">
        <v>10</v>
      </c>
      <c r="O2620" s="638">
        <v>4</v>
      </c>
      <c r="P2620" s="703">
        <f t="shared" si="18"/>
        <v>5600</v>
      </c>
    </row>
    <row r="2621" spans="1:16" s="619" customFormat="1" ht="36" x14ac:dyDescent="0.2">
      <c r="A2621" s="626" t="s">
        <v>5658</v>
      </c>
      <c r="B2621" s="626" t="s">
        <v>1908</v>
      </c>
      <c r="C2621" s="638" t="s">
        <v>104</v>
      </c>
      <c r="D2621" s="626" t="s">
        <v>5752</v>
      </c>
      <c r="E2621" s="636">
        <v>2500</v>
      </c>
      <c r="F2621" s="637" t="s">
        <v>5955</v>
      </c>
      <c r="G2621" s="626" t="s">
        <v>5956</v>
      </c>
      <c r="H2621" s="626" t="s">
        <v>4724</v>
      </c>
      <c r="I2621" s="638" t="s">
        <v>3587</v>
      </c>
      <c r="J2621" s="626" t="s">
        <v>3079</v>
      </c>
      <c r="K2621" s="702"/>
      <c r="L2621" s="654"/>
      <c r="M2621" s="636"/>
      <c r="N2621" s="626">
        <v>10</v>
      </c>
      <c r="O2621" s="638">
        <v>4</v>
      </c>
      <c r="P2621" s="703">
        <f t="shared" si="18"/>
        <v>10000</v>
      </c>
    </row>
    <row r="2622" spans="1:16" s="619" customFormat="1" ht="36" x14ac:dyDescent="0.2">
      <c r="A2622" s="626" t="s">
        <v>5658</v>
      </c>
      <c r="B2622" s="626" t="s">
        <v>1908</v>
      </c>
      <c r="C2622" s="638" t="s">
        <v>104</v>
      </c>
      <c r="D2622" s="626" t="s">
        <v>5749</v>
      </c>
      <c r="E2622" s="636">
        <v>1400</v>
      </c>
      <c r="F2622" s="637" t="s">
        <v>5957</v>
      </c>
      <c r="G2622" s="626" t="s">
        <v>5958</v>
      </c>
      <c r="H2622" s="626" t="s">
        <v>5772</v>
      </c>
      <c r="I2622" s="638" t="s">
        <v>4354</v>
      </c>
      <c r="J2622" s="626" t="s">
        <v>5761</v>
      </c>
      <c r="K2622" s="702"/>
      <c r="L2622" s="654"/>
      <c r="M2622" s="636"/>
      <c r="N2622" s="626">
        <v>10</v>
      </c>
      <c r="O2622" s="638">
        <v>4</v>
      </c>
      <c r="P2622" s="703">
        <f t="shared" si="18"/>
        <v>5600</v>
      </c>
    </row>
    <row r="2623" spans="1:16" s="619" customFormat="1" ht="72" x14ac:dyDescent="0.2">
      <c r="A2623" s="626" t="s">
        <v>5658</v>
      </c>
      <c r="B2623" s="626" t="s">
        <v>1908</v>
      </c>
      <c r="C2623" s="638" t="s">
        <v>104</v>
      </c>
      <c r="D2623" s="626" t="s">
        <v>5749</v>
      </c>
      <c r="E2623" s="636">
        <v>1400</v>
      </c>
      <c r="F2623" s="637" t="s">
        <v>5959</v>
      </c>
      <c r="G2623" s="626" t="s">
        <v>5960</v>
      </c>
      <c r="H2623" s="626" t="s">
        <v>5961</v>
      </c>
      <c r="I2623" s="638" t="s">
        <v>4354</v>
      </c>
      <c r="J2623" s="626" t="s">
        <v>5765</v>
      </c>
      <c r="K2623" s="702"/>
      <c r="L2623" s="654"/>
      <c r="M2623" s="636"/>
      <c r="N2623" s="626">
        <v>10</v>
      </c>
      <c r="O2623" s="638">
        <v>4</v>
      </c>
      <c r="P2623" s="703">
        <f t="shared" si="18"/>
        <v>5600</v>
      </c>
    </row>
    <row r="2624" spans="1:16" s="619" customFormat="1" ht="36" x14ac:dyDescent="0.2">
      <c r="A2624" s="626" t="s">
        <v>5658</v>
      </c>
      <c r="B2624" s="626" t="s">
        <v>1908</v>
      </c>
      <c r="C2624" s="638" t="s">
        <v>104</v>
      </c>
      <c r="D2624" s="626" t="s">
        <v>5749</v>
      </c>
      <c r="E2624" s="636">
        <v>1400</v>
      </c>
      <c r="F2624" s="637" t="s">
        <v>5962</v>
      </c>
      <c r="G2624" s="626" t="s">
        <v>5963</v>
      </c>
      <c r="H2624" s="626" t="s">
        <v>5780</v>
      </c>
      <c r="I2624" s="638" t="s">
        <v>4354</v>
      </c>
      <c r="J2624" s="626" t="s">
        <v>5769</v>
      </c>
      <c r="K2624" s="702"/>
      <c r="L2624" s="654"/>
      <c r="M2624" s="636"/>
      <c r="N2624" s="626">
        <v>10</v>
      </c>
      <c r="O2624" s="638">
        <v>4</v>
      </c>
      <c r="P2624" s="703">
        <f t="shared" si="18"/>
        <v>5600</v>
      </c>
    </row>
    <row r="2625" spans="1:16" s="619" customFormat="1" ht="36" x14ac:dyDescent="0.2">
      <c r="A2625" s="626" t="s">
        <v>5658</v>
      </c>
      <c r="B2625" s="626" t="s">
        <v>1908</v>
      </c>
      <c r="C2625" s="638" t="s">
        <v>104</v>
      </c>
      <c r="D2625" s="626" t="s">
        <v>5746</v>
      </c>
      <c r="E2625" s="636">
        <v>1150</v>
      </c>
      <c r="F2625" s="637" t="s">
        <v>5964</v>
      </c>
      <c r="G2625" s="626" t="s">
        <v>5965</v>
      </c>
      <c r="H2625" s="626" t="s">
        <v>1919</v>
      </c>
      <c r="I2625" s="638" t="s">
        <v>5666</v>
      </c>
      <c r="J2625" s="626" t="s">
        <v>5667</v>
      </c>
      <c r="K2625" s="702"/>
      <c r="L2625" s="654"/>
      <c r="M2625" s="636"/>
      <c r="N2625" s="626">
        <v>9</v>
      </c>
      <c r="O2625" s="638">
        <v>3</v>
      </c>
      <c r="P2625" s="703">
        <f t="shared" si="18"/>
        <v>3450</v>
      </c>
    </row>
    <row r="2626" spans="1:16" s="619" customFormat="1" ht="36" x14ac:dyDescent="0.2">
      <c r="A2626" s="626" t="s">
        <v>5658</v>
      </c>
      <c r="B2626" s="626" t="s">
        <v>1908</v>
      </c>
      <c r="C2626" s="638" t="s">
        <v>104</v>
      </c>
      <c r="D2626" s="626" t="s">
        <v>5752</v>
      </c>
      <c r="E2626" s="636">
        <v>2500</v>
      </c>
      <c r="F2626" s="637" t="s">
        <v>5966</v>
      </c>
      <c r="G2626" s="626" t="s">
        <v>5967</v>
      </c>
      <c r="H2626" s="626" t="s">
        <v>5699</v>
      </c>
      <c r="I2626" s="638" t="s">
        <v>5663</v>
      </c>
      <c r="J2626" s="626" t="s">
        <v>5672</v>
      </c>
      <c r="K2626" s="702"/>
      <c r="L2626" s="654"/>
      <c r="M2626" s="636"/>
      <c r="N2626" s="626">
        <v>10</v>
      </c>
      <c r="O2626" s="638">
        <v>4</v>
      </c>
      <c r="P2626" s="703">
        <f t="shared" si="18"/>
        <v>10000</v>
      </c>
    </row>
    <row r="2627" spans="1:16" s="619" customFormat="1" ht="36" x14ac:dyDescent="0.2">
      <c r="A2627" s="626" t="s">
        <v>5658</v>
      </c>
      <c r="B2627" s="626" t="s">
        <v>1908</v>
      </c>
      <c r="C2627" s="638" t="s">
        <v>104</v>
      </c>
      <c r="D2627" s="626" t="s">
        <v>3681</v>
      </c>
      <c r="E2627" s="636">
        <v>1150</v>
      </c>
      <c r="F2627" s="637" t="s">
        <v>5968</v>
      </c>
      <c r="G2627" s="626" t="s">
        <v>5969</v>
      </c>
      <c r="H2627" s="626" t="s">
        <v>1919</v>
      </c>
      <c r="I2627" s="638" t="s">
        <v>5666</v>
      </c>
      <c r="J2627" s="626" t="s">
        <v>5667</v>
      </c>
      <c r="K2627" s="702"/>
      <c r="L2627" s="654"/>
      <c r="M2627" s="636"/>
      <c r="N2627" s="626">
        <v>9</v>
      </c>
      <c r="O2627" s="638">
        <v>3</v>
      </c>
      <c r="P2627" s="703">
        <f t="shared" si="18"/>
        <v>3450</v>
      </c>
    </row>
    <row r="2628" spans="1:16" s="619" customFormat="1" ht="36" x14ac:dyDescent="0.2">
      <c r="A2628" s="626" t="s">
        <v>5658</v>
      </c>
      <c r="B2628" s="626" t="s">
        <v>1908</v>
      </c>
      <c r="C2628" s="638" t="s">
        <v>104</v>
      </c>
      <c r="D2628" s="626" t="s">
        <v>5749</v>
      </c>
      <c r="E2628" s="636">
        <v>1400</v>
      </c>
      <c r="F2628" s="637" t="s">
        <v>5970</v>
      </c>
      <c r="G2628" s="626" t="s">
        <v>5971</v>
      </c>
      <c r="H2628" s="626" t="s">
        <v>2845</v>
      </c>
      <c r="I2628" s="638" t="s">
        <v>3768</v>
      </c>
      <c r="J2628" s="626" t="s">
        <v>5773</v>
      </c>
      <c r="K2628" s="702"/>
      <c r="L2628" s="654"/>
      <c r="M2628" s="636"/>
      <c r="N2628" s="626">
        <v>10</v>
      </c>
      <c r="O2628" s="638">
        <v>4</v>
      </c>
      <c r="P2628" s="703">
        <f t="shared" si="18"/>
        <v>5600</v>
      </c>
    </row>
    <row r="2629" spans="1:16" s="619" customFormat="1" ht="36" x14ac:dyDescent="0.2">
      <c r="A2629" s="626" t="s">
        <v>5658</v>
      </c>
      <c r="B2629" s="626" t="s">
        <v>1908</v>
      </c>
      <c r="C2629" s="638" t="s">
        <v>104</v>
      </c>
      <c r="D2629" s="626" t="s">
        <v>5749</v>
      </c>
      <c r="E2629" s="636">
        <v>1400</v>
      </c>
      <c r="F2629" s="637" t="s">
        <v>5972</v>
      </c>
      <c r="G2629" s="626" t="s">
        <v>5973</v>
      </c>
      <c r="H2629" s="626" t="s">
        <v>5370</v>
      </c>
      <c r="I2629" s="638" t="s">
        <v>4354</v>
      </c>
      <c r="J2629" s="626" t="s">
        <v>5830</v>
      </c>
      <c r="K2629" s="702"/>
      <c r="L2629" s="654"/>
      <c r="M2629" s="636"/>
      <c r="N2629" s="626">
        <v>10</v>
      </c>
      <c r="O2629" s="638">
        <v>4</v>
      </c>
      <c r="P2629" s="703">
        <f t="shared" si="18"/>
        <v>5600</v>
      </c>
    </row>
    <row r="2630" spans="1:16" s="619" customFormat="1" ht="36" x14ac:dyDescent="0.2">
      <c r="A2630" s="626" t="s">
        <v>5658</v>
      </c>
      <c r="B2630" s="626" t="s">
        <v>1908</v>
      </c>
      <c r="C2630" s="638" t="s">
        <v>104</v>
      </c>
      <c r="D2630" s="626" t="s">
        <v>5749</v>
      </c>
      <c r="E2630" s="636">
        <v>1400</v>
      </c>
      <c r="F2630" s="637" t="s">
        <v>5974</v>
      </c>
      <c r="G2630" s="626" t="s">
        <v>5975</v>
      </c>
      <c r="H2630" s="626" t="s">
        <v>5976</v>
      </c>
      <c r="I2630" s="638" t="s">
        <v>4354</v>
      </c>
      <c r="J2630" s="626" t="s">
        <v>5769</v>
      </c>
      <c r="K2630" s="702"/>
      <c r="L2630" s="654"/>
      <c r="M2630" s="636"/>
      <c r="N2630" s="626">
        <v>10</v>
      </c>
      <c r="O2630" s="638">
        <v>4</v>
      </c>
      <c r="P2630" s="703">
        <f t="shared" si="18"/>
        <v>5600</v>
      </c>
    </row>
    <row r="2631" spans="1:16" s="619" customFormat="1" ht="36" x14ac:dyDescent="0.2">
      <c r="A2631" s="626" t="s">
        <v>5658</v>
      </c>
      <c r="B2631" s="626" t="s">
        <v>1908</v>
      </c>
      <c r="C2631" s="638" t="s">
        <v>104</v>
      </c>
      <c r="D2631" s="626" t="s">
        <v>5749</v>
      </c>
      <c r="E2631" s="636">
        <v>1400</v>
      </c>
      <c r="F2631" s="637" t="s">
        <v>5977</v>
      </c>
      <c r="G2631" s="626" t="s">
        <v>5978</v>
      </c>
      <c r="H2631" s="626" t="s">
        <v>1919</v>
      </c>
      <c r="I2631" s="638" t="s">
        <v>5666</v>
      </c>
      <c r="J2631" s="626" t="s">
        <v>5667</v>
      </c>
      <c r="K2631" s="702"/>
      <c r="L2631" s="654"/>
      <c r="M2631" s="636"/>
      <c r="N2631" s="626">
        <v>10</v>
      </c>
      <c r="O2631" s="638">
        <v>4</v>
      </c>
      <c r="P2631" s="703">
        <f t="shared" ref="P2631:P2654" si="19">E2631*O2631</f>
        <v>5600</v>
      </c>
    </row>
    <row r="2632" spans="1:16" s="619" customFormat="1" ht="36" x14ac:dyDescent="0.2">
      <c r="A2632" s="626" t="s">
        <v>5658</v>
      </c>
      <c r="B2632" s="626" t="s">
        <v>1908</v>
      </c>
      <c r="C2632" s="638" t="s">
        <v>104</v>
      </c>
      <c r="D2632" s="626" t="s">
        <v>5787</v>
      </c>
      <c r="E2632" s="636">
        <v>2500</v>
      </c>
      <c r="F2632" s="637" t="s">
        <v>5979</v>
      </c>
      <c r="G2632" s="626" t="s">
        <v>5980</v>
      </c>
      <c r="H2632" s="626" t="s">
        <v>5790</v>
      </c>
      <c r="I2632" s="638" t="s">
        <v>5663</v>
      </c>
      <c r="J2632" s="626" t="s">
        <v>5662</v>
      </c>
      <c r="K2632" s="702"/>
      <c r="L2632" s="654"/>
      <c r="M2632" s="636"/>
      <c r="N2632" s="626">
        <v>8</v>
      </c>
      <c r="O2632" s="638">
        <v>2</v>
      </c>
      <c r="P2632" s="703">
        <f t="shared" si="19"/>
        <v>5000</v>
      </c>
    </row>
    <row r="2633" spans="1:16" s="619" customFormat="1" ht="36" x14ac:dyDescent="0.2">
      <c r="A2633" s="626" t="s">
        <v>5658</v>
      </c>
      <c r="B2633" s="626" t="s">
        <v>1908</v>
      </c>
      <c r="C2633" s="638" t="s">
        <v>104</v>
      </c>
      <c r="D2633" s="626" t="s">
        <v>5746</v>
      </c>
      <c r="E2633" s="636">
        <v>1150</v>
      </c>
      <c r="F2633" s="637" t="s">
        <v>5981</v>
      </c>
      <c r="G2633" s="626" t="s">
        <v>5982</v>
      </c>
      <c r="H2633" s="626" t="s">
        <v>1919</v>
      </c>
      <c r="I2633" s="638" t="s">
        <v>5666</v>
      </c>
      <c r="J2633" s="626" t="s">
        <v>5667</v>
      </c>
      <c r="K2633" s="702"/>
      <c r="L2633" s="654"/>
      <c r="M2633" s="636"/>
      <c r="N2633" s="626">
        <v>8</v>
      </c>
      <c r="O2633" s="638">
        <v>2</v>
      </c>
      <c r="P2633" s="703">
        <f t="shared" si="19"/>
        <v>2300</v>
      </c>
    </row>
    <row r="2634" spans="1:16" s="619" customFormat="1" ht="36" x14ac:dyDescent="0.2">
      <c r="A2634" s="626" t="s">
        <v>5658</v>
      </c>
      <c r="B2634" s="626" t="s">
        <v>1908</v>
      </c>
      <c r="C2634" s="638" t="s">
        <v>104</v>
      </c>
      <c r="D2634" s="626" t="s">
        <v>5749</v>
      </c>
      <c r="E2634" s="636">
        <v>1400</v>
      </c>
      <c r="F2634" s="637" t="s">
        <v>5983</v>
      </c>
      <c r="G2634" s="626" t="s">
        <v>5984</v>
      </c>
      <c r="H2634" s="626" t="s">
        <v>5699</v>
      </c>
      <c r="I2634" s="638" t="s">
        <v>4354</v>
      </c>
      <c r="J2634" s="626" t="s">
        <v>5761</v>
      </c>
      <c r="K2634" s="702"/>
      <c r="L2634" s="654"/>
      <c r="M2634" s="636"/>
      <c r="N2634" s="626">
        <v>10</v>
      </c>
      <c r="O2634" s="638">
        <v>4</v>
      </c>
      <c r="P2634" s="703">
        <f t="shared" si="19"/>
        <v>5600</v>
      </c>
    </row>
    <row r="2635" spans="1:16" s="619" customFormat="1" ht="36" x14ac:dyDescent="0.2">
      <c r="A2635" s="626" t="s">
        <v>5658</v>
      </c>
      <c r="B2635" s="626" t="s">
        <v>1908</v>
      </c>
      <c r="C2635" s="638" t="s">
        <v>104</v>
      </c>
      <c r="D2635" s="626" t="s">
        <v>5752</v>
      </c>
      <c r="E2635" s="636">
        <v>2500</v>
      </c>
      <c r="F2635" s="637" t="s">
        <v>5985</v>
      </c>
      <c r="G2635" s="626" t="s">
        <v>5986</v>
      </c>
      <c r="H2635" s="626" t="s">
        <v>5699</v>
      </c>
      <c r="I2635" s="638" t="s">
        <v>3768</v>
      </c>
      <c r="J2635" s="626" t="s">
        <v>5676</v>
      </c>
      <c r="K2635" s="702"/>
      <c r="L2635" s="654"/>
      <c r="M2635" s="636"/>
      <c r="N2635" s="626">
        <v>10</v>
      </c>
      <c r="O2635" s="638">
        <v>4</v>
      </c>
      <c r="P2635" s="703">
        <f t="shared" si="19"/>
        <v>10000</v>
      </c>
    </row>
    <row r="2636" spans="1:16" s="619" customFormat="1" ht="36" x14ac:dyDescent="0.2">
      <c r="A2636" s="626" t="s">
        <v>5658</v>
      </c>
      <c r="B2636" s="626" t="s">
        <v>1908</v>
      </c>
      <c r="C2636" s="638" t="s">
        <v>104</v>
      </c>
      <c r="D2636" s="626" t="s">
        <v>5749</v>
      </c>
      <c r="E2636" s="636">
        <v>1400</v>
      </c>
      <c r="F2636" s="637" t="s">
        <v>5987</v>
      </c>
      <c r="G2636" s="626" t="s">
        <v>5988</v>
      </c>
      <c r="H2636" s="626" t="s">
        <v>5337</v>
      </c>
      <c r="I2636" s="638" t="s">
        <v>4354</v>
      </c>
      <c r="J2636" s="626" t="s">
        <v>5761</v>
      </c>
      <c r="K2636" s="702"/>
      <c r="L2636" s="654"/>
      <c r="M2636" s="636"/>
      <c r="N2636" s="626">
        <v>10</v>
      </c>
      <c r="O2636" s="638">
        <v>4</v>
      </c>
      <c r="P2636" s="703">
        <f t="shared" si="19"/>
        <v>5600</v>
      </c>
    </row>
    <row r="2637" spans="1:16" s="619" customFormat="1" ht="36" x14ac:dyDescent="0.2">
      <c r="A2637" s="626" t="s">
        <v>5658</v>
      </c>
      <c r="B2637" s="626" t="s">
        <v>1908</v>
      </c>
      <c r="C2637" s="638" t="s">
        <v>104</v>
      </c>
      <c r="D2637" s="626" t="s">
        <v>5749</v>
      </c>
      <c r="E2637" s="636">
        <v>1400</v>
      </c>
      <c r="F2637" s="637" t="s">
        <v>5989</v>
      </c>
      <c r="G2637" s="626" t="s">
        <v>5990</v>
      </c>
      <c r="H2637" s="626" t="s">
        <v>5991</v>
      </c>
      <c r="I2637" s="638" t="s">
        <v>5666</v>
      </c>
      <c r="J2637" s="626" t="s">
        <v>5667</v>
      </c>
      <c r="K2637" s="702"/>
      <c r="L2637" s="654"/>
      <c r="M2637" s="636"/>
      <c r="N2637" s="626">
        <v>10</v>
      </c>
      <c r="O2637" s="638">
        <v>4</v>
      </c>
      <c r="P2637" s="703">
        <f t="shared" si="19"/>
        <v>5600</v>
      </c>
    </row>
    <row r="2638" spans="1:16" s="619" customFormat="1" ht="36" x14ac:dyDescent="0.2">
      <c r="A2638" s="626" t="s">
        <v>5658</v>
      </c>
      <c r="B2638" s="626" t="s">
        <v>1908</v>
      </c>
      <c r="C2638" s="638" t="s">
        <v>104</v>
      </c>
      <c r="D2638" s="626" t="s">
        <v>5749</v>
      </c>
      <c r="E2638" s="636">
        <v>1400</v>
      </c>
      <c r="F2638" s="637" t="s">
        <v>5992</v>
      </c>
      <c r="G2638" s="626" t="s">
        <v>5993</v>
      </c>
      <c r="H2638" s="626" t="s">
        <v>1919</v>
      </c>
      <c r="I2638" s="638" t="s">
        <v>5666</v>
      </c>
      <c r="J2638" s="626" t="s">
        <v>5667</v>
      </c>
      <c r="K2638" s="702"/>
      <c r="L2638" s="654"/>
      <c r="M2638" s="636"/>
      <c r="N2638" s="626">
        <v>10</v>
      </c>
      <c r="O2638" s="638">
        <v>4</v>
      </c>
      <c r="P2638" s="703">
        <f t="shared" si="19"/>
        <v>5600</v>
      </c>
    </row>
    <row r="2639" spans="1:16" s="619" customFormat="1" ht="36" x14ac:dyDescent="0.2">
      <c r="A2639" s="626" t="s">
        <v>5658</v>
      </c>
      <c r="B2639" s="626" t="s">
        <v>1908</v>
      </c>
      <c r="C2639" s="638" t="s">
        <v>104</v>
      </c>
      <c r="D2639" s="626" t="s">
        <v>5746</v>
      </c>
      <c r="E2639" s="636">
        <v>1150</v>
      </c>
      <c r="F2639" s="637" t="s">
        <v>5994</v>
      </c>
      <c r="G2639" s="626" t="s">
        <v>5995</v>
      </c>
      <c r="H2639" s="626" t="s">
        <v>1919</v>
      </c>
      <c r="I2639" s="638" t="s">
        <v>5666</v>
      </c>
      <c r="J2639" s="626" t="s">
        <v>5667</v>
      </c>
      <c r="K2639" s="702"/>
      <c r="L2639" s="654"/>
      <c r="M2639" s="636"/>
      <c r="N2639" s="626">
        <v>8</v>
      </c>
      <c r="O2639" s="638">
        <v>2</v>
      </c>
      <c r="P2639" s="703">
        <f t="shared" si="19"/>
        <v>2300</v>
      </c>
    </row>
    <row r="2640" spans="1:16" s="619" customFormat="1" ht="36" x14ac:dyDescent="0.2">
      <c r="A2640" s="626" t="s">
        <v>5658</v>
      </c>
      <c r="B2640" s="626" t="s">
        <v>1908</v>
      </c>
      <c r="C2640" s="638" t="s">
        <v>104</v>
      </c>
      <c r="D2640" s="626" t="s">
        <v>5749</v>
      </c>
      <c r="E2640" s="636">
        <v>1400</v>
      </c>
      <c r="F2640" s="637" t="s">
        <v>5996</v>
      </c>
      <c r="G2640" s="626" t="s">
        <v>5997</v>
      </c>
      <c r="H2640" s="626" t="s">
        <v>1919</v>
      </c>
      <c r="I2640" s="638" t="s">
        <v>5666</v>
      </c>
      <c r="J2640" s="626" t="s">
        <v>5667</v>
      </c>
      <c r="K2640" s="702"/>
      <c r="L2640" s="654"/>
      <c r="M2640" s="636"/>
      <c r="N2640" s="626">
        <v>10</v>
      </c>
      <c r="O2640" s="638">
        <v>4</v>
      </c>
      <c r="P2640" s="703">
        <f t="shared" si="19"/>
        <v>5600</v>
      </c>
    </row>
    <row r="2641" spans="1:16" s="619" customFormat="1" ht="36" x14ac:dyDescent="0.2">
      <c r="A2641" s="626" t="s">
        <v>5658</v>
      </c>
      <c r="B2641" s="626" t="s">
        <v>1908</v>
      </c>
      <c r="C2641" s="638" t="s">
        <v>104</v>
      </c>
      <c r="D2641" s="626" t="s">
        <v>5752</v>
      </c>
      <c r="E2641" s="636">
        <v>2500</v>
      </c>
      <c r="F2641" s="637" t="s">
        <v>5998</v>
      </c>
      <c r="G2641" s="626" t="s">
        <v>5999</v>
      </c>
      <c r="H2641" s="626" t="s">
        <v>5760</v>
      </c>
      <c r="I2641" s="638" t="s">
        <v>3768</v>
      </c>
      <c r="J2641" s="626" t="s">
        <v>6000</v>
      </c>
      <c r="K2641" s="702"/>
      <c r="L2641" s="654"/>
      <c r="M2641" s="636"/>
      <c r="N2641" s="626">
        <v>10</v>
      </c>
      <c r="O2641" s="638">
        <v>4</v>
      </c>
      <c r="P2641" s="703">
        <f t="shared" si="19"/>
        <v>10000</v>
      </c>
    </row>
    <row r="2642" spans="1:16" s="619" customFormat="1" ht="36" x14ac:dyDescent="0.2">
      <c r="A2642" s="626" t="s">
        <v>5658</v>
      </c>
      <c r="B2642" s="626" t="s">
        <v>1908</v>
      </c>
      <c r="C2642" s="638" t="s">
        <v>104</v>
      </c>
      <c r="D2642" s="626" t="s">
        <v>5749</v>
      </c>
      <c r="E2642" s="636">
        <v>1400</v>
      </c>
      <c r="F2642" s="637" t="s">
        <v>6001</v>
      </c>
      <c r="G2642" s="626" t="s">
        <v>6002</v>
      </c>
      <c r="H2642" s="626" t="s">
        <v>1919</v>
      </c>
      <c r="I2642" s="638" t="s">
        <v>5666</v>
      </c>
      <c r="J2642" s="626" t="s">
        <v>5667</v>
      </c>
      <c r="K2642" s="702"/>
      <c r="L2642" s="654"/>
      <c r="M2642" s="636"/>
      <c r="N2642" s="626">
        <v>10</v>
      </c>
      <c r="O2642" s="638">
        <v>4</v>
      </c>
      <c r="P2642" s="703">
        <f t="shared" si="19"/>
        <v>5600</v>
      </c>
    </row>
    <row r="2643" spans="1:16" s="619" customFormat="1" ht="36" x14ac:dyDescent="0.2">
      <c r="A2643" s="626" t="s">
        <v>5658</v>
      </c>
      <c r="B2643" s="626" t="s">
        <v>1908</v>
      </c>
      <c r="C2643" s="638" t="s">
        <v>104</v>
      </c>
      <c r="D2643" s="626" t="s">
        <v>5749</v>
      </c>
      <c r="E2643" s="636">
        <v>1400</v>
      </c>
      <c r="F2643" s="637" t="s">
        <v>6003</v>
      </c>
      <c r="G2643" s="626" t="s">
        <v>6004</v>
      </c>
      <c r="H2643" s="626" t="s">
        <v>1919</v>
      </c>
      <c r="I2643" s="638" t="s">
        <v>5666</v>
      </c>
      <c r="J2643" s="626" t="s">
        <v>5667</v>
      </c>
      <c r="K2643" s="702"/>
      <c r="L2643" s="654"/>
      <c r="M2643" s="636"/>
      <c r="N2643" s="626">
        <v>10</v>
      </c>
      <c r="O2643" s="638">
        <v>4</v>
      </c>
      <c r="P2643" s="703">
        <f t="shared" si="19"/>
        <v>5600</v>
      </c>
    </row>
    <row r="2644" spans="1:16" s="619" customFormat="1" ht="36" x14ac:dyDescent="0.2">
      <c r="A2644" s="626" t="s">
        <v>5658</v>
      </c>
      <c r="B2644" s="626" t="s">
        <v>1908</v>
      </c>
      <c r="C2644" s="638" t="s">
        <v>104</v>
      </c>
      <c r="D2644" s="626" t="s">
        <v>5749</v>
      </c>
      <c r="E2644" s="636">
        <v>1400</v>
      </c>
      <c r="F2644" s="637" t="s">
        <v>6005</v>
      </c>
      <c r="G2644" s="626" t="s">
        <v>6006</v>
      </c>
      <c r="H2644" s="626" t="s">
        <v>5780</v>
      </c>
      <c r="I2644" s="638" t="s">
        <v>4354</v>
      </c>
      <c r="J2644" s="626" t="s">
        <v>5761</v>
      </c>
      <c r="K2644" s="702"/>
      <c r="L2644" s="654"/>
      <c r="M2644" s="636"/>
      <c r="N2644" s="626">
        <v>10</v>
      </c>
      <c r="O2644" s="638">
        <v>4</v>
      </c>
      <c r="P2644" s="703">
        <f t="shared" si="19"/>
        <v>5600</v>
      </c>
    </row>
    <row r="2645" spans="1:16" s="619" customFormat="1" ht="36" x14ac:dyDescent="0.2">
      <c r="A2645" s="626" t="s">
        <v>5658</v>
      </c>
      <c r="B2645" s="626" t="s">
        <v>1908</v>
      </c>
      <c r="C2645" s="638" t="s">
        <v>104</v>
      </c>
      <c r="D2645" s="626" t="s">
        <v>5746</v>
      </c>
      <c r="E2645" s="636">
        <v>1150</v>
      </c>
      <c r="F2645" s="637" t="s">
        <v>6007</v>
      </c>
      <c r="G2645" s="626" t="s">
        <v>6008</v>
      </c>
      <c r="H2645" s="626" t="s">
        <v>1919</v>
      </c>
      <c r="I2645" s="638" t="s">
        <v>5666</v>
      </c>
      <c r="J2645" s="626" t="s">
        <v>5667</v>
      </c>
      <c r="K2645" s="702"/>
      <c r="L2645" s="654"/>
      <c r="M2645" s="636"/>
      <c r="N2645" s="626">
        <v>8</v>
      </c>
      <c r="O2645" s="638">
        <v>2</v>
      </c>
      <c r="P2645" s="703">
        <f t="shared" si="19"/>
        <v>2300</v>
      </c>
    </row>
    <row r="2646" spans="1:16" s="619" customFormat="1" ht="48" x14ac:dyDescent="0.2">
      <c r="A2646" s="626" t="s">
        <v>5658</v>
      </c>
      <c r="B2646" s="626" t="s">
        <v>1908</v>
      </c>
      <c r="C2646" s="638" t="s">
        <v>104</v>
      </c>
      <c r="D2646" s="626" t="s">
        <v>5749</v>
      </c>
      <c r="E2646" s="636">
        <v>1400</v>
      </c>
      <c r="F2646" s="637" t="s">
        <v>6009</v>
      </c>
      <c r="G2646" s="626" t="s">
        <v>6010</v>
      </c>
      <c r="H2646" s="626" t="s">
        <v>1919</v>
      </c>
      <c r="I2646" s="638" t="s">
        <v>5666</v>
      </c>
      <c r="J2646" s="626" t="s">
        <v>5667</v>
      </c>
      <c r="K2646" s="702"/>
      <c r="L2646" s="654"/>
      <c r="M2646" s="636"/>
      <c r="N2646" s="626">
        <v>10</v>
      </c>
      <c r="O2646" s="638">
        <v>4</v>
      </c>
      <c r="P2646" s="703">
        <f t="shared" si="19"/>
        <v>5600</v>
      </c>
    </row>
    <row r="2647" spans="1:16" s="619" customFormat="1" ht="36" x14ac:dyDescent="0.2">
      <c r="A2647" s="626" t="s">
        <v>5658</v>
      </c>
      <c r="B2647" s="626" t="s">
        <v>1908</v>
      </c>
      <c r="C2647" s="638" t="s">
        <v>104</v>
      </c>
      <c r="D2647" s="626" t="s">
        <v>5752</v>
      </c>
      <c r="E2647" s="636">
        <v>2500</v>
      </c>
      <c r="F2647" s="637" t="s">
        <v>6011</v>
      </c>
      <c r="G2647" s="626" t="s">
        <v>6012</v>
      </c>
      <c r="H2647" s="626" t="s">
        <v>5944</v>
      </c>
      <c r="I2647" s="638" t="s">
        <v>3587</v>
      </c>
      <c r="J2647" s="626" t="s">
        <v>6013</v>
      </c>
      <c r="K2647" s="702"/>
      <c r="L2647" s="654"/>
      <c r="M2647" s="636"/>
      <c r="N2647" s="626">
        <v>10</v>
      </c>
      <c r="O2647" s="638">
        <v>4</v>
      </c>
      <c r="P2647" s="703">
        <f t="shared" si="19"/>
        <v>10000</v>
      </c>
    </row>
    <row r="2648" spans="1:16" s="619" customFormat="1" ht="36" x14ac:dyDescent="0.2">
      <c r="A2648" s="626" t="s">
        <v>5658</v>
      </c>
      <c r="B2648" s="626" t="s">
        <v>1908</v>
      </c>
      <c r="C2648" s="638" t="s">
        <v>104</v>
      </c>
      <c r="D2648" s="626" t="s">
        <v>5749</v>
      </c>
      <c r="E2648" s="636">
        <v>1400</v>
      </c>
      <c r="F2648" s="637" t="s">
        <v>6014</v>
      </c>
      <c r="G2648" s="626" t="s">
        <v>6015</v>
      </c>
      <c r="H2648" s="626" t="s">
        <v>1919</v>
      </c>
      <c r="I2648" s="638" t="s">
        <v>5666</v>
      </c>
      <c r="J2648" s="626" t="s">
        <v>5667</v>
      </c>
      <c r="K2648" s="638"/>
      <c r="L2648" s="654"/>
      <c r="M2648" s="636"/>
      <c r="N2648" s="626">
        <v>10</v>
      </c>
      <c r="O2648" s="638">
        <v>4</v>
      </c>
      <c r="P2648" s="703">
        <f t="shared" si="19"/>
        <v>5600</v>
      </c>
    </row>
    <row r="2649" spans="1:16" s="619" customFormat="1" ht="36" x14ac:dyDescent="0.2">
      <c r="A2649" s="626" t="s">
        <v>5658</v>
      </c>
      <c r="B2649" s="626" t="s">
        <v>1908</v>
      </c>
      <c r="C2649" s="638" t="s">
        <v>104</v>
      </c>
      <c r="D2649" s="626" t="s">
        <v>5749</v>
      </c>
      <c r="E2649" s="636">
        <v>1400</v>
      </c>
      <c r="F2649" s="637" t="s">
        <v>6016</v>
      </c>
      <c r="G2649" s="626" t="s">
        <v>6017</v>
      </c>
      <c r="H2649" s="626" t="s">
        <v>5337</v>
      </c>
      <c r="I2649" s="638" t="s">
        <v>3768</v>
      </c>
      <c r="J2649" s="626" t="s">
        <v>1931</v>
      </c>
      <c r="K2649" s="638"/>
      <c r="L2649" s="654"/>
      <c r="M2649" s="636"/>
      <c r="N2649" s="626">
        <v>10</v>
      </c>
      <c r="O2649" s="638">
        <v>4</v>
      </c>
      <c r="P2649" s="703">
        <f t="shared" si="19"/>
        <v>5600</v>
      </c>
    </row>
    <row r="2650" spans="1:16" s="619" customFormat="1" ht="36" x14ac:dyDescent="0.2">
      <c r="A2650" s="626" t="s">
        <v>5658</v>
      </c>
      <c r="B2650" s="626" t="s">
        <v>1908</v>
      </c>
      <c r="C2650" s="638" t="s">
        <v>104</v>
      </c>
      <c r="D2650" s="626" t="s">
        <v>5749</v>
      </c>
      <c r="E2650" s="636">
        <v>1400</v>
      </c>
      <c r="F2650" s="637" t="s">
        <v>6018</v>
      </c>
      <c r="G2650" s="626" t="s">
        <v>6019</v>
      </c>
      <c r="H2650" s="626" t="s">
        <v>6020</v>
      </c>
      <c r="I2650" s="638" t="s">
        <v>4354</v>
      </c>
      <c r="J2650" s="626" t="s">
        <v>5765</v>
      </c>
      <c r="K2650" s="638"/>
      <c r="L2650" s="626"/>
      <c r="M2650" s="636"/>
      <c r="N2650" s="626">
        <v>10</v>
      </c>
      <c r="O2650" s="638">
        <v>4</v>
      </c>
      <c r="P2650" s="703">
        <f t="shared" si="19"/>
        <v>5600</v>
      </c>
    </row>
    <row r="2651" spans="1:16" s="619" customFormat="1" ht="36" x14ac:dyDescent="0.2">
      <c r="A2651" s="626" t="s">
        <v>5658</v>
      </c>
      <c r="B2651" s="626" t="s">
        <v>1908</v>
      </c>
      <c r="C2651" s="638" t="s">
        <v>104</v>
      </c>
      <c r="D2651" s="626" t="s">
        <v>5370</v>
      </c>
      <c r="E2651" s="636">
        <v>2000</v>
      </c>
      <c r="F2651" s="637">
        <v>27822692</v>
      </c>
      <c r="G2651" s="626" t="s">
        <v>6021</v>
      </c>
      <c r="H2651" s="626" t="s">
        <v>5370</v>
      </c>
      <c r="I2651" s="638" t="s">
        <v>3768</v>
      </c>
      <c r="J2651" s="626" t="s">
        <v>2946</v>
      </c>
      <c r="K2651" s="638">
        <v>12</v>
      </c>
      <c r="L2651" s="626">
        <v>12</v>
      </c>
      <c r="M2651" s="704">
        <f>E2651*L2651</f>
        <v>24000</v>
      </c>
      <c r="N2651" s="626">
        <v>12</v>
      </c>
      <c r="O2651" s="638">
        <v>6</v>
      </c>
      <c r="P2651" s="703">
        <f t="shared" si="19"/>
        <v>12000</v>
      </c>
    </row>
    <row r="2652" spans="1:16" s="619" customFormat="1" ht="36" x14ac:dyDescent="0.2">
      <c r="A2652" s="626" t="s">
        <v>5658</v>
      </c>
      <c r="B2652" s="626" t="s">
        <v>1908</v>
      </c>
      <c r="C2652" s="638" t="s">
        <v>104</v>
      </c>
      <c r="D2652" s="626" t="s">
        <v>6022</v>
      </c>
      <c r="E2652" s="636">
        <v>2000</v>
      </c>
      <c r="F2652" s="637">
        <v>42668569</v>
      </c>
      <c r="G2652" s="626" t="s">
        <v>6023</v>
      </c>
      <c r="H2652" s="626" t="s">
        <v>5370</v>
      </c>
      <c r="I2652" s="638" t="s">
        <v>3768</v>
      </c>
      <c r="J2652" s="626" t="s">
        <v>2946</v>
      </c>
      <c r="K2652" s="638">
        <v>12</v>
      </c>
      <c r="L2652" s="626">
        <v>12</v>
      </c>
      <c r="M2652" s="704">
        <f>E2652*L2652</f>
        <v>24000</v>
      </c>
      <c r="N2652" s="626">
        <v>12</v>
      </c>
      <c r="O2652" s="638">
        <v>6</v>
      </c>
      <c r="P2652" s="703">
        <f t="shared" si="19"/>
        <v>12000</v>
      </c>
    </row>
    <row r="2653" spans="1:16" s="619" customFormat="1" ht="36" x14ac:dyDescent="0.2">
      <c r="A2653" s="626" t="s">
        <v>5658</v>
      </c>
      <c r="B2653" s="626" t="s">
        <v>1908</v>
      </c>
      <c r="C2653" s="638" t="s">
        <v>104</v>
      </c>
      <c r="D2653" s="626" t="s">
        <v>6024</v>
      </c>
      <c r="E2653" s="636">
        <v>2000</v>
      </c>
      <c r="F2653" s="637">
        <v>46791719</v>
      </c>
      <c r="G2653" s="626" t="s">
        <v>6025</v>
      </c>
      <c r="H2653" s="626" t="s">
        <v>5870</v>
      </c>
      <c r="I2653" s="638" t="s">
        <v>3768</v>
      </c>
      <c r="J2653" s="626" t="s">
        <v>5337</v>
      </c>
      <c r="K2653" s="638">
        <v>12</v>
      </c>
      <c r="L2653" s="626">
        <v>12</v>
      </c>
      <c r="M2653" s="704">
        <f>E2653*L2653</f>
        <v>24000</v>
      </c>
      <c r="N2653" s="626">
        <v>12</v>
      </c>
      <c r="O2653" s="638">
        <v>6</v>
      </c>
      <c r="P2653" s="703">
        <f t="shared" si="19"/>
        <v>12000</v>
      </c>
    </row>
    <row r="2654" spans="1:16" s="619" customFormat="1" ht="36.75" thickBot="1" x14ac:dyDescent="0.25">
      <c r="A2654" s="626" t="s">
        <v>5658</v>
      </c>
      <c r="B2654" s="626" t="s">
        <v>1908</v>
      </c>
      <c r="C2654" s="638" t="s">
        <v>104</v>
      </c>
      <c r="D2654" s="626" t="s">
        <v>6026</v>
      </c>
      <c r="E2654" s="636">
        <v>1300</v>
      </c>
      <c r="F2654" s="637">
        <v>33763866</v>
      </c>
      <c r="G2654" s="626" t="s">
        <v>6027</v>
      </c>
      <c r="H2654" s="626" t="s">
        <v>1919</v>
      </c>
      <c r="I2654" s="638" t="s">
        <v>5666</v>
      </c>
      <c r="J2654" s="626" t="s">
        <v>5667</v>
      </c>
      <c r="K2654" s="638">
        <v>12</v>
      </c>
      <c r="L2654" s="657">
        <v>12</v>
      </c>
      <c r="M2654" s="704">
        <f>E2654*L2654</f>
        <v>15600</v>
      </c>
      <c r="N2654" s="657">
        <v>12</v>
      </c>
      <c r="O2654" s="638">
        <v>6</v>
      </c>
      <c r="P2654" s="705">
        <f t="shared" si="19"/>
        <v>7800</v>
      </c>
    </row>
    <row r="2655" spans="1:16" s="619" customFormat="1" ht="13.5" customHeight="1" thickBot="1" x14ac:dyDescent="0.25">
      <c r="A2655" s="1149" t="s">
        <v>1837</v>
      </c>
      <c r="B2655" s="1150" t="s">
        <v>6028</v>
      </c>
      <c r="C2655" s="1150"/>
      <c r="D2655" s="1151"/>
      <c r="E2655" s="610">
        <f>SUM(E2503:E2654)</f>
        <v>308250</v>
      </c>
      <c r="F2655" s="623"/>
      <c r="G2655" s="109"/>
      <c r="H2655" s="109"/>
      <c r="I2655" s="109"/>
      <c r="J2655" s="109"/>
      <c r="K2655" s="623"/>
      <c r="L2655" s="109"/>
      <c r="M2655" s="610">
        <f>SUM(M2503:M2654)</f>
        <v>87600</v>
      </c>
      <c r="N2655" s="623"/>
      <c r="O2655" s="623"/>
      <c r="P2655" s="610">
        <f>SUM(P2503:P2654)</f>
        <v>956300</v>
      </c>
    </row>
    <row r="2656" spans="1:16" s="619" customFormat="1" ht="36" x14ac:dyDescent="0.2">
      <c r="A2656" s="630" t="s">
        <v>6029</v>
      </c>
      <c r="B2656" s="626" t="s">
        <v>1908</v>
      </c>
      <c r="C2656" s="638" t="s">
        <v>104</v>
      </c>
      <c r="D2656" s="626" t="s">
        <v>6030</v>
      </c>
      <c r="E2656" s="636">
        <v>1200</v>
      </c>
      <c r="F2656" s="637">
        <v>73700060</v>
      </c>
      <c r="G2656" s="626" t="s">
        <v>6031</v>
      </c>
      <c r="H2656" s="626" t="s">
        <v>5337</v>
      </c>
      <c r="I2656" s="638" t="s">
        <v>1931</v>
      </c>
      <c r="J2656" s="626" t="s">
        <v>5337</v>
      </c>
      <c r="K2656" s="706" t="s">
        <v>3928</v>
      </c>
      <c r="L2656" s="706" t="s">
        <v>5037</v>
      </c>
      <c r="M2656" s="707">
        <f>L2656*E2656</f>
        <v>12000</v>
      </c>
      <c r="N2656" s="633"/>
      <c r="O2656" s="633"/>
      <c r="P2656" s="665"/>
    </row>
    <row r="2657" spans="1:16" s="619" customFormat="1" ht="36" x14ac:dyDescent="0.2">
      <c r="A2657" s="626" t="s">
        <v>6029</v>
      </c>
      <c r="B2657" s="626" t="s">
        <v>1908</v>
      </c>
      <c r="C2657" s="638" t="s">
        <v>104</v>
      </c>
      <c r="D2657" s="626" t="s">
        <v>6032</v>
      </c>
      <c r="E2657" s="636">
        <v>1200</v>
      </c>
      <c r="F2657" s="637">
        <v>43156137</v>
      </c>
      <c r="G2657" s="626" t="s">
        <v>6033</v>
      </c>
      <c r="H2657" s="626" t="s">
        <v>5337</v>
      </c>
      <c r="I2657" s="638" t="s">
        <v>1931</v>
      </c>
      <c r="J2657" s="626" t="s">
        <v>5337</v>
      </c>
      <c r="K2657" s="708" t="s">
        <v>3928</v>
      </c>
      <c r="L2657" s="708" t="s">
        <v>5037</v>
      </c>
      <c r="M2657" s="707">
        <f t="shared" ref="M2657:M2663" si="20">L2657*E2657</f>
        <v>12000</v>
      </c>
      <c r="N2657" s="641"/>
      <c r="O2657" s="640"/>
      <c r="P2657" s="667"/>
    </row>
    <row r="2658" spans="1:16" s="619" customFormat="1" ht="36" x14ac:dyDescent="0.2">
      <c r="A2658" s="626" t="s">
        <v>6029</v>
      </c>
      <c r="B2658" s="626" t="s">
        <v>1908</v>
      </c>
      <c r="C2658" s="638" t="s">
        <v>104</v>
      </c>
      <c r="D2658" s="626" t="s">
        <v>4635</v>
      </c>
      <c r="E2658" s="636">
        <v>1800</v>
      </c>
      <c r="F2658" s="637">
        <v>71724008</v>
      </c>
      <c r="G2658" s="626" t="s">
        <v>6034</v>
      </c>
      <c r="H2658" s="626" t="s">
        <v>4337</v>
      </c>
      <c r="I2658" s="638" t="s">
        <v>3768</v>
      </c>
      <c r="J2658" s="626" t="s">
        <v>4722</v>
      </c>
      <c r="K2658" s="708" t="s">
        <v>3928</v>
      </c>
      <c r="L2658" s="708" t="s">
        <v>5037</v>
      </c>
      <c r="M2658" s="707">
        <f t="shared" si="20"/>
        <v>18000</v>
      </c>
      <c r="N2658" s="641"/>
      <c r="O2658" s="640"/>
      <c r="P2658" s="667"/>
    </row>
    <row r="2659" spans="1:16" s="619" customFormat="1" ht="48" x14ac:dyDescent="0.2">
      <c r="A2659" s="626" t="s">
        <v>6029</v>
      </c>
      <c r="B2659" s="626" t="s">
        <v>1908</v>
      </c>
      <c r="C2659" s="638" t="s">
        <v>104</v>
      </c>
      <c r="D2659" s="626" t="s">
        <v>6035</v>
      </c>
      <c r="E2659" s="636">
        <v>1400</v>
      </c>
      <c r="F2659" s="637">
        <v>42964932</v>
      </c>
      <c r="G2659" s="626" t="s">
        <v>6036</v>
      </c>
      <c r="H2659" s="626" t="s">
        <v>5337</v>
      </c>
      <c r="I2659" s="638" t="s">
        <v>1931</v>
      </c>
      <c r="J2659" s="626" t="s">
        <v>5337</v>
      </c>
      <c r="K2659" s="708" t="s">
        <v>3928</v>
      </c>
      <c r="L2659" s="708" t="s">
        <v>5037</v>
      </c>
      <c r="M2659" s="707">
        <f t="shared" si="20"/>
        <v>14000</v>
      </c>
      <c r="N2659" s="641"/>
      <c r="O2659" s="640"/>
      <c r="P2659" s="667"/>
    </row>
    <row r="2660" spans="1:16" s="619" customFormat="1" ht="36" x14ac:dyDescent="0.2">
      <c r="A2660" s="626" t="s">
        <v>6029</v>
      </c>
      <c r="B2660" s="626" t="s">
        <v>1908</v>
      </c>
      <c r="C2660" s="638" t="s">
        <v>104</v>
      </c>
      <c r="D2660" s="626" t="s">
        <v>6037</v>
      </c>
      <c r="E2660" s="636">
        <v>3200</v>
      </c>
      <c r="F2660" s="637">
        <v>33568421</v>
      </c>
      <c r="G2660" s="626" t="s">
        <v>6038</v>
      </c>
      <c r="H2660" s="626" t="s">
        <v>1911</v>
      </c>
      <c r="I2660" s="638" t="s">
        <v>3768</v>
      </c>
      <c r="J2660" s="626" t="s">
        <v>1911</v>
      </c>
      <c r="K2660" s="708" t="s">
        <v>3928</v>
      </c>
      <c r="L2660" s="708" t="s">
        <v>5037</v>
      </c>
      <c r="M2660" s="707">
        <f t="shared" si="20"/>
        <v>32000</v>
      </c>
      <c r="N2660" s="641"/>
      <c r="O2660" s="640"/>
      <c r="P2660" s="667"/>
    </row>
    <row r="2661" spans="1:16" s="619" customFormat="1" ht="48" x14ac:dyDescent="0.2">
      <c r="A2661" s="626" t="s">
        <v>6029</v>
      </c>
      <c r="B2661" s="626" t="s">
        <v>1908</v>
      </c>
      <c r="C2661" s="638" t="s">
        <v>104</v>
      </c>
      <c r="D2661" s="626" t="s">
        <v>6039</v>
      </c>
      <c r="E2661" s="636">
        <v>2200</v>
      </c>
      <c r="F2661" s="637">
        <v>43131621</v>
      </c>
      <c r="G2661" s="626" t="s">
        <v>6040</v>
      </c>
      <c r="H2661" s="626" t="s">
        <v>2563</v>
      </c>
      <c r="I2661" s="638" t="s">
        <v>3768</v>
      </c>
      <c r="J2661" s="626" t="s">
        <v>2563</v>
      </c>
      <c r="K2661" s="708" t="s">
        <v>3928</v>
      </c>
      <c r="L2661" s="708" t="s">
        <v>5037</v>
      </c>
      <c r="M2661" s="707">
        <f t="shared" si="20"/>
        <v>22000</v>
      </c>
      <c r="N2661" s="641"/>
      <c r="O2661" s="645"/>
      <c r="P2661" s="667"/>
    </row>
    <row r="2662" spans="1:16" s="619" customFormat="1" ht="36" x14ac:dyDescent="0.2">
      <c r="A2662" s="626" t="s">
        <v>6029</v>
      </c>
      <c r="B2662" s="626" t="s">
        <v>1908</v>
      </c>
      <c r="C2662" s="638" t="s">
        <v>104</v>
      </c>
      <c r="D2662" s="626" t="s">
        <v>6041</v>
      </c>
      <c r="E2662" s="636">
        <v>2200</v>
      </c>
      <c r="F2662" s="637">
        <v>70540873</v>
      </c>
      <c r="G2662" s="626" t="s">
        <v>6042</v>
      </c>
      <c r="H2662" s="626" t="s">
        <v>2472</v>
      </c>
      <c r="I2662" s="638" t="s">
        <v>3587</v>
      </c>
      <c r="J2662" s="626" t="s">
        <v>2472</v>
      </c>
      <c r="K2662" s="708" t="s">
        <v>3928</v>
      </c>
      <c r="L2662" s="708" t="s">
        <v>5037</v>
      </c>
      <c r="M2662" s="707">
        <f t="shared" si="20"/>
        <v>22000</v>
      </c>
      <c r="N2662" s="641"/>
      <c r="O2662" s="645"/>
      <c r="P2662" s="667"/>
    </row>
    <row r="2663" spans="1:16" s="619" customFormat="1" ht="36" x14ac:dyDescent="0.2">
      <c r="A2663" s="626" t="s">
        <v>6029</v>
      </c>
      <c r="B2663" s="626" t="s">
        <v>1908</v>
      </c>
      <c r="C2663" s="638" t="s">
        <v>104</v>
      </c>
      <c r="D2663" s="626" t="s">
        <v>6043</v>
      </c>
      <c r="E2663" s="636">
        <v>3000</v>
      </c>
      <c r="F2663" s="637">
        <v>33591427</v>
      </c>
      <c r="G2663" s="626" t="s">
        <v>6044</v>
      </c>
      <c r="H2663" s="626" t="s">
        <v>5676</v>
      </c>
      <c r="I2663" s="638" t="s">
        <v>3768</v>
      </c>
      <c r="J2663" s="626" t="s">
        <v>5676</v>
      </c>
      <c r="K2663" s="709" t="s">
        <v>3928</v>
      </c>
      <c r="L2663" s="708" t="s">
        <v>5037</v>
      </c>
      <c r="M2663" s="707">
        <f t="shared" si="20"/>
        <v>30000</v>
      </c>
      <c r="N2663" s="641"/>
      <c r="O2663" s="645"/>
      <c r="P2663" s="667"/>
    </row>
    <row r="2664" spans="1:16" s="619" customFormat="1" ht="36" x14ac:dyDescent="0.2">
      <c r="A2664" s="626" t="s">
        <v>6029</v>
      </c>
      <c r="B2664" s="626" t="s">
        <v>1908</v>
      </c>
      <c r="C2664" s="638" t="s">
        <v>104</v>
      </c>
      <c r="D2664" s="626" t="s">
        <v>6037</v>
      </c>
      <c r="E2664" s="636">
        <v>3200</v>
      </c>
      <c r="F2664" s="637">
        <v>33568421</v>
      </c>
      <c r="G2664" s="626" t="s">
        <v>6038</v>
      </c>
      <c r="H2664" s="626" t="s">
        <v>1911</v>
      </c>
      <c r="I2664" s="638" t="s">
        <v>3768</v>
      </c>
      <c r="J2664" s="626" t="s">
        <v>1911</v>
      </c>
      <c r="K2664" s="708"/>
      <c r="L2664" s="708"/>
      <c r="M2664" s="707"/>
      <c r="N2664" s="708" t="s">
        <v>3928</v>
      </c>
      <c r="O2664" s="708" t="s">
        <v>5059</v>
      </c>
      <c r="P2664" s="707">
        <f>O2664*E2664</f>
        <v>38400</v>
      </c>
    </row>
    <row r="2665" spans="1:16" s="619" customFormat="1" ht="36" x14ac:dyDescent="0.2">
      <c r="A2665" s="626" t="s">
        <v>6029</v>
      </c>
      <c r="B2665" s="626" t="s">
        <v>1908</v>
      </c>
      <c r="C2665" s="638" t="s">
        <v>104</v>
      </c>
      <c r="D2665" s="626" t="s">
        <v>6043</v>
      </c>
      <c r="E2665" s="636">
        <v>3000</v>
      </c>
      <c r="F2665" s="637">
        <v>33591427</v>
      </c>
      <c r="G2665" s="626" t="s">
        <v>6044</v>
      </c>
      <c r="H2665" s="626" t="s">
        <v>5676</v>
      </c>
      <c r="I2665" s="638" t="s">
        <v>3768</v>
      </c>
      <c r="J2665" s="626" t="s">
        <v>5676</v>
      </c>
      <c r="K2665" s="709"/>
      <c r="L2665" s="708"/>
      <c r="M2665" s="707"/>
      <c r="N2665" s="709" t="s">
        <v>3928</v>
      </c>
      <c r="O2665" s="708" t="s">
        <v>5059</v>
      </c>
      <c r="P2665" s="707">
        <f t="shared" ref="P2665:P2673" si="21">O2665*E2665</f>
        <v>36000</v>
      </c>
    </row>
    <row r="2666" spans="1:16" s="619" customFormat="1" ht="36" x14ac:dyDescent="0.2">
      <c r="A2666" s="626" t="s">
        <v>6029</v>
      </c>
      <c r="B2666" s="626" t="s">
        <v>1908</v>
      </c>
      <c r="C2666" s="638" t="s">
        <v>104</v>
      </c>
      <c r="D2666" s="626" t="s">
        <v>6045</v>
      </c>
      <c r="E2666" s="636">
        <v>3000</v>
      </c>
      <c r="F2666" s="637">
        <v>41402128</v>
      </c>
      <c r="G2666" s="626" t="s">
        <v>6046</v>
      </c>
      <c r="H2666" s="626" t="s">
        <v>2979</v>
      </c>
      <c r="I2666" s="638" t="s">
        <v>3768</v>
      </c>
      <c r="J2666" s="626" t="s">
        <v>2979</v>
      </c>
      <c r="K2666" s="709"/>
      <c r="L2666" s="708"/>
      <c r="M2666" s="707"/>
      <c r="N2666" s="709" t="s">
        <v>3928</v>
      </c>
      <c r="O2666" s="708" t="s">
        <v>5059</v>
      </c>
      <c r="P2666" s="707">
        <f t="shared" si="21"/>
        <v>36000</v>
      </c>
    </row>
    <row r="2667" spans="1:16" s="619" customFormat="1" ht="36" x14ac:dyDescent="0.2">
      <c r="A2667" s="626" t="s">
        <v>6029</v>
      </c>
      <c r="B2667" s="626" t="s">
        <v>1908</v>
      </c>
      <c r="C2667" s="638" t="s">
        <v>104</v>
      </c>
      <c r="D2667" s="626" t="s">
        <v>6045</v>
      </c>
      <c r="E2667" s="636">
        <v>3500</v>
      </c>
      <c r="F2667" s="637" t="s">
        <v>6047</v>
      </c>
      <c r="G2667" s="626" t="s">
        <v>6048</v>
      </c>
      <c r="H2667" s="626" t="s">
        <v>1911</v>
      </c>
      <c r="I2667" s="638" t="s">
        <v>3768</v>
      </c>
      <c r="J2667" s="626" t="s">
        <v>1911</v>
      </c>
      <c r="K2667" s="709"/>
      <c r="L2667" s="708"/>
      <c r="M2667" s="707"/>
      <c r="N2667" s="709" t="s">
        <v>3928</v>
      </c>
      <c r="O2667" s="708" t="s">
        <v>5059</v>
      </c>
      <c r="P2667" s="707">
        <f t="shared" si="21"/>
        <v>42000</v>
      </c>
    </row>
    <row r="2668" spans="1:16" s="619" customFormat="1" ht="36" x14ac:dyDescent="0.2">
      <c r="A2668" s="626" t="s">
        <v>6029</v>
      </c>
      <c r="B2668" s="626" t="s">
        <v>1908</v>
      </c>
      <c r="C2668" s="638" t="s">
        <v>104</v>
      </c>
      <c r="D2668" s="626" t="s">
        <v>6032</v>
      </c>
      <c r="E2668" s="636">
        <v>1200</v>
      </c>
      <c r="F2668" s="637">
        <v>43156137</v>
      </c>
      <c r="G2668" s="626" t="s">
        <v>6033</v>
      </c>
      <c r="H2668" s="626" t="s">
        <v>5337</v>
      </c>
      <c r="I2668" s="638" t="s">
        <v>1931</v>
      </c>
      <c r="J2668" s="626" t="s">
        <v>5337</v>
      </c>
      <c r="K2668" s="709"/>
      <c r="L2668" s="708"/>
      <c r="M2668" s="707"/>
      <c r="N2668" s="709" t="s">
        <v>3928</v>
      </c>
      <c r="O2668" s="710" t="s">
        <v>3842</v>
      </c>
      <c r="P2668" s="707">
        <f t="shared" si="21"/>
        <v>3600</v>
      </c>
    </row>
    <row r="2669" spans="1:16" s="619" customFormat="1" ht="36" x14ac:dyDescent="0.2">
      <c r="A2669" s="626" t="s">
        <v>6029</v>
      </c>
      <c r="B2669" s="626" t="s">
        <v>1908</v>
      </c>
      <c r="C2669" s="638" t="s">
        <v>104</v>
      </c>
      <c r="D2669" s="626" t="s">
        <v>4635</v>
      </c>
      <c r="E2669" s="636">
        <v>1800</v>
      </c>
      <c r="F2669" s="637">
        <v>71724008</v>
      </c>
      <c r="G2669" s="626" t="s">
        <v>6034</v>
      </c>
      <c r="H2669" s="626" t="s">
        <v>4337</v>
      </c>
      <c r="I2669" s="638" t="s">
        <v>3768</v>
      </c>
      <c r="J2669" s="626" t="s">
        <v>4722</v>
      </c>
      <c r="K2669" s="709"/>
      <c r="L2669" s="708"/>
      <c r="M2669" s="707"/>
      <c r="N2669" s="709" t="s">
        <v>3928</v>
      </c>
      <c r="O2669" s="710" t="s">
        <v>3886</v>
      </c>
      <c r="P2669" s="707">
        <f t="shared" si="21"/>
        <v>3600</v>
      </c>
    </row>
    <row r="2670" spans="1:16" s="619" customFormat="1" ht="48" x14ac:dyDescent="0.2">
      <c r="A2670" s="626" t="s">
        <v>6029</v>
      </c>
      <c r="B2670" s="626" t="s">
        <v>1908</v>
      </c>
      <c r="C2670" s="638" t="s">
        <v>104</v>
      </c>
      <c r="D2670" s="626" t="s">
        <v>6035</v>
      </c>
      <c r="E2670" s="636">
        <v>1400</v>
      </c>
      <c r="F2670" s="637">
        <v>42964932</v>
      </c>
      <c r="G2670" s="626" t="s">
        <v>6036</v>
      </c>
      <c r="H2670" s="626" t="s">
        <v>5337</v>
      </c>
      <c r="I2670" s="638" t="s">
        <v>1931</v>
      </c>
      <c r="J2670" s="626" t="s">
        <v>5337</v>
      </c>
      <c r="K2670" s="709"/>
      <c r="L2670" s="708"/>
      <c r="M2670" s="707"/>
      <c r="N2670" s="709" t="s">
        <v>3928</v>
      </c>
      <c r="O2670" s="710" t="s">
        <v>3886</v>
      </c>
      <c r="P2670" s="707">
        <f t="shared" si="21"/>
        <v>2800</v>
      </c>
    </row>
    <row r="2671" spans="1:16" s="619" customFormat="1" ht="36" x14ac:dyDescent="0.2">
      <c r="A2671" s="626" t="s">
        <v>6029</v>
      </c>
      <c r="B2671" s="626" t="s">
        <v>1908</v>
      </c>
      <c r="C2671" s="638" t="s">
        <v>104</v>
      </c>
      <c r="D2671" s="626" t="s">
        <v>6049</v>
      </c>
      <c r="E2671" s="636">
        <v>2000</v>
      </c>
      <c r="F2671" s="637">
        <v>42603739</v>
      </c>
      <c r="G2671" s="626" t="s">
        <v>6050</v>
      </c>
      <c r="H2671" s="626" t="s">
        <v>1911</v>
      </c>
      <c r="I2671" s="638" t="s">
        <v>3768</v>
      </c>
      <c r="J2671" s="626" t="s">
        <v>1911</v>
      </c>
      <c r="K2671" s="709"/>
      <c r="L2671" s="708"/>
      <c r="M2671" s="707"/>
      <c r="N2671" s="709" t="s">
        <v>3928</v>
      </c>
      <c r="O2671" s="710" t="s">
        <v>3886</v>
      </c>
      <c r="P2671" s="707">
        <f t="shared" si="21"/>
        <v>4000</v>
      </c>
    </row>
    <row r="2672" spans="1:16" s="619" customFormat="1" ht="36" x14ac:dyDescent="0.2">
      <c r="A2672" s="626" t="s">
        <v>6029</v>
      </c>
      <c r="B2672" s="626" t="s">
        <v>1908</v>
      </c>
      <c r="C2672" s="638" t="s">
        <v>104</v>
      </c>
      <c r="D2672" s="626" t="s">
        <v>6051</v>
      </c>
      <c r="E2672" s="636">
        <v>2600</v>
      </c>
      <c r="F2672" s="637">
        <v>33588997</v>
      </c>
      <c r="G2672" s="626" t="s">
        <v>6052</v>
      </c>
      <c r="H2672" s="626" t="s">
        <v>2946</v>
      </c>
      <c r="I2672" s="638" t="s">
        <v>3768</v>
      </c>
      <c r="J2672" s="626" t="s">
        <v>2946</v>
      </c>
      <c r="K2672" s="709"/>
      <c r="L2672" s="708"/>
      <c r="M2672" s="707"/>
      <c r="N2672" s="709" t="s">
        <v>3928</v>
      </c>
      <c r="O2672" s="710" t="s">
        <v>3886</v>
      </c>
      <c r="P2672" s="707">
        <f t="shared" si="21"/>
        <v>5200</v>
      </c>
    </row>
    <row r="2673" spans="1:16" s="619" customFormat="1" ht="36" x14ac:dyDescent="0.2">
      <c r="A2673" s="626" t="s">
        <v>6029</v>
      </c>
      <c r="B2673" s="626" t="s">
        <v>1908</v>
      </c>
      <c r="C2673" s="638" t="s">
        <v>104</v>
      </c>
      <c r="D2673" s="626" t="s">
        <v>6053</v>
      </c>
      <c r="E2673" s="636">
        <v>1800</v>
      </c>
      <c r="F2673" s="637">
        <v>45254227</v>
      </c>
      <c r="G2673" s="626" t="s">
        <v>6054</v>
      </c>
      <c r="H2673" s="626" t="s">
        <v>2232</v>
      </c>
      <c r="I2673" s="638" t="s">
        <v>3768</v>
      </c>
      <c r="J2673" s="626" t="s">
        <v>2232</v>
      </c>
      <c r="K2673" s="709"/>
      <c r="L2673" s="708"/>
      <c r="M2673" s="707"/>
      <c r="N2673" s="709" t="s">
        <v>3928</v>
      </c>
      <c r="O2673" s="710" t="s">
        <v>3886</v>
      </c>
      <c r="P2673" s="707">
        <f t="shared" si="21"/>
        <v>3600</v>
      </c>
    </row>
    <row r="2674" spans="1:16" s="619" customFormat="1" ht="36" x14ac:dyDescent="0.2">
      <c r="A2674" s="626" t="s">
        <v>6029</v>
      </c>
      <c r="B2674" s="626" t="s">
        <v>1908</v>
      </c>
      <c r="C2674" s="638" t="s">
        <v>6055</v>
      </c>
      <c r="D2674" s="626" t="s">
        <v>6056</v>
      </c>
      <c r="E2674" s="636">
        <v>1000</v>
      </c>
      <c r="F2674" s="637">
        <v>70890227</v>
      </c>
      <c r="G2674" s="626" t="s">
        <v>6057</v>
      </c>
      <c r="H2674" s="626" t="s">
        <v>1911</v>
      </c>
      <c r="I2674" s="638" t="s">
        <v>3587</v>
      </c>
      <c r="J2674" s="626" t="s">
        <v>1911</v>
      </c>
      <c r="K2674" s="709" t="s">
        <v>3928</v>
      </c>
      <c r="L2674" s="708" t="s">
        <v>5037</v>
      </c>
      <c r="M2674" s="707">
        <f t="shared" ref="M2674:M2679" si="22">L2674*E2674</f>
        <v>10000</v>
      </c>
      <c r="N2674" s="641"/>
      <c r="O2674" s="640"/>
      <c r="P2674" s="667"/>
    </row>
    <row r="2675" spans="1:16" s="619" customFormat="1" ht="36" x14ac:dyDescent="0.2">
      <c r="A2675" s="626" t="s">
        <v>6029</v>
      </c>
      <c r="B2675" s="626" t="s">
        <v>1908</v>
      </c>
      <c r="C2675" s="638" t="s">
        <v>6055</v>
      </c>
      <c r="D2675" s="626" t="s">
        <v>6058</v>
      </c>
      <c r="E2675" s="636">
        <v>1200</v>
      </c>
      <c r="F2675" s="637">
        <v>45242658</v>
      </c>
      <c r="G2675" s="626" t="s">
        <v>6059</v>
      </c>
      <c r="H2675" s="626" t="s">
        <v>5337</v>
      </c>
      <c r="I2675" s="638" t="s">
        <v>1931</v>
      </c>
      <c r="J2675" s="626" t="s">
        <v>5337</v>
      </c>
      <c r="K2675" s="709" t="s">
        <v>3928</v>
      </c>
      <c r="L2675" s="708" t="s">
        <v>5037</v>
      </c>
      <c r="M2675" s="707">
        <f t="shared" si="22"/>
        <v>12000</v>
      </c>
      <c r="N2675" s="641"/>
      <c r="O2675" s="640"/>
      <c r="P2675" s="667"/>
    </row>
    <row r="2676" spans="1:16" s="619" customFormat="1" ht="36" x14ac:dyDescent="0.2">
      <c r="A2676" s="626" t="s">
        <v>6029</v>
      </c>
      <c r="B2676" s="626" t="s">
        <v>1908</v>
      </c>
      <c r="C2676" s="638" t="s">
        <v>6055</v>
      </c>
      <c r="D2676" s="626" t="s">
        <v>6060</v>
      </c>
      <c r="E2676" s="636">
        <v>900</v>
      </c>
      <c r="F2676" s="637">
        <v>41050324</v>
      </c>
      <c r="G2676" s="626" t="s">
        <v>6061</v>
      </c>
      <c r="H2676" s="626" t="s">
        <v>6062</v>
      </c>
      <c r="I2676" s="638" t="s">
        <v>1931</v>
      </c>
      <c r="J2676" s="626" t="s">
        <v>6063</v>
      </c>
      <c r="K2676" s="709" t="s">
        <v>3928</v>
      </c>
      <c r="L2676" s="708" t="s">
        <v>5037</v>
      </c>
      <c r="M2676" s="707">
        <f t="shared" si="22"/>
        <v>9000</v>
      </c>
      <c r="N2676" s="641"/>
      <c r="O2676" s="640"/>
      <c r="P2676" s="667"/>
    </row>
    <row r="2677" spans="1:16" s="619" customFormat="1" ht="36" x14ac:dyDescent="0.2">
      <c r="A2677" s="626" t="s">
        <v>6029</v>
      </c>
      <c r="B2677" s="626" t="s">
        <v>1908</v>
      </c>
      <c r="C2677" s="638" t="s">
        <v>6055</v>
      </c>
      <c r="D2677" s="626" t="s">
        <v>6064</v>
      </c>
      <c r="E2677" s="636">
        <v>1200</v>
      </c>
      <c r="F2677" s="637">
        <v>33588137</v>
      </c>
      <c r="G2677" s="626" t="s">
        <v>6065</v>
      </c>
      <c r="H2677" s="626" t="s">
        <v>5337</v>
      </c>
      <c r="I2677" s="638" t="s">
        <v>1931</v>
      </c>
      <c r="J2677" s="626" t="s">
        <v>5337</v>
      </c>
      <c r="K2677" s="709" t="s">
        <v>3928</v>
      </c>
      <c r="L2677" s="708" t="s">
        <v>5037</v>
      </c>
      <c r="M2677" s="707">
        <f t="shared" si="22"/>
        <v>12000</v>
      </c>
      <c r="N2677" s="641"/>
      <c r="O2677" s="640"/>
      <c r="P2677" s="667"/>
    </row>
    <row r="2678" spans="1:16" s="619" customFormat="1" ht="48" x14ac:dyDescent="0.2">
      <c r="A2678" s="626" t="s">
        <v>6029</v>
      </c>
      <c r="B2678" s="626" t="s">
        <v>1908</v>
      </c>
      <c r="C2678" s="638" t="s">
        <v>6055</v>
      </c>
      <c r="D2678" s="626" t="s">
        <v>6066</v>
      </c>
      <c r="E2678" s="636">
        <v>1200</v>
      </c>
      <c r="F2678" s="637">
        <v>72918013</v>
      </c>
      <c r="G2678" s="626" t="s">
        <v>6067</v>
      </c>
      <c r="H2678" s="626" t="s">
        <v>6068</v>
      </c>
      <c r="I2678" s="638" t="s">
        <v>3587</v>
      </c>
      <c r="J2678" s="626" t="s">
        <v>6068</v>
      </c>
      <c r="K2678" s="709" t="s">
        <v>3928</v>
      </c>
      <c r="L2678" s="708" t="s">
        <v>5037</v>
      </c>
      <c r="M2678" s="707">
        <f t="shared" si="22"/>
        <v>12000</v>
      </c>
      <c r="N2678" s="641"/>
      <c r="O2678" s="640"/>
      <c r="P2678" s="667"/>
    </row>
    <row r="2679" spans="1:16" s="619" customFormat="1" ht="36" x14ac:dyDescent="0.2">
      <c r="A2679" s="626" t="s">
        <v>6029</v>
      </c>
      <c r="B2679" s="626" t="s">
        <v>1908</v>
      </c>
      <c r="C2679" s="638" t="s">
        <v>6055</v>
      </c>
      <c r="D2679" s="626" t="s">
        <v>6069</v>
      </c>
      <c r="E2679" s="636">
        <v>1100</v>
      </c>
      <c r="F2679" s="637">
        <v>70868454</v>
      </c>
      <c r="G2679" s="626" t="s">
        <v>6070</v>
      </c>
      <c r="H2679" s="626" t="s">
        <v>6068</v>
      </c>
      <c r="I2679" s="638" t="s">
        <v>3587</v>
      </c>
      <c r="J2679" s="626" t="s">
        <v>6068</v>
      </c>
      <c r="K2679" s="709" t="s">
        <v>3928</v>
      </c>
      <c r="L2679" s="708" t="s">
        <v>5037</v>
      </c>
      <c r="M2679" s="707">
        <f t="shared" si="22"/>
        <v>11000</v>
      </c>
      <c r="N2679" s="641"/>
      <c r="O2679" s="640"/>
      <c r="P2679" s="667"/>
    </row>
    <row r="2680" spans="1:16" s="619" customFormat="1" ht="36" x14ac:dyDescent="0.2">
      <c r="A2680" s="626" t="s">
        <v>6029</v>
      </c>
      <c r="B2680" s="626" t="s">
        <v>1908</v>
      </c>
      <c r="C2680" s="638" t="s">
        <v>6055</v>
      </c>
      <c r="D2680" s="626" t="s">
        <v>6071</v>
      </c>
      <c r="E2680" s="636">
        <v>1200</v>
      </c>
      <c r="F2680" s="637">
        <v>33587503</v>
      </c>
      <c r="G2680" s="626" t="s">
        <v>6072</v>
      </c>
      <c r="H2680" s="626" t="s">
        <v>1919</v>
      </c>
      <c r="I2680" s="638" t="s">
        <v>1919</v>
      </c>
      <c r="J2680" s="626" t="s">
        <v>1919</v>
      </c>
      <c r="K2680" s="709"/>
      <c r="L2680" s="708"/>
      <c r="M2680" s="707"/>
      <c r="N2680" s="709" t="s">
        <v>3928</v>
      </c>
      <c r="O2680" s="710" t="s">
        <v>6073</v>
      </c>
      <c r="P2680" s="707">
        <f t="shared" ref="P2680:P2691" si="23">O2680*E2680</f>
        <v>10800</v>
      </c>
    </row>
    <row r="2681" spans="1:16" s="619" customFormat="1" ht="36" x14ac:dyDescent="0.2">
      <c r="A2681" s="626" t="s">
        <v>6029</v>
      </c>
      <c r="B2681" s="626" t="s">
        <v>1908</v>
      </c>
      <c r="C2681" s="638" t="s">
        <v>6055</v>
      </c>
      <c r="D2681" s="626" t="s">
        <v>6074</v>
      </c>
      <c r="E2681" s="636">
        <v>1200</v>
      </c>
      <c r="F2681" s="637">
        <v>18212505</v>
      </c>
      <c r="G2681" s="626" t="s">
        <v>6075</v>
      </c>
      <c r="H2681" s="626" t="s">
        <v>5337</v>
      </c>
      <c r="I2681" s="638" t="s">
        <v>1931</v>
      </c>
      <c r="J2681" s="626" t="s">
        <v>5337</v>
      </c>
      <c r="K2681" s="709"/>
      <c r="L2681" s="708"/>
      <c r="M2681" s="707"/>
      <c r="N2681" s="709" t="s">
        <v>3928</v>
      </c>
      <c r="O2681" s="710" t="s">
        <v>6076</v>
      </c>
      <c r="P2681" s="707">
        <f t="shared" si="23"/>
        <v>9600</v>
      </c>
    </row>
    <row r="2682" spans="1:16" s="619" customFormat="1" ht="36" x14ac:dyDescent="0.2">
      <c r="A2682" s="626" t="s">
        <v>6029</v>
      </c>
      <c r="B2682" s="626" t="s">
        <v>1908</v>
      </c>
      <c r="C2682" s="638" t="s">
        <v>6055</v>
      </c>
      <c r="D2682" s="626" t="s">
        <v>6060</v>
      </c>
      <c r="E2682" s="636">
        <v>1200</v>
      </c>
      <c r="F2682" s="637">
        <v>41050324</v>
      </c>
      <c r="G2682" s="626" t="s">
        <v>6061</v>
      </c>
      <c r="H2682" s="626" t="s">
        <v>6062</v>
      </c>
      <c r="I2682" s="638" t="s">
        <v>1931</v>
      </c>
      <c r="J2682" s="626" t="s">
        <v>6063</v>
      </c>
      <c r="K2682" s="709"/>
      <c r="L2682" s="708"/>
      <c r="M2682" s="707"/>
      <c r="N2682" s="709" t="s">
        <v>3928</v>
      </c>
      <c r="O2682" s="710" t="s">
        <v>6076</v>
      </c>
      <c r="P2682" s="707">
        <f t="shared" si="23"/>
        <v>9600</v>
      </c>
    </row>
    <row r="2683" spans="1:16" s="619" customFormat="1" ht="36" x14ac:dyDescent="0.2">
      <c r="A2683" s="626" t="s">
        <v>6029</v>
      </c>
      <c r="B2683" s="626" t="s">
        <v>1908</v>
      </c>
      <c r="C2683" s="638" t="s">
        <v>6055</v>
      </c>
      <c r="D2683" s="626" t="s">
        <v>6077</v>
      </c>
      <c r="E2683" s="636">
        <v>1400</v>
      </c>
      <c r="F2683" s="637">
        <v>43473392</v>
      </c>
      <c r="G2683" s="626" t="s">
        <v>6078</v>
      </c>
      <c r="H2683" s="626" t="s">
        <v>2946</v>
      </c>
      <c r="I2683" s="638" t="s">
        <v>3768</v>
      </c>
      <c r="J2683" s="626" t="s">
        <v>2946</v>
      </c>
      <c r="K2683" s="709"/>
      <c r="L2683" s="708"/>
      <c r="M2683" s="707"/>
      <c r="N2683" s="709" t="s">
        <v>3928</v>
      </c>
      <c r="O2683" s="710" t="s">
        <v>6076</v>
      </c>
      <c r="P2683" s="707">
        <f t="shared" si="23"/>
        <v>11200</v>
      </c>
    </row>
    <row r="2684" spans="1:16" s="619" customFormat="1" ht="36" x14ac:dyDescent="0.2">
      <c r="A2684" s="626" t="s">
        <v>6029</v>
      </c>
      <c r="B2684" s="626" t="s">
        <v>1908</v>
      </c>
      <c r="C2684" s="638" t="s">
        <v>6055</v>
      </c>
      <c r="D2684" s="626" t="s">
        <v>6079</v>
      </c>
      <c r="E2684" s="636">
        <v>1000</v>
      </c>
      <c r="F2684" s="637">
        <v>76050556</v>
      </c>
      <c r="G2684" s="626" t="s">
        <v>6080</v>
      </c>
      <c r="H2684" s="626" t="s">
        <v>1911</v>
      </c>
      <c r="I2684" s="638" t="s">
        <v>3587</v>
      </c>
      <c r="J2684" s="626" t="s">
        <v>1911</v>
      </c>
      <c r="K2684" s="709"/>
      <c r="L2684" s="708"/>
      <c r="M2684" s="707"/>
      <c r="N2684" s="709" t="s">
        <v>3928</v>
      </c>
      <c r="O2684" s="710" t="s">
        <v>6076</v>
      </c>
      <c r="P2684" s="707">
        <f t="shared" si="23"/>
        <v>8000</v>
      </c>
    </row>
    <row r="2685" spans="1:16" s="619" customFormat="1" ht="36" x14ac:dyDescent="0.2">
      <c r="A2685" s="626" t="s">
        <v>6029</v>
      </c>
      <c r="B2685" s="626" t="s">
        <v>1908</v>
      </c>
      <c r="C2685" s="638" t="s">
        <v>6055</v>
      </c>
      <c r="D2685" s="626" t="s">
        <v>6081</v>
      </c>
      <c r="E2685" s="636">
        <v>1400</v>
      </c>
      <c r="F2685" s="637">
        <v>72221208</v>
      </c>
      <c r="G2685" s="626" t="s">
        <v>6082</v>
      </c>
      <c r="H2685" s="626" t="s">
        <v>5370</v>
      </c>
      <c r="I2685" s="638" t="s">
        <v>3587</v>
      </c>
      <c r="J2685" s="626" t="s">
        <v>5370</v>
      </c>
      <c r="K2685" s="709"/>
      <c r="L2685" s="708"/>
      <c r="M2685" s="707"/>
      <c r="N2685" s="709" t="s">
        <v>3928</v>
      </c>
      <c r="O2685" s="710" t="s">
        <v>5037</v>
      </c>
      <c r="P2685" s="707">
        <f t="shared" si="23"/>
        <v>14000</v>
      </c>
    </row>
    <row r="2686" spans="1:16" s="619" customFormat="1" ht="36" x14ac:dyDescent="0.2">
      <c r="A2686" s="626" t="s">
        <v>6029</v>
      </c>
      <c r="B2686" s="626" t="s">
        <v>1908</v>
      </c>
      <c r="C2686" s="638" t="s">
        <v>6055</v>
      </c>
      <c r="D2686" s="626" t="s">
        <v>3692</v>
      </c>
      <c r="E2686" s="636">
        <v>1400</v>
      </c>
      <c r="F2686" s="637">
        <v>47258079</v>
      </c>
      <c r="G2686" s="626" t="s">
        <v>6083</v>
      </c>
      <c r="H2686" s="626" t="s">
        <v>1911</v>
      </c>
      <c r="I2686" s="638" t="s">
        <v>3587</v>
      </c>
      <c r="J2686" s="626" t="s">
        <v>1911</v>
      </c>
      <c r="K2686" s="709"/>
      <c r="L2686" s="708"/>
      <c r="M2686" s="707"/>
      <c r="N2686" s="709" t="s">
        <v>3928</v>
      </c>
      <c r="O2686" s="710" t="s">
        <v>5037</v>
      </c>
      <c r="P2686" s="707">
        <f t="shared" si="23"/>
        <v>14000</v>
      </c>
    </row>
    <row r="2687" spans="1:16" s="619" customFormat="1" ht="36" x14ac:dyDescent="0.2">
      <c r="A2687" s="626" t="s">
        <v>6029</v>
      </c>
      <c r="B2687" s="626" t="s">
        <v>1908</v>
      </c>
      <c r="C2687" s="638" t="s">
        <v>6055</v>
      </c>
      <c r="D2687" s="626" t="s">
        <v>6084</v>
      </c>
      <c r="E2687" s="636">
        <v>1400</v>
      </c>
      <c r="F2687" s="637">
        <v>42627896</v>
      </c>
      <c r="G2687" s="626" t="s">
        <v>6085</v>
      </c>
      <c r="H2687" s="626" t="s">
        <v>2586</v>
      </c>
      <c r="I2687" s="638" t="s">
        <v>3587</v>
      </c>
      <c r="J2687" s="626" t="s">
        <v>2586</v>
      </c>
      <c r="K2687" s="709"/>
      <c r="L2687" s="708"/>
      <c r="M2687" s="707"/>
      <c r="N2687" s="709" t="s">
        <v>3928</v>
      </c>
      <c r="O2687" s="710" t="s">
        <v>5037</v>
      </c>
      <c r="P2687" s="707">
        <f t="shared" si="23"/>
        <v>14000</v>
      </c>
    </row>
    <row r="2688" spans="1:16" s="619" customFormat="1" ht="36" x14ac:dyDescent="0.2">
      <c r="A2688" s="626" t="s">
        <v>6029</v>
      </c>
      <c r="B2688" s="626" t="s">
        <v>1908</v>
      </c>
      <c r="C2688" s="638" t="s">
        <v>6055</v>
      </c>
      <c r="D2688" s="626" t="s">
        <v>6086</v>
      </c>
      <c r="E2688" s="636">
        <v>1400</v>
      </c>
      <c r="F2688" s="637">
        <v>73432657</v>
      </c>
      <c r="G2688" s="626" t="s">
        <v>6087</v>
      </c>
      <c r="H2688" s="626" t="s">
        <v>5337</v>
      </c>
      <c r="I2688" s="638" t="s">
        <v>1931</v>
      </c>
      <c r="J2688" s="626" t="s">
        <v>5337</v>
      </c>
      <c r="K2688" s="709"/>
      <c r="L2688" s="708"/>
      <c r="M2688" s="707"/>
      <c r="N2688" s="709" t="s">
        <v>3928</v>
      </c>
      <c r="O2688" s="710" t="s">
        <v>5037</v>
      </c>
      <c r="P2688" s="707">
        <f t="shared" si="23"/>
        <v>14000</v>
      </c>
    </row>
    <row r="2689" spans="1:16" s="619" customFormat="1" ht="36" x14ac:dyDescent="0.2">
      <c r="A2689" s="626" t="s">
        <v>6029</v>
      </c>
      <c r="B2689" s="626" t="s">
        <v>1908</v>
      </c>
      <c r="C2689" s="638" t="s">
        <v>6055</v>
      </c>
      <c r="D2689" s="626" t="s">
        <v>6088</v>
      </c>
      <c r="E2689" s="636">
        <v>1500</v>
      </c>
      <c r="F2689" s="637">
        <v>70540873</v>
      </c>
      <c r="G2689" s="626" t="s">
        <v>6042</v>
      </c>
      <c r="H2689" s="626" t="s">
        <v>2472</v>
      </c>
      <c r="I2689" s="638" t="s">
        <v>3587</v>
      </c>
      <c r="J2689" s="626" t="s">
        <v>2472</v>
      </c>
      <c r="K2689" s="709"/>
      <c r="L2689" s="708"/>
      <c r="M2689" s="707"/>
      <c r="N2689" s="709" t="s">
        <v>3928</v>
      </c>
      <c r="O2689" s="710" t="s">
        <v>6076</v>
      </c>
      <c r="P2689" s="707">
        <f t="shared" si="23"/>
        <v>12000</v>
      </c>
    </row>
    <row r="2690" spans="1:16" s="619" customFormat="1" ht="36" x14ac:dyDescent="0.2">
      <c r="A2690" s="626" t="s">
        <v>6029</v>
      </c>
      <c r="B2690" s="626" t="s">
        <v>1908</v>
      </c>
      <c r="C2690" s="638" t="s">
        <v>6055</v>
      </c>
      <c r="D2690" s="626" t="s">
        <v>6056</v>
      </c>
      <c r="E2690" s="636">
        <v>1400</v>
      </c>
      <c r="F2690" s="637">
        <v>70890227</v>
      </c>
      <c r="G2690" s="626" t="s">
        <v>6057</v>
      </c>
      <c r="H2690" s="626" t="s">
        <v>1911</v>
      </c>
      <c r="I2690" s="638" t="s">
        <v>3587</v>
      </c>
      <c r="J2690" s="626" t="s">
        <v>1911</v>
      </c>
      <c r="K2690" s="709"/>
      <c r="L2690" s="708"/>
      <c r="M2690" s="707"/>
      <c r="N2690" s="709" t="s">
        <v>3928</v>
      </c>
      <c r="O2690" s="710" t="s">
        <v>5059</v>
      </c>
      <c r="P2690" s="707">
        <f t="shared" si="23"/>
        <v>16800</v>
      </c>
    </row>
    <row r="2691" spans="1:16" s="619" customFormat="1" ht="36.75" thickBot="1" x14ac:dyDescent="0.25">
      <c r="A2691" s="626" t="s">
        <v>6029</v>
      </c>
      <c r="B2691" s="626" t="s">
        <v>1908</v>
      </c>
      <c r="C2691" s="638" t="s">
        <v>6055</v>
      </c>
      <c r="D2691" s="626" t="s">
        <v>6089</v>
      </c>
      <c r="E2691" s="636">
        <v>800</v>
      </c>
      <c r="F2691" s="637">
        <v>77688372</v>
      </c>
      <c r="G2691" s="626" t="s">
        <v>6090</v>
      </c>
      <c r="H2691" s="626" t="s">
        <v>5337</v>
      </c>
      <c r="I2691" s="638" t="s">
        <v>3878</v>
      </c>
      <c r="J2691" s="626" t="s">
        <v>5337</v>
      </c>
      <c r="K2691" s="709"/>
      <c r="L2691" s="708"/>
      <c r="M2691" s="707"/>
      <c r="N2691" s="709" t="s">
        <v>3928</v>
      </c>
      <c r="O2691" s="710" t="s">
        <v>5059</v>
      </c>
      <c r="P2691" s="707">
        <f t="shared" si="23"/>
        <v>9600</v>
      </c>
    </row>
    <row r="2692" spans="1:16" s="619" customFormat="1" ht="13.5" customHeight="1" thickBot="1" x14ac:dyDescent="0.25">
      <c r="A2692" s="1149" t="s">
        <v>1847</v>
      </c>
      <c r="B2692" s="1150"/>
      <c r="C2692" s="1150"/>
      <c r="D2692" s="1151"/>
      <c r="E2692" s="610">
        <f>SUM(E2656:E2691)</f>
        <v>61600</v>
      </c>
      <c r="F2692" s="623"/>
      <c r="G2692" s="109"/>
      <c r="H2692" s="109"/>
      <c r="I2692" s="109"/>
      <c r="J2692" s="109"/>
      <c r="K2692" s="623"/>
      <c r="L2692" s="109"/>
      <c r="M2692" s="610">
        <f>SUM(M2656:M2691)</f>
        <v>228000</v>
      </c>
      <c r="N2692" s="623"/>
      <c r="O2692" s="623"/>
      <c r="P2692" s="610">
        <f>SUM(P2656:P2691)</f>
        <v>318800</v>
      </c>
    </row>
    <row r="2693" spans="1:16" s="619" customFormat="1" ht="36" x14ac:dyDescent="0.2">
      <c r="A2693" s="630" t="s">
        <v>6091</v>
      </c>
      <c r="B2693" s="626" t="s">
        <v>1908</v>
      </c>
      <c r="C2693" s="638" t="s">
        <v>104</v>
      </c>
      <c r="D2693" s="626" t="s">
        <v>6092</v>
      </c>
      <c r="E2693" s="636">
        <v>2000</v>
      </c>
      <c r="F2693" s="637" t="s">
        <v>6093</v>
      </c>
      <c r="G2693" s="626" t="s">
        <v>6094</v>
      </c>
      <c r="H2693" s="626" t="s">
        <v>6092</v>
      </c>
      <c r="I2693" s="638" t="s">
        <v>6095</v>
      </c>
      <c r="J2693" s="625" t="s">
        <v>6096</v>
      </c>
      <c r="K2693" s="630">
        <v>1</v>
      </c>
      <c r="L2693" s="638">
        <v>12</v>
      </c>
      <c r="M2693" s="711">
        <v>24000</v>
      </c>
      <c r="N2693" s="638">
        <v>1</v>
      </c>
      <c r="O2693" s="630">
        <v>6</v>
      </c>
      <c r="P2693" s="711">
        <f t="shared" ref="P2693:P2756" si="24">O2693*E2693</f>
        <v>12000</v>
      </c>
    </row>
    <row r="2694" spans="1:16" s="619" customFormat="1" ht="36" x14ac:dyDescent="0.2">
      <c r="A2694" s="626" t="s">
        <v>6091</v>
      </c>
      <c r="B2694" s="626" t="s">
        <v>1908</v>
      </c>
      <c r="C2694" s="638" t="s">
        <v>104</v>
      </c>
      <c r="D2694" s="626" t="s">
        <v>2660</v>
      </c>
      <c r="E2694" s="636">
        <v>1400</v>
      </c>
      <c r="F2694" s="637" t="s">
        <v>6097</v>
      </c>
      <c r="G2694" s="626" t="s">
        <v>6098</v>
      </c>
      <c r="H2694" s="626" t="s">
        <v>2660</v>
      </c>
      <c r="I2694" s="638" t="s">
        <v>6099</v>
      </c>
      <c r="J2694" s="625" t="s">
        <v>6100</v>
      </c>
      <c r="K2694" s="626">
        <v>1</v>
      </c>
      <c r="L2694" s="638">
        <v>12</v>
      </c>
      <c r="M2694" s="712">
        <v>16800</v>
      </c>
      <c r="N2694" s="638">
        <v>1</v>
      </c>
      <c r="O2694" s="626">
        <v>5</v>
      </c>
      <c r="P2694" s="712">
        <f t="shared" si="24"/>
        <v>7000</v>
      </c>
    </row>
    <row r="2695" spans="1:16" s="619" customFormat="1" ht="24" x14ac:dyDescent="0.2">
      <c r="A2695" s="626" t="s">
        <v>6091</v>
      </c>
      <c r="B2695" s="626" t="s">
        <v>1908</v>
      </c>
      <c r="C2695" s="638" t="s">
        <v>104</v>
      </c>
      <c r="D2695" s="626" t="s">
        <v>6101</v>
      </c>
      <c r="E2695" s="636">
        <v>2000</v>
      </c>
      <c r="F2695" s="637" t="s">
        <v>6102</v>
      </c>
      <c r="G2695" s="626" t="s">
        <v>6103</v>
      </c>
      <c r="H2695" s="626" t="s">
        <v>6101</v>
      </c>
      <c r="I2695" s="638" t="s">
        <v>6095</v>
      </c>
      <c r="J2695" s="625" t="s">
        <v>6096</v>
      </c>
      <c r="K2695" s="626">
        <v>1</v>
      </c>
      <c r="L2695" s="638">
        <v>1</v>
      </c>
      <c r="M2695" s="712">
        <v>2000</v>
      </c>
      <c r="N2695" s="638"/>
      <c r="O2695" s="626"/>
      <c r="P2695" s="712">
        <f t="shared" si="24"/>
        <v>0</v>
      </c>
    </row>
    <row r="2696" spans="1:16" s="619" customFormat="1" ht="24" x14ac:dyDescent="0.2">
      <c r="A2696" s="626" t="s">
        <v>6091</v>
      </c>
      <c r="B2696" s="626" t="s">
        <v>1908</v>
      </c>
      <c r="C2696" s="638" t="s">
        <v>104</v>
      </c>
      <c r="D2696" s="626" t="s">
        <v>6092</v>
      </c>
      <c r="E2696" s="636">
        <v>2000</v>
      </c>
      <c r="F2696" s="637" t="s">
        <v>6104</v>
      </c>
      <c r="G2696" s="626" t="s">
        <v>6105</v>
      </c>
      <c r="H2696" s="626" t="s">
        <v>6092</v>
      </c>
      <c r="I2696" s="638" t="s">
        <v>6095</v>
      </c>
      <c r="J2696" s="625" t="s">
        <v>6096</v>
      </c>
      <c r="K2696" s="626">
        <v>1</v>
      </c>
      <c r="L2696" s="638">
        <v>5</v>
      </c>
      <c r="M2696" s="712">
        <v>10000</v>
      </c>
      <c r="N2696" s="638"/>
      <c r="O2696" s="626"/>
      <c r="P2696" s="712">
        <f t="shared" si="24"/>
        <v>0</v>
      </c>
    </row>
    <row r="2697" spans="1:16" s="619" customFormat="1" ht="36" x14ac:dyDescent="0.2">
      <c r="A2697" s="626" t="s">
        <v>6091</v>
      </c>
      <c r="B2697" s="626" t="s">
        <v>1908</v>
      </c>
      <c r="C2697" s="638" t="s">
        <v>104</v>
      </c>
      <c r="D2697" s="626" t="s">
        <v>6092</v>
      </c>
      <c r="E2697" s="636">
        <v>2000</v>
      </c>
      <c r="F2697" s="637" t="s">
        <v>6106</v>
      </c>
      <c r="G2697" s="626" t="s">
        <v>6107</v>
      </c>
      <c r="H2697" s="626" t="s">
        <v>6092</v>
      </c>
      <c r="I2697" s="638" t="s">
        <v>6095</v>
      </c>
      <c r="J2697" s="625" t="s">
        <v>6096</v>
      </c>
      <c r="K2697" s="626">
        <v>1</v>
      </c>
      <c r="L2697" s="638">
        <v>12</v>
      </c>
      <c r="M2697" s="712">
        <v>24000</v>
      </c>
      <c r="N2697" s="638">
        <v>1</v>
      </c>
      <c r="O2697" s="626">
        <v>6</v>
      </c>
      <c r="P2697" s="712">
        <f t="shared" si="24"/>
        <v>12000</v>
      </c>
    </row>
    <row r="2698" spans="1:16" s="619" customFormat="1" ht="24" x14ac:dyDescent="0.2">
      <c r="A2698" s="626" t="s">
        <v>6091</v>
      </c>
      <c r="B2698" s="626" t="s">
        <v>1908</v>
      </c>
      <c r="C2698" s="638" t="s">
        <v>104</v>
      </c>
      <c r="D2698" s="626" t="s">
        <v>6108</v>
      </c>
      <c r="E2698" s="636">
        <v>2800</v>
      </c>
      <c r="F2698" s="637" t="s">
        <v>6109</v>
      </c>
      <c r="G2698" s="626" t="s">
        <v>6110</v>
      </c>
      <c r="H2698" s="626" t="s">
        <v>6111</v>
      </c>
      <c r="I2698" s="638" t="s">
        <v>6095</v>
      </c>
      <c r="J2698" s="625" t="s">
        <v>6096</v>
      </c>
      <c r="K2698" s="626">
        <v>1</v>
      </c>
      <c r="L2698" s="638">
        <v>2</v>
      </c>
      <c r="M2698" s="712">
        <v>5600</v>
      </c>
      <c r="N2698" s="638"/>
      <c r="O2698" s="626"/>
      <c r="P2698" s="712">
        <f t="shared" si="24"/>
        <v>0</v>
      </c>
    </row>
    <row r="2699" spans="1:16" s="619" customFormat="1" ht="36" x14ac:dyDescent="0.2">
      <c r="A2699" s="626" t="s">
        <v>6091</v>
      </c>
      <c r="B2699" s="626" t="s">
        <v>1908</v>
      </c>
      <c r="C2699" s="638" t="s">
        <v>104</v>
      </c>
      <c r="D2699" s="626" t="s">
        <v>3548</v>
      </c>
      <c r="E2699" s="636">
        <v>1013</v>
      </c>
      <c r="F2699" s="637" t="s">
        <v>6112</v>
      </c>
      <c r="G2699" s="626" t="s">
        <v>6113</v>
      </c>
      <c r="H2699" s="626" t="s">
        <v>2660</v>
      </c>
      <c r="I2699" s="638" t="s">
        <v>6099</v>
      </c>
      <c r="J2699" s="625" t="s">
        <v>6100</v>
      </c>
      <c r="K2699" s="626">
        <v>1</v>
      </c>
      <c r="L2699" s="638">
        <v>12</v>
      </c>
      <c r="M2699" s="712">
        <v>12156</v>
      </c>
      <c r="N2699" s="638">
        <v>1</v>
      </c>
      <c r="O2699" s="626">
        <v>6</v>
      </c>
      <c r="P2699" s="712">
        <f t="shared" si="24"/>
        <v>6078</v>
      </c>
    </row>
    <row r="2700" spans="1:16" s="619" customFormat="1" ht="60" x14ac:dyDescent="0.2">
      <c r="A2700" s="626" t="s">
        <v>6091</v>
      </c>
      <c r="B2700" s="626" t="s">
        <v>1908</v>
      </c>
      <c r="C2700" s="638" t="s">
        <v>104</v>
      </c>
      <c r="D2700" s="626" t="s">
        <v>6114</v>
      </c>
      <c r="E2700" s="636">
        <v>1200</v>
      </c>
      <c r="F2700" s="637" t="s">
        <v>6115</v>
      </c>
      <c r="G2700" s="626" t="s">
        <v>6116</v>
      </c>
      <c r="H2700" s="626" t="s">
        <v>6117</v>
      </c>
      <c r="I2700" s="638" t="s">
        <v>6099</v>
      </c>
      <c r="J2700" s="625" t="s">
        <v>6100</v>
      </c>
      <c r="K2700" s="626">
        <v>1</v>
      </c>
      <c r="L2700" s="638">
        <v>12</v>
      </c>
      <c r="M2700" s="712">
        <v>14400</v>
      </c>
      <c r="N2700" s="638">
        <v>1</v>
      </c>
      <c r="O2700" s="626">
        <v>6</v>
      </c>
      <c r="P2700" s="712">
        <f t="shared" si="24"/>
        <v>7200</v>
      </c>
    </row>
    <row r="2701" spans="1:16" s="619" customFormat="1" ht="36" x14ac:dyDescent="0.2">
      <c r="A2701" s="626" t="s">
        <v>6091</v>
      </c>
      <c r="B2701" s="626" t="s">
        <v>1908</v>
      </c>
      <c r="C2701" s="638" t="s">
        <v>104</v>
      </c>
      <c r="D2701" s="626" t="s">
        <v>3545</v>
      </c>
      <c r="E2701" s="636">
        <v>1200</v>
      </c>
      <c r="F2701" s="637" t="s">
        <v>6118</v>
      </c>
      <c r="G2701" s="626" t="s">
        <v>6119</v>
      </c>
      <c r="H2701" s="626" t="s">
        <v>3545</v>
      </c>
      <c r="I2701" s="638" t="s">
        <v>6099</v>
      </c>
      <c r="J2701" s="625" t="s">
        <v>6100</v>
      </c>
      <c r="K2701" s="626">
        <v>1</v>
      </c>
      <c r="L2701" s="638">
        <v>12</v>
      </c>
      <c r="M2701" s="712">
        <v>14400</v>
      </c>
      <c r="N2701" s="638">
        <v>1</v>
      </c>
      <c r="O2701" s="626">
        <v>6</v>
      </c>
      <c r="P2701" s="712">
        <f t="shared" si="24"/>
        <v>7200</v>
      </c>
    </row>
    <row r="2702" spans="1:16" s="619" customFormat="1" ht="48" x14ac:dyDescent="0.2">
      <c r="A2702" s="626" t="s">
        <v>6091</v>
      </c>
      <c r="B2702" s="626" t="s">
        <v>1908</v>
      </c>
      <c r="C2702" s="638" t="s">
        <v>104</v>
      </c>
      <c r="D2702" s="626" t="s">
        <v>6120</v>
      </c>
      <c r="E2702" s="636">
        <v>1000</v>
      </c>
      <c r="F2702" s="637" t="s">
        <v>6121</v>
      </c>
      <c r="G2702" s="626" t="s">
        <v>6122</v>
      </c>
      <c r="H2702" s="626" t="s">
        <v>6123</v>
      </c>
      <c r="I2702" s="638" t="s">
        <v>6099</v>
      </c>
      <c r="J2702" s="625" t="s">
        <v>6100</v>
      </c>
      <c r="K2702" s="626">
        <v>1</v>
      </c>
      <c r="L2702" s="638">
        <v>12</v>
      </c>
      <c r="M2702" s="712">
        <v>12000</v>
      </c>
      <c r="N2702" s="638">
        <v>1</v>
      </c>
      <c r="O2702" s="626">
        <v>6</v>
      </c>
      <c r="P2702" s="712">
        <f t="shared" si="24"/>
        <v>6000</v>
      </c>
    </row>
    <row r="2703" spans="1:16" s="619" customFormat="1" ht="36" x14ac:dyDescent="0.2">
      <c r="A2703" s="626" t="s">
        <v>6091</v>
      </c>
      <c r="B2703" s="626" t="s">
        <v>1908</v>
      </c>
      <c r="C2703" s="638" t="s">
        <v>104</v>
      </c>
      <c r="D2703" s="626" t="s">
        <v>3583</v>
      </c>
      <c r="E2703" s="636">
        <v>1600</v>
      </c>
      <c r="F2703" s="637" t="s">
        <v>6124</v>
      </c>
      <c r="G2703" s="626" t="s">
        <v>6125</v>
      </c>
      <c r="H2703" s="626" t="s">
        <v>4337</v>
      </c>
      <c r="I2703" s="638" t="s">
        <v>6095</v>
      </c>
      <c r="J2703" s="625" t="s">
        <v>6096</v>
      </c>
      <c r="K2703" s="626">
        <v>1</v>
      </c>
      <c r="L2703" s="638">
        <v>12</v>
      </c>
      <c r="M2703" s="712">
        <v>19200</v>
      </c>
      <c r="N2703" s="638">
        <v>1</v>
      </c>
      <c r="O2703" s="626">
        <v>6</v>
      </c>
      <c r="P2703" s="712">
        <f t="shared" si="24"/>
        <v>9600</v>
      </c>
    </row>
    <row r="2704" spans="1:16" s="619" customFormat="1" ht="24" x14ac:dyDescent="0.2">
      <c r="A2704" s="626" t="s">
        <v>6091</v>
      </c>
      <c r="B2704" s="626" t="s">
        <v>1908</v>
      </c>
      <c r="C2704" s="638" t="s">
        <v>104</v>
      </c>
      <c r="D2704" s="626" t="s">
        <v>3606</v>
      </c>
      <c r="E2704" s="636">
        <v>1200</v>
      </c>
      <c r="F2704" s="637" t="s">
        <v>6126</v>
      </c>
      <c r="G2704" s="626" t="s">
        <v>6127</v>
      </c>
      <c r="H2704" s="626"/>
      <c r="I2704" s="638" t="s">
        <v>1919</v>
      </c>
      <c r="J2704" s="625" t="s">
        <v>6128</v>
      </c>
      <c r="K2704" s="626">
        <v>1</v>
      </c>
      <c r="L2704" s="638">
        <v>12</v>
      </c>
      <c r="M2704" s="712">
        <v>14400</v>
      </c>
      <c r="N2704" s="638">
        <v>1</v>
      </c>
      <c r="O2704" s="626">
        <v>6</v>
      </c>
      <c r="P2704" s="712">
        <f t="shared" si="24"/>
        <v>7200</v>
      </c>
    </row>
    <row r="2705" spans="1:16" s="619" customFormat="1" ht="36" x14ac:dyDescent="0.2">
      <c r="A2705" s="626" t="s">
        <v>6091</v>
      </c>
      <c r="B2705" s="626" t="s">
        <v>1908</v>
      </c>
      <c r="C2705" s="638" t="s">
        <v>104</v>
      </c>
      <c r="D2705" s="626" t="s">
        <v>3545</v>
      </c>
      <c r="E2705" s="636">
        <v>1200</v>
      </c>
      <c r="F2705" s="637" t="s">
        <v>6129</v>
      </c>
      <c r="G2705" s="626" t="s">
        <v>6130</v>
      </c>
      <c r="H2705" s="626" t="s">
        <v>3545</v>
      </c>
      <c r="I2705" s="638" t="s">
        <v>6099</v>
      </c>
      <c r="J2705" s="625" t="s">
        <v>6100</v>
      </c>
      <c r="K2705" s="626">
        <v>1</v>
      </c>
      <c r="L2705" s="638">
        <v>12</v>
      </c>
      <c r="M2705" s="712">
        <v>14400</v>
      </c>
      <c r="N2705" s="638">
        <v>1</v>
      </c>
      <c r="O2705" s="626">
        <v>6</v>
      </c>
      <c r="P2705" s="712">
        <f t="shared" si="24"/>
        <v>7200</v>
      </c>
    </row>
    <row r="2706" spans="1:16" s="619" customFormat="1" ht="36" x14ac:dyDescent="0.2">
      <c r="A2706" s="626" t="s">
        <v>6091</v>
      </c>
      <c r="B2706" s="626" t="s">
        <v>1908</v>
      </c>
      <c r="C2706" s="638" t="s">
        <v>104</v>
      </c>
      <c r="D2706" s="626" t="s">
        <v>3545</v>
      </c>
      <c r="E2706" s="636">
        <v>1200</v>
      </c>
      <c r="F2706" s="637" t="s">
        <v>6131</v>
      </c>
      <c r="G2706" s="626" t="s">
        <v>6132</v>
      </c>
      <c r="H2706" s="626" t="s">
        <v>4589</v>
      </c>
      <c r="I2706" s="638" t="s">
        <v>6099</v>
      </c>
      <c r="J2706" s="625" t="s">
        <v>6100</v>
      </c>
      <c r="K2706" s="626">
        <v>1</v>
      </c>
      <c r="L2706" s="638">
        <v>12</v>
      </c>
      <c r="M2706" s="712">
        <v>14400</v>
      </c>
      <c r="N2706" s="638">
        <v>1</v>
      </c>
      <c r="O2706" s="626">
        <v>6</v>
      </c>
      <c r="P2706" s="712">
        <f t="shared" si="24"/>
        <v>7200</v>
      </c>
    </row>
    <row r="2707" spans="1:16" s="619" customFormat="1" ht="36" x14ac:dyDescent="0.2">
      <c r="A2707" s="626" t="s">
        <v>6091</v>
      </c>
      <c r="B2707" s="626" t="s">
        <v>1908</v>
      </c>
      <c r="C2707" s="638" t="s">
        <v>104</v>
      </c>
      <c r="D2707" s="626" t="s">
        <v>3548</v>
      </c>
      <c r="E2707" s="636">
        <v>1013</v>
      </c>
      <c r="F2707" s="637" t="s">
        <v>6133</v>
      </c>
      <c r="G2707" s="626" t="s">
        <v>6134</v>
      </c>
      <c r="H2707" s="626"/>
      <c r="I2707" s="638" t="s">
        <v>1919</v>
      </c>
      <c r="J2707" s="625" t="s">
        <v>6128</v>
      </c>
      <c r="K2707" s="626">
        <v>1</v>
      </c>
      <c r="L2707" s="638">
        <v>12</v>
      </c>
      <c r="M2707" s="712">
        <v>12156</v>
      </c>
      <c r="N2707" s="638">
        <v>1</v>
      </c>
      <c r="O2707" s="626">
        <v>6</v>
      </c>
      <c r="P2707" s="712">
        <f t="shared" si="24"/>
        <v>6078</v>
      </c>
    </row>
    <row r="2708" spans="1:16" s="619" customFormat="1" ht="36" x14ac:dyDescent="0.2">
      <c r="A2708" s="626" t="s">
        <v>6091</v>
      </c>
      <c r="B2708" s="626" t="s">
        <v>1908</v>
      </c>
      <c r="C2708" s="638" t="s">
        <v>104</v>
      </c>
      <c r="D2708" s="626" t="s">
        <v>6120</v>
      </c>
      <c r="E2708" s="636">
        <v>1800</v>
      </c>
      <c r="F2708" s="637" t="s">
        <v>6135</v>
      </c>
      <c r="G2708" s="626" t="s">
        <v>6136</v>
      </c>
      <c r="H2708" s="626" t="s">
        <v>1965</v>
      </c>
      <c r="I2708" s="638" t="s">
        <v>6095</v>
      </c>
      <c r="J2708" s="625" t="s">
        <v>6096</v>
      </c>
      <c r="K2708" s="626">
        <v>1</v>
      </c>
      <c r="L2708" s="638">
        <v>2</v>
      </c>
      <c r="M2708" s="712">
        <v>3600</v>
      </c>
      <c r="N2708" s="638"/>
      <c r="O2708" s="626"/>
      <c r="P2708" s="712">
        <f t="shared" si="24"/>
        <v>0</v>
      </c>
    </row>
    <row r="2709" spans="1:16" s="619" customFormat="1" ht="36" x14ac:dyDescent="0.2">
      <c r="A2709" s="626" t="s">
        <v>6091</v>
      </c>
      <c r="B2709" s="626" t="s">
        <v>1908</v>
      </c>
      <c r="C2709" s="638" t="s">
        <v>104</v>
      </c>
      <c r="D2709" s="626" t="s">
        <v>6137</v>
      </c>
      <c r="E2709" s="636">
        <v>1600</v>
      </c>
      <c r="F2709" s="637" t="s">
        <v>6138</v>
      </c>
      <c r="G2709" s="626" t="s">
        <v>6139</v>
      </c>
      <c r="H2709" s="626" t="s">
        <v>4337</v>
      </c>
      <c r="I2709" s="638" t="s">
        <v>6095</v>
      </c>
      <c r="J2709" s="625" t="s">
        <v>6096</v>
      </c>
      <c r="K2709" s="626">
        <v>1</v>
      </c>
      <c r="L2709" s="638">
        <v>12</v>
      </c>
      <c r="M2709" s="712">
        <v>19200</v>
      </c>
      <c r="N2709" s="638">
        <v>1</v>
      </c>
      <c r="O2709" s="626">
        <v>6</v>
      </c>
      <c r="P2709" s="712">
        <f t="shared" si="24"/>
        <v>9600</v>
      </c>
    </row>
    <row r="2710" spans="1:16" s="619" customFormat="1" ht="36" x14ac:dyDescent="0.2">
      <c r="A2710" s="626" t="s">
        <v>6091</v>
      </c>
      <c r="B2710" s="626" t="s">
        <v>1908</v>
      </c>
      <c r="C2710" s="638" t="s">
        <v>104</v>
      </c>
      <c r="D2710" s="626" t="s">
        <v>2563</v>
      </c>
      <c r="E2710" s="636">
        <v>2000</v>
      </c>
      <c r="F2710" s="637" t="s">
        <v>6140</v>
      </c>
      <c r="G2710" s="626" t="s">
        <v>6141</v>
      </c>
      <c r="H2710" s="626" t="s">
        <v>6142</v>
      </c>
      <c r="I2710" s="638" t="s">
        <v>6095</v>
      </c>
      <c r="J2710" s="625" t="s">
        <v>6096</v>
      </c>
      <c r="K2710" s="626">
        <v>1</v>
      </c>
      <c r="L2710" s="638">
        <v>12</v>
      </c>
      <c r="M2710" s="712">
        <v>24000</v>
      </c>
      <c r="N2710" s="638"/>
      <c r="O2710" s="626"/>
      <c r="P2710" s="712">
        <f t="shared" si="24"/>
        <v>0</v>
      </c>
    </row>
    <row r="2711" spans="1:16" s="619" customFormat="1" ht="24" x14ac:dyDescent="0.2">
      <c r="A2711" s="626" t="s">
        <v>6091</v>
      </c>
      <c r="B2711" s="626" t="s">
        <v>1908</v>
      </c>
      <c r="C2711" s="638" t="s">
        <v>104</v>
      </c>
      <c r="D2711" s="626" t="s">
        <v>1965</v>
      </c>
      <c r="E2711" s="636">
        <v>1800</v>
      </c>
      <c r="F2711" s="637" t="s">
        <v>6143</v>
      </c>
      <c r="G2711" s="626" t="s">
        <v>6144</v>
      </c>
      <c r="H2711" s="626" t="s">
        <v>1965</v>
      </c>
      <c r="I2711" s="638" t="s">
        <v>6095</v>
      </c>
      <c r="J2711" s="625" t="s">
        <v>6096</v>
      </c>
      <c r="K2711" s="626">
        <v>1</v>
      </c>
      <c r="L2711" s="638">
        <v>12</v>
      </c>
      <c r="M2711" s="712">
        <v>21600</v>
      </c>
      <c r="N2711" s="638">
        <v>1</v>
      </c>
      <c r="O2711" s="626">
        <v>6</v>
      </c>
      <c r="P2711" s="712">
        <f t="shared" si="24"/>
        <v>10800</v>
      </c>
    </row>
    <row r="2712" spans="1:16" s="619" customFormat="1" ht="36" x14ac:dyDescent="0.2">
      <c r="A2712" s="626" t="s">
        <v>6091</v>
      </c>
      <c r="B2712" s="626" t="s">
        <v>1908</v>
      </c>
      <c r="C2712" s="638" t="s">
        <v>104</v>
      </c>
      <c r="D2712" s="626" t="s">
        <v>3548</v>
      </c>
      <c r="E2712" s="636">
        <v>1013</v>
      </c>
      <c r="F2712" s="637" t="s">
        <v>6145</v>
      </c>
      <c r="G2712" s="626" t="s">
        <v>6146</v>
      </c>
      <c r="H2712" s="626"/>
      <c r="I2712" s="638" t="s">
        <v>1919</v>
      </c>
      <c r="J2712" s="625" t="s">
        <v>6128</v>
      </c>
      <c r="K2712" s="626">
        <v>1</v>
      </c>
      <c r="L2712" s="638">
        <v>12</v>
      </c>
      <c r="M2712" s="712">
        <v>12156</v>
      </c>
      <c r="N2712" s="638">
        <v>1</v>
      </c>
      <c r="O2712" s="626">
        <v>6</v>
      </c>
      <c r="P2712" s="712">
        <f t="shared" si="24"/>
        <v>6078</v>
      </c>
    </row>
    <row r="2713" spans="1:16" s="619" customFormat="1" ht="36" x14ac:dyDescent="0.2">
      <c r="A2713" s="626" t="s">
        <v>6091</v>
      </c>
      <c r="B2713" s="626" t="s">
        <v>1908</v>
      </c>
      <c r="C2713" s="638" t="s">
        <v>104</v>
      </c>
      <c r="D2713" s="626" t="s">
        <v>3545</v>
      </c>
      <c r="E2713" s="636">
        <v>1200</v>
      </c>
      <c r="F2713" s="637" t="s">
        <v>6147</v>
      </c>
      <c r="G2713" s="626" t="s">
        <v>6148</v>
      </c>
      <c r="H2713" s="626" t="s">
        <v>3545</v>
      </c>
      <c r="I2713" s="638" t="s">
        <v>6099</v>
      </c>
      <c r="J2713" s="625" t="s">
        <v>6100</v>
      </c>
      <c r="K2713" s="626">
        <v>1</v>
      </c>
      <c r="L2713" s="638">
        <v>12</v>
      </c>
      <c r="M2713" s="712">
        <v>14400</v>
      </c>
      <c r="N2713" s="638">
        <v>1</v>
      </c>
      <c r="O2713" s="626">
        <v>6</v>
      </c>
      <c r="P2713" s="712">
        <f t="shared" si="24"/>
        <v>7200</v>
      </c>
    </row>
    <row r="2714" spans="1:16" s="619" customFormat="1" ht="36" x14ac:dyDescent="0.2">
      <c r="A2714" s="626" t="s">
        <v>6091</v>
      </c>
      <c r="B2714" s="626" t="s">
        <v>1908</v>
      </c>
      <c r="C2714" s="638" t="s">
        <v>104</v>
      </c>
      <c r="D2714" s="626" t="s">
        <v>6149</v>
      </c>
      <c r="E2714" s="636">
        <v>2000</v>
      </c>
      <c r="F2714" s="637" t="s">
        <v>6150</v>
      </c>
      <c r="G2714" s="626" t="s">
        <v>6151</v>
      </c>
      <c r="H2714" s="626" t="s">
        <v>6152</v>
      </c>
      <c r="I2714" s="638" t="s">
        <v>6095</v>
      </c>
      <c r="J2714" s="625" t="s">
        <v>6096</v>
      </c>
      <c r="K2714" s="626">
        <v>1</v>
      </c>
      <c r="L2714" s="638">
        <v>12</v>
      </c>
      <c r="M2714" s="712">
        <v>24000</v>
      </c>
      <c r="N2714" s="638">
        <v>1</v>
      </c>
      <c r="O2714" s="626">
        <v>6</v>
      </c>
      <c r="P2714" s="712">
        <f t="shared" si="24"/>
        <v>12000</v>
      </c>
    </row>
    <row r="2715" spans="1:16" s="619" customFormat="1" ht="48" x14ac:dyDescent="0.2">
      <c r="A2715" s="626" t="s">
        <v>6091</v>
      </c>
      <c r="B2715" s="626" t="s">
        <v>1908</v>
      </c>
      <c r="C2715" s="638" t="s">
        <v>104</v>
      </c>
      <c r="D2715" s="626" t="s">
        <v>6153</v>
      </c>
      <c r="E2715" s="636">
        <v>1200</v>
      </c>
      <c r="F2715" s="637" t="s">
        <v>6154</v>
      </c>
      <c r="G2715" s="626" t="s">
        <v>6155</v>
      </c>
      <c r="H2715" s="626" t="s">
        <v>6123</v>
      </c>
      <c r="I2715" s="638" t="s">
        <v>6099</v>
      </c>
      <c r="J2715" s="625" t="s">
        <v>6100</v>
      </c>
      <c r="K2715" s="626">
        <v>1</v>
      </c>
      <c r="L2715" s="638">
        <v>12</v>
      </c>
      <c r="M2715" s="712">
        <v>14400</v>
      </c>
      <c r="N2715" s="638">
        <v>1</v>
      </c>
      <c r="O2715" s="626">
        <v>6</v>
      </c>
      <c r="P2715" s="712">
        <f t="shared" si="24"/>
        <v>7200</v>
      </c>
    </row>
    <row r="2716" spans="1:16" s="619" customFormat="1" ht="48" x14ac:dyDescent="0.2">
      <c r="A2716" s="626" t="s">
        <v>6091</v>
      </c>
      <c r="B2716" s="626" t="s">
        <v>1908</v>
      </c>
      <c r="C2716" s="638" t="s">
        <v>104</v>
      </c>
      <c r="D2716" s="626" t="s">
        <v>6114</v>
      </c>
      <c r="E2716" s="636">
        <v>1200</v>
      </c>
      <c r="F2716" s="637" t="s">
        <v>6156</v>
      </c>
      <c r="G2716" s="626" t="s">
        <v>6157</v>
      </c>
      <c r="H2716" s="626" t="s">
        <v>6123</v>
      </c>
      <c r="I2716" s="638" t="s">
        <v>6099</v>
      </c>
      <c r="J2716" s="625" t="s">
        <v>6100</v>
      </c>
      <c r="K2716" s="626">
        <v>1</v>
      </c>
      <c r="L2716" s="638">
        <v>4</v>
      </c>
      <c r="M2716" s="712">
        <v>4800</v>
      </c>
      <c r="N2716" s="638">
        <v>1</v>
      </c>
      <c r="O2716" s="626">
        <v>1</v>
      </c>
      <c r="P2716" s="712">
        <f t="shared" si="24"/>
        <v>1200</v>
      </c>
    </row>
    <row r="2717" spans="1:16" s="619" customFormat="1" ht="36" x14ac:dyDescent="0.2">
      <c r="A2717" s="626" t="s">
        <v>6091</v>
      </c>
      <c r="B2717" s="626" t="s">
        <v>1908</v>
      </c>
      <c r="C2717" s="638" t="s">
        <v>104</v>
      </c>
      <c r="D2717" s="626" t="s">
        <v>6158</v>
      </c>
      <c r="E2717" s="636">
        <v>900</v>
      </c>
      <c r="F2717" s="637" t="s">
        <v>6159</v>
      </c>
      <c r="G2717" s="626" t="s">
        <v>6160</v>
      </c>
      <c r="H2717" s="626"/>
      <c r="I2717" s="638" t="s">
        <v>1919</v>
      </c>
      <c r="J2717" s="625" t="s">
        <v>6128</v>
      </c>
      <c r="K2717" s="626">
        <v>1</v>
      </c>
      <c r="L2717" s="638">
        <v>12</v>
      </c>
      <c r="M2717" s="712">
        <v>10800</v>
      </c>
      <c r="N2717" s="638">
        <v>1</v>
      </c>
      <c r="O2717" s="626">
        <v>6</v>
      </c>
      <c r="P2717" s="712">
        <f t="shared" si="24"/>
        <v>5400</v>
      </c>
    </row>
    <row r="2718" spans="1:16" s="619" customFormat="1" ht="24" x14ac:dyDescent="0.2">
      <c r="A2718" s="626" t="s">
        <v>6091</v>
      </c>
      <c r="B2718" s="626" t="s">
        <v>1908</v>
      </c>
      <c r="C2718" s="638" t="s">
        <v>104</v>
      </c>
      <c r="D2718" s="626" t="s">
        <v>6158</v>
      </c>
      <c r="E2718" s="636">
        <v>900</v>
      </c>
      <c r="F2718" s="637" t="s">
        <v>6161</v>
      </c>
      <c r="G2718" s="626" t="s">
        <v>6162</v>
      </c>
      <c r="H2718" s="626"/>
      <c r="I2718" s="638" t="s">
        <v>1919</v>
      </c>
      <c r="J2718" s="625" t="s">
        <v>6128</v>
      </c>
      <c r="K2718" s="626">
        <v>1</v>
      </c>
      <c r="L2718" s="638">
        <v>12</v>
      </c>
      <c r="M2718" s="712">
        <v>10800</v>
      </c>
      <c r="N2718" s="638">
        <v>1</v>
      </c>
      <c r="O2718" s="626">
        <v>6</v>
      </c>
      <c r="P2718" s="712">
        <f t="shared" si="24"/>
        <v>5400</v>
      </c>
    </row>
    <row r="2719" spans="1:16" s="619" customFormat="1" ht="36" x14ac:dyDescent="0.2">
      <c r="A2719" s="626" t="s">
        <v>6091</v>
      </c>
      <c r="B2719" s="626" t="s">
        <v>1908</v>
      </c>
      <c r="C2719" s="638" t="s">
        <v>104</v>
      </c>
      <c r="D2719" s="626" t="s">
        <v>2087</v>
      </c>
      <c r="E2719" s="636">
        <v>1600</v>
      </c>
      <c r="F2719" s="637" t="s">
        <v>6163</v>
      </c>
      <c r="G2719" s="626" t="s">
        <v>6164</v>
      </c>
      <c r="H2719" s="626" t="s">
        <v>1965</v>
      </c>
      <c r="I2719" s="638" t="s">
        <v>6095</v>
      </c>
      <c r="J2719" s="625" t="s">
        <v>6096</v>
      </c>
      <c r="K2719" s="626">
        <v>1</v>
      </c>
      <c r="L2719" s="638">
        <v>12</v>
      </c>
      <c r="M2719" s="712">
        <v>19200</v>
      </c>
      <c r="N2719" s="638">
        <v>1</v>
      </c>
      <c r="O2719" s="626">
        <v>6</v>
      </c>
      <c r="P2719" s="712">
        <f t="shared" si="24"/>
        <v>9600</v>
      </c>
    </row>
    <row r="2720" spans="1:16" s="619" customFormat="1" ht="48" x14ac:dyDescent="0.2">
      <c r="A2720" s="626" t="s">
        <v>6091</v>
      </c>
      <c r="B2720" s="626" t="s">
        <v>1908</v>
      </c>
      <c r="C2720" s="638" t="s">
        <v>104</v>
      </c>
      <c r="D2720" s="626" t="s">
        <v>6153</v>
      </c>
      <c r="E2720" s="636">
        <v>1000</v>
      </c>
      <c r="F2720" s="637" t="s">
        <v>6165</v>
      </c>
      <c r="G2720" s="626" t="s">
        <v>6166</v>
      </c>
      <c r="H2720" s="626" t="s">
        <v>6123</v>
      </c>
      <c r="I2720" s="638" t="s">
        <v>6099</v>
      </c>
      <c r="J2720" s="625" t="s">
        <v>6100</v>
      </c>
      <c r="K2720" s="626">
        <v>1</v>
      </c>
      <c r="L2720" s="638">
        <v>12</v>
      </c>
      <c r="M2720" s="712">
        <v>12000</v>
      </c>
      <c r="N2720" s="638">
        <v>1</v>
      </c>
      <c r="O2720" s="626">
        <v>6</v>
      </c>
      <c r="P2720" s="712">
        <f t="shared" si="24"/>
        <v>6000</v>
      </c>
    </row>
    <row r="2721" spans="1:16" s="619" customFormat="1" ht="24" x14ac:dyDescent="0.2">
      <c r="A2721" s="626" t="s">
        <v>6091</v>
      </c>
      <c r="B2721" s="626" t="s">
        <v>1908</v>
      </c>
      <c r="C2721" s="638" t="s">
        <v>104</v>
      </c>
      <c r="D2721" s="626" t="s">
        <v>6149</v>
      </c>
      <c r="E2721" s="636">
        <v>2000</v>
      </c>
      <c r="F2721" s="637" t="s">
        <v>6167</v>
      </c>
      <c r="G2721" s="626" t="s">
        <v>6168</v>
      </c>
      <c r="H2721" s="626" t="s">
        <v>6152</v>
      </c>
      <c r="I2721" s="638" t="s">
        <v>6095</v>
      </c>
      <c r="J2721" s="625" t="s">
        <v>6096</v>
      </c>
      <c r="K2721" s="626">
        <v>1</v>
      </c>
      <c r="L2721" s="638">
        <v>12</v>
      </c>
      <c r="M2721" s="712">
        <v>24000</v>
      </c>
      <c r="N2721" s="638">
        <v>1</v>
      </c>
      <c r="O2721" s="626">
        <v>6</v>
      </c>
      <c r="P2721" s="712">
        <f t="shared" si="24"/>
        <v>12000</v>
      </c>
    </row>
    <row r="2722" spans="1:16" s="619" customFormat="1" ht="24" x14ac:dyDescent="0.2">
      <c r="A2722" s="626" t="s">
        <v>6091</v>
      </c>
      <c r="B2722" s="626" t="s">
        <v>1908</v>
      </c>
      <c r="C2722" s="638" t="s">
        <v>104</v>
      </c>
      <c r="D2722" s="626" t="s">
        <v>6092</v>
      </c>
      <c r="E2722" s="636">
        <v>2000</v>
      </c>
      <c r="F2722" s="637" t="s">
        <v>6169</v>
      </c>
      <c r="G2722" s="626" t="s">
        <v>6170</v>
      </c>
      <c r="H2722" s="626" t="s">
        <v>6092</v>
      </c>
      <c r="I2722" s="638" t="s">
        <v>6095</v>
      </c>
      <c r="J2722" s="625" t="s">
        <v>6096</v>
      </c>
      <c r="K2722" s="626">
        <v>1</v>
      </c>
      <c r="L2722" s="638">
        <v>12</v>
      </c>
      <c r="M2722" s="712">
        <v>24000</v>
      </c>
      <c r="N2722" s="638">
        <v>1</v>
      </c>
      <c r="O2722" s="626">
        <v>6</v>
      </c>
      <c r="P2722" s="712">
        <f t="shared" si="24"/>
        <v>12000</v>
      </c>
    </row>
    <row r="2723" spans="1:16" s="619" customFormat="1" ht="48" x14ac:dyDescent="0.2">
      <c r="A2723" s="626" t="s">
        <v>6091</v>
      </c>
      <c r="B2723" s="626" t="s">
        <v>1908</v>
      </c>
      <c r="C2723" s="638" t="s">
        <v>104</v>
      </c>
      <c r="D2723" s="626" t="s">
        <v>6120</v>
      </c>
      <c r="E2723" s="636">
        <v>1000</v>
      </c>
      <c r="F2723" s="637" t="s">
        <v>6171</v>
      </c>
      <c r="G2723" s="626" t="s">
        <v>6172</v>
      </c>
      <c r="H2723" s="626" t="s">
        <v>6123</v>
      </c>
      <c r="I2723" s="638" t="s">
        <v>6099</v>
      </c>
      <c r="J2723" s="625" t="s">
        <v>6100</v>
      </c>
      <c r="K2723" s="626">
        <v>1</v>
      </c>
      <c r="L2723" s="638">
        <v>12</v>
      </c>
      <c r="M2723" s="712">
        <v>12000</v>
      </c>
      <c r="N2723" s="638">
        <v>1</v>
      </c>
      <c r="O2723" s="626">
        <v>6</v>
      </c>
      <c r="P2723" s="712">
        <f t="shared" si="24"/>
        <v>6000</v>
      </c>
    </row>
    <row r="2724" spans="1:16" s="619" customFormat="1" ht="36" x14ac:dyDescent="0.2">
      <c r="A2724" s="626" t="s">
        <v>6091</v>
      </c>
      <c r="B2724" s="626" t="s">
        <v>1908</v>
      </c>
      <c r="C2724" s="638" t="s">
        <v>104</v>
      </c>
      <c r="D2724" s="626" t="s">
        <v>3545</v>
      </c>
      <c r="E2724" s="636">
        <v>1200</v>
      </c>
      <c r="F2724" s="637" t="s">
        <v>6173</v>
      </c>
      <c r="G2724" s="626" t="s">
        <v>6174</v>
      </c>
      <c r="H2724" s="626" t="s">
        <v>4589</v>
      </c>
      <c r="I2724" s="638" t="s">
        <v>6099</v>
      </c>
      <c r="J2724" s="625" t="s">
        <v>6100</v>
      </c>
      <c r="K2724" s="626">
        <v>1</v>
      </c>
      <c r="L2724" s="638">
        <v>12</v>
      </c>
      <c r="M2724" s="712">
        <v>14400</v>
      </c>
      <c r="N2724" s="638">
        <v>1</v>
      </c>
      <c r="O2724" s="626">
        <v>6</v>
      </c>
      <c r="P2724" s="712">
        <f t="shared" si="24"/>
        <v>7200</v>
      </c>
    </row>
    <row r="2725" spans="1:16" s="619" customFormat="1" ht="48" x14ac:dyDescent="0.2">
      <c r="A2725" s="626" t="s">
        <v>6091</v>
      </c>
      <c r="B2725" s="626" t="s">
        <v>1908</v>
      </c>
      <c r="C2725" s="638" t="s">
        <v>104</v>
      </c>
      <c r="D2725" s="626" t="s">
        <v>6153</v>
      </c>
      <c r="E2725" s="636">
        <v>1000</v>
      </c>
      <c r="F2725" s="637" t="s">
        <v>6175</v>
      </c>
      <c r="G2725" s="626" t="s">
        <v>6176</v>
      </c>
      <c r="H2725" s="626" t="s">
        <v>6123</v>
      </c>
      <c r="I2725" s="638" t="s">
        <v>6099</v>
      </c>
      <c r="J2725" s="625" t="s">
        <v>6100</v>
      </c>
      <c r="K2725" s="626">
        <v>1</v>
      </c>
      <c r="L2725" s="638">
        <v>12</v>
      </c>
      <c r="M2725" s="712">
        <v>12000</v>
      </c>
      <c r="N2725" s="638">
        <v>1</v>
      </c>
      <c r="O2725" s="626">
        <v>5</v>
      </c>
      <c r="P2725" s="712">
        <f t="shared" si="24"/>
        <v>5000</v>
      </c>
    </row>
    <row r="2726" spans="1:16" s="619" customFormat="1" ht="36" x14ac:dyDescent="0.2">
      <c r="A2726" s="626" t="s">
        <v>6091</v>
      </c>
      <c r="B2726" s="626" t="s">
        <v>1908</v>
      </c>
      <c r="C2726" s="638" t="s">
        <v>104</v>
      </c>
      <c r="D2726" s="626" t="s">
        <v>2660</v>
      </c>
      <c r="E2726" s="636">
        <v>1000</v>
      </c>
      <c r="F2726" s="637" t="s">
        <v>6177</v>
      </c>
      <c r="G2726" s="626" t="s">
        <v>6178</v>
      </c>
      <c r="H2726" s="626" t="s">
        <v>2660</v>
      </c>
      <c r="I2726" s="638" t="s">
        <v>6099</v>
      </c>
      <c r="J2726" s="625" t="s">
        <v>6100</v>
      </c>
      <c r="K2726" s="626">
        <v>1</v>
      </c>
      <c r="L2726" s="638">
        <v>12</v>
      </c>
      <c r="M2726" s="712">
        <v>12000</v>
      </c>
      <c r="N2726" s="638">
        <v>1</v>
      </c>
      <c r="O2726" s="626">
        <v>6</v>
      </c>
      <c r="P2726" s="712">
        <f t="shared" si="24"/>
        <v>6000</v>
      </c>
    </row>
    <row r="2727" spans="1:16" s="619" customFormat="1" ht="24" x14ac:dyDescent="0.2">
      <c r="A2727" s="626" t="s">
        <v>6091</v>
      </c>
      <c r="B2727" s="626" t="s">
        <v>1908</v>
      </c>
      <c r="C2727" s="638" t="s">
        <v>104</v>
      </c>
      <c r="D2727" s="626" t="s">
        <v>6179</v>
      </c>
      <c r="E2727" s="636">
        <v>4000</v>
      </c>
      <c r="F2727" s="637" t="s">
        <v>6180</v>
      </c>
      <c r="G2727" s="626" t="s">
        <v>6181</v>
      </c>
      <c r="H2727" s="626" t="s">
        <v>6182</v>
      </c>
      <c r="I2727" s="638" t="s">
        <v>6095</v>
      </c>
      <c r="J2727" s="625" t="s">
        <v>6096</v>
      </c>
      <c r="K2727" s="626">
        <v>1</v>
      </c>
      <c r="L2727" s="638">
        <v>5</v>
      </c>
      <c r="M2727" s="712">
        <v>20000</v>
      </c>
      <c r="N2727" s="638"/>
      <c r="O2727" s="626"/>
      <c r="P2727" s="712">
        <f t="shared" si="24"/>
        <v>0</v>
      </c>
    </row>
    <row r="2728" spans="1:16" s="619" customFormat="1" ht="48" x14ac:dyDescent="0.2">
      <c r="A2728" s="626" t="s">
        <v>6091</v>
      </c>
      <c r="B2728" s="626" t="s">
        <v>1908</v>
      </c>
      <c r="C2728" s="638" t="s">
        <v>104</v>
      </c>
      <c r="D2728" s="626" t="s">
        <v>6179</v>
      </c>
      <c r="E2728" s="636">
        <v>4000</v>
      </c>
      <c r="F2728" s="637" t="s">
        <v>6183</v>
      </c>
      <c r="G2728" s="626" t="s">
        <v>6184</v>
      </c>
      <c r="H2728" s="626" t="s">
        <v>6182</v>
      </c>
      <c r="I2728" s="638" t="s">
        <v>6095</v>
      </c>
      <c r="J2728" s="625" t="s">
        <v>6096</v>
      </c>
      <c r="K2728" s="626">
        <v>1</v>
      </c>
      <c r="L2728" s="638">
        <v>1</v>
      </c>
      <c r="M2728" s="712">
        <v>4000</v>
      </c>
      <c r="N2728" s="638"/>
      <c r="O2728" s="626"/>
      <c r="P2728" s="712">
        <f t="shared" si="24"/>
        <v>0</v>
      </c>
    </row>
    <row r="2729" spans="1:16" s="619" customFormat="1" ht="36" x14ac:dyDescent="0.2">
      <c r="A2729" s="626" t="s">
        <v>6091</v>
      </c>
      <c r="B2729" s="626" t="s">
        <v>1908</v>
      </c>
      <c r="C2729" s="638" t="s">
        <v>104</v>
      </c>
      <c r="D2729" s="626" t="s">
        <v>2660</v>
      </c>
      <c r="E2729" s="636">
        <v>1400</v>
      </c>
      <c r="F2729" s="637" t="s">
        <v>6185</v>
      </c>
      <c r="G2729" s="626" t="s">
        <v>6186</v>
      </c>
      <c r="H2729" s="626" t="s">
        <v>2660</v>
      </c>
      <c r="I2729" s="638" t="s">
        <v>6099</v>
      </c>
      <c r="J2729" s="625" t="s">
        <v>6100</v>
      </c>
      <c r="K2729" s="626">
        <v>1</v>
      </c>
      <c r="L2729" s="638">
        <v>9</v>
      </c>
      <c r="M2729" s="712">
        <v>12600</v>
      </c>
      <c r="N2729" s="638">
        <v>1</v>
      </c>
      <c r="O2729" s="626">
        <v>6</v>
      </c>
      <c r="P2729" s="712">
        <f t="shared" si="24"/>
        <v>8400</v>
      </c>
    </row>
    <row r="2730" spans="1:16" s="619" customFormat="1" ht="36" x14ac:dyDescent="0.2">
      <c r="A2730" s="626" t="s">
        <v>6091</v>
      </c>
      <c r="B2730" s="626" t="s">
        <v>1908</v>
      </c>
      <c r="C2730" s="638" t="s">
        <v>104</v>
      </c>
      <c r="D2730" s="626" t="s">
        <v>6187</v>
      </c>
      <c r="E2730" s="636">
        <v>1000</v>
      </c>
      <c r="F2730" s="637" t="s">
        <v>6188</v>
      </c>
      <c r="G2730" s="626" t="s">
        <v>6189</v>
      </c>
      <c r="H2730" s="626" t="s">
        <v>2660</v>
      </c>
      <c r="I2730" s="638" t="s">
        <v>6099</v>
      </c>
      <c r="J2730" s="625" t="s">
        <v>6100</v>
      </c>
      <c r="K2730" s="626">
        <v>1</v>
      </c>
      <c r="L2730" s="638">
        <v>12</v>
      </c>
      <c r="M2730" s="712">
        <v>12000</v>
      </c>
      <c r="N2730" s="638">
        <v>1</v>
      </c>
      <c r="O2730" s="626">
        <v>6</v>
      </c>
      <c r="P2730" s="712">
        <f t="shared" si="24"/>
        <v>6000</v>
      </c>
    </row>
    <row r="2731" spans="1:16" s="619" customFormat="1" ht="24" x14ac:dyDescent="0.2">
      <c r="A2731" s="626" t="s">
        <v>6091</v>
      </c>
      <c r="B2731" s="626" t="s">
        <v>1908</v>
      </c>
      <c r="C2731" s="638" t="s">
        <v>104</v>
      </c>
      <c r="D2731" s="626" t="s">
        <v>3548</v>
      </c>
      <c r="E2731" s="636">
        <v>1000</v>
      </c>
      <c r="F2731" s="637" t="s">
        <v>6190</v>
      </c>
      <c r="G2731" s="626" t="s">
        <v>6191</v>
      </c>
      <c r="H2731" s="626"/>
      <c r="I2731" s="638" t="s">
        <v>1919</v>
      </c>
      <c r="J2731" s="625" t="s">
        <v>6128</v>
      </c>
      <c r="K2731" s="626">
        <v>1</v>
      </c>
      <c r="L2731" s="638">
        <v>12</v>
      </c>
      <c r="M2731" s="712">
        <v>12000</v>
      </c>
      <c r="N2731" s="638">
        <v>1</v>
      </c>
      <c r="O2731" s="626">
        <v>6</v>
      </c>
      <c r="P2731" s="712">
        <f t="shared" si="24"/>
        <v>6000</v>
      </c>
    </row>
    <row r="2732" spans="1:16" s="619" customFormat="1" ht="36" x14ac:dyDescent="0.2">
      <c r="A2732" s="626" t="s">
        <v>6091</v>
      </c>
      <c r="B2732" s="626" t="s">
        <v>1908</v>
      </c>
      <c r="C2732" s="638" t="s">
        <v>104</v>
      </c>
      <c r="D2732" s="626" t="s">
        <v>6101</v>
      </c>
      <c r="E2732" s="636">
        <v>2000</v>
      </c>
      <c r="F2732" s="637" t="s">
        <v>6192</v>
      </c>
      <c r="G2732" s="626" t="s">
        <v>6193</v>
      </c>
      <c r="H2732" s="626" t="s">
        <v>6101</v>
      </c>
      <c r="I2732" s="638" t="s">
        <v>6095</v>
      </c>
      <c r="J2732" s="625" t="s">
        <v>6096</v>
      </c>
      <c r="K2732" s="626">
        <v>1</v>
      </c>
      <c r="L2732" s="638">
        <v>12</v>
      </c>
      <c r="M2732" s="712">
        <v>24000</v>
      </c>
      <c r="N2732" s="638">
        <v>1</v>
      </c>
      <c r="O2732" s="626">
        <v>6</v>
      </c>
      <c r="P2732" s="712">
        <f t="shared" si="24"/>
        <v>12000</v>
      </c>
    </row>
    <row r="2733" spans="1:16" s="619" customFormat="1" ht="24" x14ac:dyDescent="0.2">
      <c r="A2733" s="626" t="s">
        <v>6091</v>
      </c>
      <c r="B2733" s="626" t="s">
        <v>1908</v>
      </c>
      <c r="C2733" s="638" t="s">
        <v>104</v>
      </c>
      <c r="D2733" s="626" t="s">
        <v>6092</v>
      </c>
      <c r="E2733" s="636">
        <v>2300</v>
      </c>
      <c r="F2733" s="637" t="s">
        <v>6194</v>
      </c>
      <c r="G2733" s="626" t="s">
        <v>6195</v>
      </c>
      <c r="H2733" s="626" t="s">
        <v>6092</v>
      </c>
      <c r="I2733" s="638" t="s">
        <v>6095</v>
      </c>
      <c r="J2733" s="625" t="s">
        <v>6096</v>
      </c>
      <c r="K2733" s="626">
        <v>1</v>
      </c>
      <c r="L2733" s="638">
        <v>2</v>
      </c>
      <c r="M2733" s="712">
        <v>4600</v>
      </c>
      <c r="N2733" s="638"/>
      <c r="O2733" s="626"/>
      <c r="P2733" s="712">
        <f t="shared" si="24"/>
        <v>0</v>
      </c>
    </row>
    <row r="2734" spans="1:16" s="619" customFormat="1" ht="36" x14ac:dyDescent="0.2">
      <c r="A2734" s="626" t="s">
        <v>6091</v>
      </c>
      <c r="B2734" s="626" t="s">
        <v>1908</v>
      </c>
      <c r="C2734" s="638" t="s">
        <v>104</v>
      </c>
      <c r="D2734" s="626" t="s">
        <v>6092</v>
      </c>
      <c r="E2734" s="636">
        <v>3000</v>
      </c>
      <c r="F2734" s="637" t="s">
        <v>6196</v>
      </c>
      <c r="G2734" s="626" t="s">
        <v>6197</v>
      </c>
      <c r="H2734" s="626" t="s">
        <v>6092</v>
      </c>
      <c r="I2734" s="638" t="s">
        <v>6095</v>
      </c>
      <c r="J2734" s="625" t="s">
        <v>6096</v>
      </c>
      <c r="K2734" s="626">
        <v>1</v>
      </c>
      <c r="L2734" s="638">
        <v>12</v>
      </c>
      <c r="M2734" s="712">
        <v>36000</v>
      </c>
      <c r="N2734" s="638">
        <v>1</v>
      </c>
      <c r="O2734" s="626">
        <v>6</v>
      </c>
      <c r="P2734" s="712">
        <f t="shared" si="24"/>
        <v>18000</v>
      </c>
    </row>
    <row r="2735" spans="1:16" s="619" customFormat="1" ht="36" x14ac:dyDescent="0.2">
      <c r="A2735" s="626" t="s">
        <v>6091</v>
      </c>
      <c r="B2735" s="626" t="s">
        <v>1908</v>
      </c>
      <c r="C2735" s="638" t="s">
        <v>104</v>
      </c>
      <c r="D2735" s="626" t="s">
        <v>6198</v>
      </c>
      <c r="E2735" s="636">
        <v>3300</v>
      </c>
      <c r="F2735" s="637" t="s">
        <v>6199</v>
      </c>
      <c r="G2735" s="626" t="s">
        <v>6200</v>
      </c>
      <c r="H2735" s="626" t="s">
        <v>6198</v>
      </c>
      <c r="I2735" s="638" t="s">
        <v>6095</v>
      </c>
      <c r="J2735" s="625" t="s">
        <v>6096</v>
      </c>
      <c r="K2735" s="626">
        <v>1</v>
      </c>
      <c r="L2735" s="638">
        <v>12</v>
      </c>
      <c r="M2735" s="712">
        <v>39600</v>
      </c>
      <c r="N2735" s="638">
        <v>1</v>
      </c>
      <c r="O2735" s="626">
        <v>6</v>
      </c>
      <c r="P2735" s="712">
        <f t="shared" si="24"/>
        <v>19800</v>
      </c>
    </row>
    <row r="2736" spans="1:16" s="619" customFormat="1" ht="36" x14ac:dyDescent="0.2">
      <c r="A2736" s="626" t="s">
        <v>6091</v>
      </c>
      <c r="B2736" s="626" t="s">
        <v>1908</v>
      </c>
      <c r="C2736" s="638" t="s">
        <v>104</v>
      </c>
      <c r="D2736" s="626" t="s">
        <v>2660</v>
      </c>
      <c r="E2736" s="636">
        <v>1200</v>
      </c>
      <c r="F2736" s="637" t="s">
        <v>6201</v>
      </c>
      <c r="G2736" s="626" t="s">
        <v>6202</v>
      </c>
      <c r="H2736" s="626" t="s">
        <v>2660</v>
      </c>
      <c r="I2736" s="638" t="s">
        <v>6099</v>
      </c>
      <c r="J2736" s="625" t="s">
        <v>6100</v>
      </c>
      <c r="K2736" s="626">
        <v>1</v>
      </c>
      <c r="L2736" s="638">
        <v>12</v>
      </c>
      <c r="M2736" s="712">
        <v>14400</v>
      </c>
      <c r="N2736" s="638">
        <v>1</v>
      </c>
      <c r="O2736" s="626">
        <v>4</v>
      </c>
      <c r="P2736" s="712">
        <f t="shared" si="24"/>
        <v>4800</v>
      </c>
    </row>
    <row r="2737" spans="1:16" s="619" customFormat="1" ht="24" x14ac:dyDescent="0.2">
      <c r="A2737" s="626" t="s">
        <v>6091</v>
      </c>
      <c r="B2737" s="626" t="s">
        <v>1908</v>
      </c>
      <c r="C2737" s="638" t="s">
        <v>104</v>
      </c>
      <c r="D2737" s="626" t="s">
        <v>6101</v>
      </c>
      <c r="E2737" s="636">
        <v>2000</v>
      </c>
      <c r="F2737" s="637" t="s">
        <v>6203</v>
      </c>
      <c r="G2737" s="626" t="s">
        <v>6204</v>
      </c>
      <c r="H2737" s="626" t="s">
        <v>6101</v>
      </c>
      <c r="I2737" s="638" t="s">
        <v>6095</v>
      </c>
      <c r="J2737" s="625" t="s">
        <v>6096</v>
      </c>
      <c r="K2737" s="626">
        <v>1</v>
      </c>
      <c r="L2737" s="638">
        <v>12</v>
      </c>
      <c r="M2737" s="712">
        <v>24000</v>
      </c>
      <c r="N2737" s="638">
        <v>1</v>
      </c>
      <c r="O2737" s="626">
        <v>6</v>
      </c>
      <c r="P2737" s="712">
        <f t="shared" si="24"/>
        <v>12000</v>
      </c>
    </row>
    <row r="2738" spans="1:16" s="619" customFormat="1" ht="36" x14ac:dyDescent="0.2">
      <c r="A2738" s="626" t="s">
        <v>6091</v>
      </c>
      <c r="B2738" s="626" t="s">
        <v>1908</v>
      </c>
      <c r="C2738" s="638" t="s">
        <v>104</v>
      </c>
      <c r="D2738" s="626" t="s">
        <v>6198</v>
      </c>
      <c r="E2738" s="636">
        <v>2000</v>
      </c>
      <c r="F2738" s="637" t="s">
        <v>6205</v>
      </c>
      <c r="G2738" s="626" t="s">
        <v>6206</v>
      </c>
      <c r="H2738" s="626" t="s">
        <v>6198</v>
      </c>
      <c r="I2738" s="638" t="s">
        <v>6095</v>
      </c>
      <c r="J2738" s="625" t="s">
        <v>6096</v>
      </c>
      <c r="K2738" s="626">
        <v>1</v>
      </c>
      <c r="L2738" s="638">
        <v>12</v>
      </c>
      <c r="M2738" s="712">
        <v>24000</v>
      </c>
      <c r="N2738" s="638">
        <v>1</v>
      </c>
      <c r="O2738" s="626">
        <v>6</v>
      </c>
      <c r="P2738" s="712">
        <f t="shared" si="24"/>
        <v>12000</v>
      </c>
    </row>
    <row r="2739" spans="1:16" s="619" customFormat="1" ht="24" x14ac:dyDescent="0.2">
      <c r="A2739" s="626" t="s">
        <v>6091</v>
      </c>
      <c r="B2739" s="626" t="s">
        <v>1908</v>
      </c>
      <c r="C2739" s="638" t="s">
        <v>104</v>
      </c>
      <c r="D2739" s="626" t="s">
        <v>1996</v>
      </c>
      <c r="E2739" s="636">
        <v>1200</v>
      </c>
      <c r="F2739" s="637" t="s">
        <v>6207</v>
      </c>
      <c r="G2739" s="626" t="s">
        <v>6208</v>
      </c>
      <c r="H2739" s="626"/>
      <c r="I2739" s="638" t="s">
        <v>1919</v>
      </c>
      <c r="J2739" s="625" t="s">
        <v>6128</v>
      </c>
      <c r="K2739" s="626">
        <v>1</v>
      </c>
      <c r="L2739" s="638">
        <v>12</v>
      </c>
      <c r="M2739" s="712">
        <v>14400</v>
      </c>
      <c r="N2739" s="638">
        <v>1</v>
      </c>
      <c r="O2739" s="626">
        <v>6</v>
      </c>
      <c r="P2739" s="712">
        <f t="shared" si="24"/>
        <v>7200</v>
      </c>
    </row>
    <row r="2740" spans="1:16" s="619" customFormat="1" ht="48" x14ac:dyDescent="0.2">
      <c r="A2740" s="626" t="s">
        <v>6091</v>
      </c>
      <c r="B2740" s="626" t="s">
        <v>1908</v>
      </c>
      <c r="C2740" s="638" t="s">
        <v>104</v>
      </c>
      <c r="D2740" s="626" t="s">
        <v>6187</v>
      </c>
      <c r="E2740" s="636">
        <v>1000</v>
      </c>
      <c r="F2740" s="637" t="s">
        <v>6209</v>
      </c>
      <c r="G2740" s="626" t="s">
        <v>6210</v>
      </c>
      <c r="H2740" s="626" t="s">
        <v>6123</v>
      </c>
      <c r="I2740" s="638" t="s">
        <v>6099</v>
      </c>
      <c r="J2740" s="625" t="s">
        <v>6100</v>
      </c>
      <c r="K2740" s="626">
        <v>1</v>
      </c>
      <c r="L2740" s="638">
        <v>12</v>
      </c>
      <c r="M2740" s="712">
        <v>12000</v>
      </c>
      <c r="N2740" s="638">
        <v>1</v>
      </c>
      <c r="O2740" s="626">
        <v>6</v>
      </c>
      <c r="P2740" s="712">
        <f t="shared" si="24"/>
        <v>6000</v>
      </c>
    </row>
    <row r="2741" spans="1:16" s="619" customFormat="1" ht="36" x14ac:dyDescent="0.2">
      <c r="A2741" s="626" t="s">
        <v>6091</v>
      </c>
      <c r="B2741" s="626" t="s">
        <v>1908</v>
      </c>
      <c r="C2741" s="638" t="s">
        <v>104</v>
      </c>
      <c r="D2741" s="626" t="s">
        <v>6092</v>
      </c>
      <c r="E2741" s="636">
        <v>2000</v>
      </c>
      <c r="F2741" s="637" t="s">
        <v>6211</v>
      </c>
      <c r="G2741" s="626" t="s">
        <v>6212</v>
      </c>
      <c r="H2741" s="626" t="s">
        <v>6092</v>
      </c>
      <c r="I2741" s="638" t="s">
        <v>6095</v>
      </c>
      <c r="J2741" s="625" t="s">
        <v>6096</v>
      </c>
      <c r="K2741" s="626">
        <v>1</v>
      </c>
      <c r="L2741" s="638">
        <v>12</v>
      </c>
      <c r="M2741" s="712">
        <v>24000</v>
      </c>
      <c r="N2741" s="638">
        <v>1</v>
      </c>
      <c r="O2741" s="626">
        <v>6</v>
      </c>
      <c r="P2741" s="712">
        <f t="shared" si="24"/>
        <v>12000</v>
      </c>
    </row>
    <row r="2742" spans="1:16" s="619" customFormat="1" ht="36" x14ac:dyDescent="0.2">
      <c r="A2742" s="626" t="s">
        <v>6091</v>
      </c>
      <c r="B2742" s="626" t="s">
        <v>1908</v>
      </c>
      <c r="C2742" s="638" t="s">
        <v>104</v>
      </c>
      <c r="D2742" s="626" t="s">
        <v>2660</v>
      </c>
      <c r="E2742" s="636">
        <v>1000</v>
      </c>
      <c r="F2742" s="637" t="s">
        <v>6213</v>
      </c>
      <c r="G2742" s="626" t="s">
        <v>6214</v>
      </c>
      <c r="H2742" s="626" t="s">
        <v>2660</v>
      </c>
      <c r="I2742" s="638" t="s">
        <v>6099</v>
      </c>
      <c r="J2742" s="625" t="s">
        <v>6100</v>
      </c>
      <c r="K2742" s="626">
        <v>1</v>
      </c>
      <c r="L2742" s="638">
        <v>12</v>
      </c>
      <c r="M2742" s="712">
        <v>12000</v>
      </c>
      <c r="N2742" s="638">
        <v>1</v>
      </c>
      <c r="O2742" s="626">
        <v>6</v>
      </c>
      <c r="P2742" s="712">
        <f t="shared" si="24"/>
        <v>6000</v>
      </c>
    </row>
    <row r="2743" spans="1:16" s="619" customFormat="1" ht="36" x14ac:dyDescent="0.2">
      <c r="A2743" s="626" t="s">
        <v>6091</v>
      </c>
      <c r="B2743" s="626" t="s">
        <v>1908</v>
      </c>
      <c r="C2743" s="638" t="s">
        <v>104</v>
      </c>
      <c r="D2743" s="626" t="s">
        <v>6198</v>
      </c>
      <c r="E2743" s="636">
        <v>2000</v>
      </c>
      <c r="F2743" s="637" t="s">
        <v>6215</v>
      </c>
      <c r="G2743" s="626" t="s">
        <v>6216</v>
      </c>
      <c r="H2743" s="626" t="s">
        <v>6198</v>
      </c>
      <c r="I2743" s="638" t="s">
        <v>6095</v>
      </c>
      <c r="J2743" s="625" t="s">
        <v>6096</v>
      </c>
      <c r="K2743" s="626">
        <v>1</v>
      </c>
      <c r="L2743" s="638">
        <v>12</v>
      </c>
      <c r="M2743" s="712">
        <v>24000</v>
      </c>
      <c r="N2743" s="638">
        <v>1</v>
      </c>
      <c r="O2743" s="626">
        <v>6</v>
      </c>
      <c r="P2743" s="712">
        <f t="shared" si="24"/>
        <v>12000</v>
      </c>
    </row>
    <row r="2744" spans="1:16" s="619" customFormat="1" ht="24" x14ac:dyDescent="0.2">
      <c r="A2744" s="626" t="s">
        <v>6091</v>
      </c>
      <c r="B2744" s="626" t="s">
        <v>1908</v>
      </c>
      <c r="C2744" s="638" t="s">
        <v>104</v>
      </c>
      <c r="D2744" s="626" t="s">
        <v>6198</v>
      </c>
      <c r="E2744" s="636">
        <v>2000</v>
      </c>
      <c r="F2744" s="637" t="s">
        <v>6217</v>
      </c>
      <c r="G2744" s="626" t="s">
        <v>6218</v>
      </c>
      <c r="H2744" s="626" t="s">
        <v>6198</v>
      </c>
      <c r="I2744" s="638" t="s">
        <v>6095</v>
      </c>
      <c r="J2744" s="625" t="s">
        <v>6096</v>
      </c>
      <c r="K2744" s="626">
        <v>1</v>
      </c>
      <c r="L2744" s="638">
        <v>12</v>
      </c>
      <c r="M2744" s="712">
        <v>24000</v>
      </c>
      <c r="N2744" s="638">
        <v>1</v>
      </c>
      <c r="O2744" s="626">
        <v>6</v>
      </c>
      <c r="P2744" s="712">
        <f t="shared" si="24"/>
        <v>12000</v>
      </c>
    </row>
    <row r="2745" spans="1:16" s="619" customFormat="1" ht="36" x14ac:dyDescent="0.2">
      <c r="A2745" s="626" t="s">
        <v>6091</v>
      </c>
      <c r="B2745" s="626" t="s">
        <v>1908</v>
      </c>
      <c r="C2745" s="638" t="s">
        <v>104</v>
      </c>
      <c r="D2745" s="626" t="s">
        <v>6187</v>
      </c>
      <c r="E2745" s="636">
        <v>1000</v>
      </c>
      <c r="F2745" s="637" t="s">
        <v>6219</v>
      </c>
      <c r="G2745" s="626" t="s">
        <v>6220</v>
      </c>
      <c r="H2745" s="626" t="s">
        <v>3545</v>
      </c>
      <c r="I2745" s="638" t="s">
        <v>6099</v>
      </c>
      <c r="J2745" s="625" t="s">
        <v>6100</v>
      </c>
      <c r="K2745" s="626">
        <v>1</v>
      </c>
      <c r="L2745" s="638">
        <v>12</v>
      </c>
      <c r="M2745" s="712">
        <v>12000</v>
      </c>
      <c r="N2745" s="638">
        <v>1</v>
      </c>
      <c r="O2745" s="626">
        <v>6</v>
      </c>
      <c r="P2745" s="712">
        <f t="shared" si="24"/>
        <v>6000</v>
      </c>
    </row>
    <row r="2746" spans="1:16" s="619" customFormat="1" ht="48" x14ac:dyDescent="0.2">
      <c r="A2746" s="626" t="s">
        <v>6091</v>
      </c>
      <c r="B2746" s="626" t="s">
        <v>1908</v>
      </c>
      <c r="C2746" s="638" t="s">
        <v>104</v>
      </c>
      <c r="D2746" s="626" t="s">
        <v>2660</v>
      </c>
      <c r="E2746" s="636">
        <v>1000</v>
      </c>
      <c r="F2746" s="637" t="s">
        <v>6221</v>
      </c>
      <c r="G2746" s="626" t="s">
        <v>6222</v>
      </c>
      <c r="H2746" s="626" t="s">
        <v>2660</v>
      </c>
      <c r="I2746" s="638" t="s">
        <v>6099</v>
      </c>
      <c r="J2746" s="625" t="s">
        <v>6100</v>
      </c>
      <c r="K2746" s="626">
        <v>1</v>
      </c>
      <c r="L2746" s="638">
        <v>12</v>
      </c>
      <c r="M2746" s="712">
        <v>12000</v>
      </c>
      <c r="N2746" s="638">
        <v>1</v>
      </c>
      <c r="O2746" s="626">
        <v>6</v>
      </c>
      <c r="P2746" s="712">
        <f t="shared" si="24"/>
        <v>6000</v>
      </c>
    </row>
    <row r="2747" spans="1:16" s="619" customFormat="1" ht="36" x14ac:dyDescent="0.2">
      <c r="A2747" s="626" t="s">
        <v>6091</v>
      </c>
      <c r="B2747" s="626" t="s">
        <v>1908</v>
      </c>
      <c r="C2747" s="638" t="s">
        <v>104</v>
      </c>
      <c r="D2747" s="626" t="s">
        <v>6158</v>
      </c>
      <c r="E2747" s="636">
        <v>1000</v>
      </c>
      <c r="F2747" s="637" t="s">
        <v>6223</v>
      </c>
      <c r="G2747" s="626" t="s">
        <v>6224</v>
      </c>
      <c r="H2747" s="626" t="s">
        <v>2660</v>
      </c>
      <c r="I2747" s="638" t="s">
        <v>6099</v>
      </c>
      <c r="J2747" s="625" t="s">
        <v>6100</v>
      </c>
      <c r="K2747" s="626">
        <v>1</v>
      </c>
      <c r="L2747" s="638">
        <v>12</v>
      </c>
      <c r="M2747" s="712">
        <v>12000</v>
      </c>
      <c r="N2747" s="638">
        <v>1</v>
      </c>
      <c r="O2747" s="626">
        <v>6</v>
      </c>
      <c r="P2747" s="712">
        <f t="shared" si="24"/>
        <v>6000</v>
      </c>
    </row>
    <row r="2748" spans="1:16" s="619" customFormat="1" ht="36" x14ac:dyDescent="0.2">
      <c r="A2748" s="626" t="s">
        <v>6091</v>
      </c>
      <c r="B2748" s="626" t="s">
        <v>1908</v>
      </c>
      <c r="C2748" s="638" t="s">
        <v>104</v>
      </c>
      <c r="D2748" s="626" t="s">
        <v>2660</v>
      </c>
      <c r="E2748" s="636">
        <v>1200</v>
      </c>
      <c r="F2748" s="637" t="s">
        <v>6225</v>
      </c>
      <c r="G2748" s="626" t="s">
        <v>6226</v>
      </c>
      <c r="H2748" s="626" t="s">
        <v>2660</v>
      </c>
      <c r="I2748" s="638" t="s">
        <v>6099</v>
      </c>
      <c r="J2748" s="625" t="s">
        <v>6100</v>
      </c>
      <c r="K2748" s="626">
        <v>1</v>
      </c>
      <c r="L2748" s="638">
        <v>5</v>
      </c>
      <c r="M2748" s="712">
        <v>6000</v>
      </c>
      <c r="N2748" s="638"/>
      <c r="O2748" s="626"/>
      <c r="P2748" s="712">
        <f t="shared" si="24"/>
        <v>0</v>
      </c>
    </row>
    <row r="2749" spans="1:16" s="619" customFormat="1" ht="36" x14ac:dyDescent="0.2">
      <c r="A2749" s="626" t="s">
        <v>6091</v>
      </c>
      <c r="B2749" s="626" t="s">
        <v>1908</v>
      </c>
      <c r="C2749" s="638" t="s">
        <v>104</v>
      </c>
      <c r="D2749" s="626" t="s">
        <v>6227</v>
      </c>
      <c r="E2749" s="636">
        <v>2000</v>
      </c>
      <c r="F2749" s="637" t="s">
        <v>6228</v>
      </c>
      <c r="G2749" s="626" t="s">
        <v>6229</v>
      </c>
      <c r="H2749" s="626" t="s">
        <v>5790</v>
      </c>
      <c r="I2749" s="638" t="s">
        <v>6095</v>
      </c>
      <c r="J2749" s="625" t="s">
        <v>6096</v>
      </c>
      <c r="K2749" s="626">
        <v>1</v>
      </c>
      <c r="L2749" s="638">
        <v>12</v>
      </c>
      <c r="M2749" s="712">
        <v>24000</v>
      </c>
      <c r="N2749" s="638">
        <v>1</v>
      </c>
      <c r="O2749" s="626">
        <v>6</v>
      </c>
      <c r="P2749" s="712">
        <f t="shared" si="24"/>
        <v>12000</v>
      </c>
    </row>
    <row r="2750" spans="1:16" s="619" customFormat="1" ht="24" x14ac:dyDescent="0.2">
      <c r="A2750" s="626" t="s">
        <v>6091</v>
      </c>
      <c r="B2750" s="626" t="s">
        <v>1908</v>
      </c>
      <c r="C2750" s="638" t="s">
        <v>104</v>
      </c>
      <c r="D2750" s="626" t="s">
        <v>6198</v>
      </c>
      <c r="E2750" s="636">
        <v>2000</v>
      </c>
      <c r="F2750" s="637" t="s">
        <v>6230</v>
      </c>
      <c r="G2750" s="626" t="s">
        <v>6231</v>
      </c>
      <c r="H2750" s="626" t="s">
        <v>6198</v>
      </c>
      <c r="I2750" s="638" t="s">
        <v>6095</v>
      </c>
      <c r="J2750" s="625" t="s">
        <v>6096</v>
      </c>
      <c r="K2750" s="626">
        <v>1</v>
      </c>
      <c r="L2750" s="638">
        <v>12</v>
      </c>
      <c r="M2750" s="712">
        <v>24000</v>
      </c>
      <c r="N2750" s="638">
        <v>1</v>
      </c>
      <c r="O2750" s="626">
        <v>6</v>
      </c>
      <c r="P2750" s="712">
        <f t="shared" si="24"/>
        <v>12000</v>
      </c>
    </row>
    <row r="2751" spans="1:16" s="619" customFormat="1" ht="36" x14ac:dyDescent="0.2">
      <c r="A2751" s="626" t="s">
        <v>6091</v>
      </c>
      <c r="B2751" s="626" t="s">
        <v>1908</v>
      </c>
      <c r="C2751" s="638" t="s">
        <v>104</v>
      </c>
      <c r="D2751" s="626" t="s">
        <v>6198</v>
      </c>
      <c r="E2751" s="636">
        <v>2000</v>
      </c>
      <c r="F2751" s="637" t="s">
        <v>6232</v>
      </c>
      <c r="G2751" s="626" t="s">
        <v>6233</v>
      </c>
      <c r="H2751" s="626" t="s">
        <v>6198</v>
      </c>
      <c r="I2751" s="638" t="s">
        <v>6095</v>
      </c>
      <c r="J2751" s="625" t="s">
        <v>6096</v>
      </c>
      <c r="K2751" s="626">
        <v>1</v>
      </c>
      <c r="L2751" s="638">
        <v>12</v>
      </c>
      <c r="M2751" s="712">
        <v>24000</v>
      </c>
      <c r="N2751" s="638">
        <v>1</v>
      </c>
      <c r="O2751" s="626">
        <v>6</v>
      </c>
      <c r="P2751" s="712">
        <f t="shared" si="24"/>
        <v>12000</v>
      </c>
    </row>
    <row r="2752" spans="1:16" s="619" customFormat="1" ht="24" x14ac:dyDescent="0.2">
      <c r="A2752" s="626" t="s">
        <v>6091</v>
      </c>
      <c r="B2752" s="626" t="s">
        <v>1908</v>
      </c>
      <c r="C2752" s="638" t="s">
        <v>104</v>
      </c>
      <c r="D2752" s="626" t="s">
        <v>6092</v>
      </c>
      <c r="E2752" s="636">
        <v>2300</v>
      </c>
      <c r="F2752" s="637" t="s">
        <v>6234</v>
      </c>
      <c r="G2752" s="626" t="s">
        <v>6235</v>
      </c>
      <c r="H2752" s="626" t="s">
        <v>6092</v>
      </c>
      <c r="I2752" s="638" t="s">
        <v>6095</v>
      </c>
      <c r="J2752" s="625" t="s">
        <v>6096</v>
      </c>
      <c r="K2752" s="626">
        <v>1</v>
      </c>
      <c r="L2752" s="638">
        <v>12</v>
      </c>
      <c r="M2752" s="712">
        <v>27600</v>
      </c>
      <c r="N2752" s="638">
        <v>1</v>
      </c>
      <c r="O2752" s="626">
        <v>6</v>
      </c>
      <c r="P2752" s="712">
        <f t="shared" si="24"/>
        <v>13800</v>
      </c>
    </row>
    <row r="2753" spans="1:16" s="619" customFormat="1" ht="36" x14ac:dyDescent="0.2">
      <c r="A2753" s="626" t="s">
        <v>6091</v>
      </c>
      <c r="B2753" s="626" t="s">
        <v>1908</v>
      </c>
      <c r="C2753" s="638" t="s">
        <v>104</v>
      </c>
      <c r="D2753" s="626" t="s">
        <v>1996</v>
      </c>
      <c r="E2753" s="636">
        <v>1000</v>
      </c>
      <c r="F2753" s="637" t="s">
        <v>6236</v>
      </c>
      <c r="G2753" s="626" t="s">
        <v>6237</v>
      </c>
      <c r="H2753" s="626"/>
      <c r="I2753" s="638" t="s">
        <v>4454</v>
      </c>
      <c r="J2753" s="625" t="s">
        <v>6128</v>
      </c>
      <c r="K2753" s="626">
        <v>1</v>
      </c>
      <c r="L2753" s="638">
        <v>12</v>
      </c>
      <c r="M2753" s="712">
        <v>12000</v>
      </c>
      <c r="N2753" s="638">
        <v>1</v>
      </c>
      <c r="O2753" s="626">
        <v>6</v>
      </c>
      <c r="P2753" s="712">
        <f t="shared" si="24"/>
        <v>6000</v>
      </c>
    </row>
    <row r="2754" spans="1:16" s="619" customFormat="1" ht="48" x14ac:dyDescent="0.2">
      <c r="A2754" s="626" t="s">
        <v>6091</v>
      </c>
      <c r="B2754" s="626" t="s">
        <v>1908</v>
      </c>
      <c r="C2754" s="638" t="s">
        <v>104</v>
      </c>
      <c r="D2754" s="626" t="s">
        <v>6187</v>
      </c>
      <c r="E2754" s="636">
        <v>1200</v>
      </c>
      <c r="F2754" s="637" t="s">
        <v>6238</v>
      </c>
      <c r="G2754" s="626" t="s">
        <v>6239</v>
      </c>
      <c r="H2754" s="626" t="s">
        <v>6123</v>
      </c>
      <c r="I2754" s="638" t="s">
        <v>6099</v>
      </c>
      <c r="J2754" s="625" t="s">
        <v>6100</v>
      </c>
      <c r="K2754" s="626">
        <v>1</v>
      </c>
      <c r="L2754" s="638">
        <v>12</v>
      </c>
      <c r="M2754" s="712">
        <v>14400</v>
      </c>
      <c r="N2754" s="638">
        <v>1</v>
      </c>
      <c r="O2754" s="626">
        <v>6</v>
      </c>
      <c r="P2754" s="712">
        <f t="shared" si="24"/>
        <v>7200</v>
      </c>
    </row>
    <row r="2755" spans="1:16" s="619" customFormat="1" ht="36" x14ac:dyDescent="0.2">
      <c r="A2755" s="626" t="s">
        <v>6091</v>
      </c>
      <c r="B2755" s="626" t="s">
        <v>1908</v>
      </c>
      <c r="C2755" s="638" t="s">
        <v>104</v>
      </c>
      <c r="D2755" s="626" t="s">
        <v>6240</v>
      </c>
      <c r="E2755" s="636">
        <v>1200</v>
      </c>
      <c r="F2755" s="637" t="s">
        <v>6241</v>
      </c>
      <c r="G2755" s="626" t="s">
        <v>6242</v>
      </c>
      <c r="H2755" s="626" t="s">
        <v>6240</v>
      </c>
      <c r="I2755" s="638" t="s">
        <v>6099</v>
      </c>
      <c r="J2755" s="625" t="s">
        <v>6100</v>
      </c>
      <c r="K2755" s="626">
        <v>1</v>
      </c>
      <c r="L2755" s="638">
        <v>12</v>
      </c>
      <c r="M2755" s="712">
        <v>14400</v>
      </c>
      <c r="N2755" s="638">
        <v>1</v>
      </c>
      <c r="O2755" s="626">
        <v>6</v>
      </c>
      <c r="P2755" s="712">
        <f t="shared" si="24"/>
        <v>7200</v>
      </c>
    </row>
    <row r="2756" spans="1:16" s="619" customFormat="1" ht="36" x14ac:dyDescent="0.2">
      <c r="A2756" s="626" t="s">
        <v>6091</v>
      </c>
      <c r="B2756" s="626" t="s">
        <v>1908</v>
      </c>
      <c r="C2756" s="638" t="s">
        <v>104</v>
      </c>
      <c r="D2756" s="626" t="s">
        <v>2660</v>
      </c>
      <c r="E2756" s="636">
        <v>1200</v>
      </c>
      <c r="F2756" s="637" t="s">
        <v>6243</v>
      </c>
      <c r="G2756" s="626" t="s">
        <v>6244</v>
      </c>
      <c r="H2756" s="626" t="s">
        <v>2660</v>
      </c>
      <c r="I2756" s="638" t="s">
        <v>6099</v>
      </c>
      <c r="J2756" s="625" t="s">
        <v>6100</v>
      </c>
      <c r="K2756" s="626">
        <v>1</v>
      </c>
      <c r="L2756" s="638">
        <v>12</v>
      </c>
      <c r="M2756" s="712">
        <v>14400</v>
      </c>
      <c r="N2756" s="638">
        <v>1</v>
      </c>
      <c r="O2756" s="626">
        <v>6</v>
      </c>
      <c r="P2756" s="712">
        <f t="shared" si="24"/>
        <v>7200</v>
      </c>
    </row>
    <row r="2757" spans="1:16" s="619" customFormat="1" ht="36" x14ac:dyDescent="0.2">
      <c r="A2757" s="626" t="s">
        <v>6091</v>
      </c>
      <c r="B2757" s="626" t="s">
        <v>1908</v>
      </c>
      <c r="C2757" s="638" t="s">
        <v>104</v>
      </c>
      <c r="D2757" s="626" t="s">
        <v>2660</v>
      </c>
      <c r="E2757" s="636">
        <v>1200</v>
      </c>
      <c r="F2757" s="637" t="s">
        <v>6245</v>
      </c>
      <c r="G2757" s="626" t="s">
        <v>6246</v>
      </c>
      <c r="H2757" s="626" t="s">
        <v>2660</v>
      </c>
      <c r="I2757" s="638" t="s">
        <v>6099</v>
      </c>
      <c r="J2757" s="625" t="s">
        <v>6100</v>
      </c>
      <c r="K2757" s="626">
        <v>1</v>
      </c>
      <c r="L2757" s="638">
        <v>12</v>
      </c>
      <c r="M2757" s="712">
        <v>14400</v>
      </c>
      <c r="N2757" s="638">
        <v>1</v>
      </c>
      <c r="O2757" s="626">
        <v>6</v>
      </c>
      <c r="P2757" s="712">
        <f t="shared" ref="P2757:P2820" si="25">O2757*E2757</f>
        <v>7200</v>
      </c>
    </row>
    <row r="2758" spans="1:16" s="619" customFormat="1" ht="24" x14ac:dyDescent="0.2">
      <c r="A2758" s="626" t="s">
        <v>6091</v>
      </c>
      <c r="B2758" s="626" t="s">
        <v>1908</v>
      </c>
      <c r="C2758" s="638" t="s">
        <v>104</v>
      </c>
      <c r="D2758" s="626" t="s">
        <v>6092</v>
      </c>
      <c r="E2758" s="636">
        <v>2000</v>
      </c>
      <c r="F2758" s="637" t="s">
        <v>6247</v>
      </c>
      <c r="G2758" s="626" t="s">
        <v>6248</v>
      </c>
      <c r="H2758" s="626" t="s">
        <v>6092</v>
      </c>
      <c r="I2758" s="638" t="s">
        <v>6095</v>
      </c>
      <c r="J2758" s="625" t="s">
        <v>6096</v>
      </c>
      <c r="K2758" s="626">
        <v>1</v>
      </c>
      <c r="L2758" s="638">
        <v>12</v>
      </c>
      <c r="M2758" s="712">
        <v>24000</v>
      </c>
      <c r="N2758" s="638">
        <v>1</v>
      </c>
      <c r="O2758" s="626">
        <v>1</v>
      </c>
      <c r="P2758" s="712">
        <f t="shared" si="25"/>
        <v>2000</v>
      </c>
    </row>
    <row r="2759" spans="1:16" s="619" customFormat="1" ht="24" x14ac:dyDescent="0.2">
      <c r="A2759" s="626" t="s">
        <v>6091</v>
      </c>
      <c r="B2759" s="626" t="s">
        <v>1908</v>
      </c>
      <c r="C2759" s="638" t="s">
        <v>104</v>
      </c>
      <c r="D2759" s="626" t="s">
        <v>6092</v>
      </c>
      <c r="E2759" s="636">
        <v>2000</v>
      </c>
      <c r="F2759" s="637" t="s">
        <v>6249</v>
      </c>
      <c r="G2759" s="626" t="s">
        <v>6250</v>
      </c>
      <c r="H2759" s="626" t="s">
        <v>6092</v>
      </c>
      <c r="I2759" s="638" t="s">
        <v>6095</v>
      </c>
      <c r="J2759" s="625" t="s">
        <v>6096</v>
      </c>
      <c r="K2759" s="626">
        <v>1</v>
      </c>
      <c r="L2759" s="638">
        <v>12</v>
      </c>
      <c r="M2759" s="712">
        <v>24000</v>
      </c>
      <c r="N2759" s="638">
        <v>1</v>
      </c>
      <c r="O2759" s="626">
        <v>4</v>
      </c>
      <c r="P2759" s="712">
        <f t="shared" si="25"/>
        <v>8000</v>
      </c>
    </row>
    <row r="2760" spans="1:16" s="619" customFormat="1" ht="36" x14ac:dyDescent="0.2">
      <c r="A2760" s="626" t="s">
        <v>6091</v>
      </c>
      <c r="B2760" s="626" t="s">
        <v>1908</v>
      </c>
      <c r="C2760" s="638" t="s">
        <v>104</v>
      </c>
      <c r="D2760" s="626" t="s">
        <v>2660</v>
      </c>
      <c r="E2760" s="636">
        <v>1200</v>
      </c>
      <c r="F2760" s="637" t="s">
        <v>6251</v>
      </c>
      <c r="G2760" s="626" t="s">
        <v>6252</v>
      </c>
      <c r="H2760" s="626" t="s">
        <v>2660</v>
      </c>
      <c r="I2760" s="638" t="s">
        <v>6099</v>
      </c>
      <c r="J2760" s="625" t="s">
        <v>6100</v>
      </c>
      <c r="K2760" s="626">
        <v>1</v>
      </c>
      <c r="L2760" s="638">
        <v>12</v>
      </c>
      <c r="M2760" s="712">
        <v>14400</v>
      </c>
      <c r="N2760" s="638">
        <v>1</v>
      </c>
      <c r="O2760" s="626">
        <v>6</v>
      </c>
      <c r="P2760" s="712">
        <f t="shared" si="25"/>
        <v>7200</v>
      </c>
    </row>
    <row r="2761" spans="1:16" s="619" customFormat="1" ht="24" x14ac:dyDescent="0.2">
      <c r="A2761" s="626" t="s">
        <v>6091</v>
      </c>
      <c r="B2761" s="626" t="s">
        <v>1908</v>
      </c>
      <c r="C2761" s="638" t="s">
        <v>104</v>
      </c>
      <c r="D2761" s="626" t="s">
        <v>6092</v>
      </c>
      <c r="E2761" s="636">
        <v>2000</v>
      </c>
      <c r="F2761" s="637" t="s">
        <v>6253</v>
      </c>
      <c r="G2761" s="626" t="s">
        <v>6254</v>
      </c>
      <c r="H2761" s="626" t="s">
        <v>6092</v>
      </c>
      <c r="I2761" s="638" t="s">
        <v>6095</v>
      </c>
      <c r="J2761" s="625" t="s">
        <v>6096</v>
      </c>
      <c r="K2761" s="626">
        <v>1</v>
      </c>
      <c r="L2761" s="638">
        <v>12</v>
      </c>
      <c r="M2761" s="712">
        <v>24000</v>
      </c>
      <c r="N2761" s="638">
        <v>1</v>
      </c>
      <c r="O2761" s="626">
        <v>4</v>
      </c>
      <c r="P2761" s="712">
        <f t="shared" si="25"/>
        <v>8000</v>
      </c>
    </row>
    <row r="2762" spans="1:16" s="619" customFormat="1" ht="36" x14ac:dyDescent="0.2">
      <c r="A2762" s="626" t="s">
        <v>6091</v>
      </c>
      <c r="B2762" s="626" t="s">
        <v>1908</v>
      </c>
      <c r="C2762" s="638" t="s">
        <v>104</v>
      </c>
      <c r="D2762" s="626" t="s">
        <v>1996</v>
      </c>
      <c r="E2762" s="636">
        <v>1000</v>
      </c>
      <c r="F2762" s="637" t="s">
        <v>6255</v>
      </c>
      <c r="G2762" s="626" t="s">
        <v>6256</v>
      </c>
      <c r="H2762" s="626"/>
      <c r="I2762" s="638" t="s">
        <v>1919</v>
      </c>
      <c r="J2762" s="625" t="s">
        <v>6128</v>
      </c>
      <c r="K2762" s="626">
        <v>1</v>
      </c>
      <c r="L2762" s="638">
        <v>12</v>
      </c>
      <c r="M2762" s="712">
        <v>12000</v>
      </c>
      <c r="N2762" s="638">
        <v>1</v>
      </c>
      <c r="O2762" s="626">
        <v>6</v>
      </c>
      <c r="P2762" s="712">
        <f t="shared" si="25"/>
        <v>6000</v>
      </c>
    </row>
    <row r="2763" spans="1:16" s="619" customFormat="1" ht="36" x14ac:dyDescent="0.2">
      <c r="A2763" s="626" t="s">
        <v>6091</v>
      </c>
      <c r="B2763" s="626" t="s">
        <v>1908</v>
      </c>
      <c r="C2763" s="638" t="s">
        <v>104</v>
      </c>
      <c r="D2763" s="626" t="s">
        <v>3545</v>
      </c>
      <c r="E2763" s="636">
        <v>1200</v>
      </c>
      <c r="F2763" s="637" t="s">
        <v>6257</v>
      </c>
      <c r="G2763" s="626" t="s">
        <v>6258</v>
      </c>
      <c r="H2763" s="626" t="s">
        <v>3545</v>
      </c>
      <c r="I2763" s="638" t="s">
        <v>6099</v>
      </c>
      <c r="J2763" s="625" t="s">
        <v>6100</v>
      </c>
      <c r="K2763" s="626">
        <v>1</v>
      </c>
      <c r="L2763" s="638">
        <v>12</v>
      </c>
      <c r="M2763" s="712">
        <v>14400</v>
      </c>
      <c r="N2763" s="638">
        <v>1</v>
      </c>
      <c r="O2763" s="626">
        <v>6</v>
      </c>
      <c r="P2763" s="712">
        <f t="shared" si="25"/>
        <v>7200</v>
      </c>
    </row>
    <row r="2764" spans="1:16" s="619" customFormat="1" ht="36" x14ac:dyDescent="0.2">
      <c r="A2764" s="626" t="s">
        <v>6091</v>
      </c>
      <c r="B2764" s="626" t="s">
        <v>1908</v>
      </c>
      <c r="C2764" s="638" t="s">
        <v>104</v>
      </c>
      <c r="D2764" s="626" t="s">
        <v>6187</v>
      </c>
      <c r="E2764" s="636">
        <v>1000</v>
      </c>
      <c r="F2764" s="637" t="s">
        <v>6259</v>
      </c>
      <c r="G2764" s="626" t="s">
        <v>6260</v>
      </c>
      <c r="H2764" s="626" t="s">
        <v>2660</v>
      </c>
      <c r="I2764" s="638" t="s">
        <v>6099</v>
      </c>
      <c r="J2764" s="625" t="s">
        <v>6100</v>
      </c>
      <c r="K2764" s="626">
        <v>1</v>
      </c>
      <c r="L2764" s="638">
        <v>12</v>
      </c>
      <c r="M2764" s="712">
        <v>12000</v>
      </c>
      <c r="N2764" s="638">
        <v>1</v>
      </c>
      <c r="O2764" s="626">
        <v>6</v>
      </c>
      <c r="P2764" s="712">
        <f t="shared" si="25"/>
        <v>6000</v>
      </c>
    </row>
    <row r="2765" spans="1:16" s="619" customFormat="1" ht="36" x14ac:dyDescent="0.2">
      <c r="A2765" s="626" t="s">
        <v>6091</v>
      </c>
      <c r="B2765" s="626" t="s">
        <v>1908</v>
      </c>
      <c r="C2765" s="638" t="s">
        <v>104</v>
      </c>
      <c r="D2765" s="626" t="s">
        <v>2660</v>
      </c>
      <c r="E2765" s="636">
        <v>1200</v>
      </c>
      <c r="F2765" s="637" t="s">
        <v>6261</v>
      </c>
      <c r="G2765" s="626" t="s">
        <v>6262</v>
      </c>
      <c r="H2765" s="626" t="s">
        <v>2660</v>
      </c>
      <c r="I2765" s="638" t="s">
        <v>6099</v>
      </c>
      <c r="J2765" s="625" t="s">
        <v>6100</v>
      </c>
      <c r="K2765" s="626">
        <v>1</v>
      </c>
      <c r="L2765" s="638">
        <v>12</v>
      </c>
      <c r="M2765" s="712">
        <v>14400</v>
      </c>
      <c r="N2765" s="638">
        <v>1</v>
      </c>
      <c r="O2765" s="626">
        <v>6</v>
      </c>
      <c r="P2765" s="712">
        <f t="shared" si="25"/>
        <v>7200</v>
      </c>
    </row>
    <row r="2766" spans="1:16" s="619" customFormat="1" ht="36" x14ac:dyDescent="0.2">
      <c r="A2766" s="626" t="s">
        <v>6091</v>
      </c>
      <c r="B2766" s="626" t="s">
        <v>1908</v>
      </c>
      <c r="C2766" s="638" t="s">
        <v>104</v>
      </c>
      <c r="D2766" s="626" t="s">
        <v>2660</v>
      </c>
      <c r="E2766" s="636">
        <v>1000</v>
      </c>
      <c r="F2766" s="637" t="s">
        <v>6263</v>
      </c>
      <c r="G2766" s="626" t="s">
        <v>6264</v>
      </c>
      <c r="H2766" s="626" t="s">
        <v>2660</v>
      </c>
      <c r="I2766" s="638" t="s">
        <v>6099</v>
      </c>
      <c r="J2766" s="625" t="s">
        <v>6100</v>
      </c>
      <c r="K2766" s="626">
        <v>1</v>
      </c>
      <c r="L2766" s="638">
        <v>12</v>
      </c>
      <c r="M2766" s="712">
        <v>12000</v>
      </c>
      <c r="N2766" s="638">
        <v>1</v>
      </c>
      <c r="O2766" s="626">
        <v>3</v>
      </c>
      <c r="P2766" s="712">
        <f t="shared" si="25"/>
        <v>3000</v>
      </c>
    </row>
    <row r="2767" spans="1:16" s="619" customFormat="1" ht="36" x14ac:dyDescent="0.2">
      <c r="A2767" s="626" t="s">
        <v>6091</v>
      </c>
      <c r="B2767" s="626" t="s">
        <v>1908</v>
      </c>
      <c r="C2767" s="638" t="s">
        <v>104</v>
      </c>
      <c r="D2767" s="626" t="s">
        <v>6179</v>
      </c>
      <c r="E2767" s="636">
        <v>3300</v>
      </c>
      <c r="F2767" s="637" t="s">
        <v>6265</v>
      </c>
      <c r="G2767" s="626" t="s">
        <v>6266</v>
      </c>
      <c r="H2767" s="626" t="s">
        <v>6182</v>
      </c>
      <c r="I2767" s="638" t="s">
        <v>6095</v>
      </c>
      <c r="J2767" s="625" t="s">
        <v>6096</v>
      </c>
      <c r="K2767" s="626">
        <v>1</v>
      </c>
      <c r="L2767" s="638">
        <v>12</v>
      </c>
      <c r="M2767" s="712">
        <v>39600</v>
      </c>
      <c r="N2767" s="638">
        <v>1</v>
      </c>
      <c r="O2767" s="626">
        <v>6</v>
      </c>
      <c r="P2767" s="712">
        <f t="shared" si="25"/>
        <v>19800</v>
      </c>
    </row>
    <row r="2768" spans="1:16" s="619" customFormat="1" ht="24" x14ac:dyDescent="0.2">
      <c r="A2768" s="626" t="s">
        <v>6091</v>
      </c>
      <c r="B2768" s="626" t="s">
        <v>1908</v>
      </c>
      <c r="C2768" s="638" t="s">
        <v>104</v>
      </c>
      <c r="D2768" s="626" t="s">
        <v>6092</v>
      </c>
      <c r="E2768" s="636">
        <v>2000</v>
      </c>
      <c r="F2768" s="637" t="s">
        <v>6267</v>
      </c>
      <c r="G2768" s="626" t="s">
        <v>6268</v>
      </c>
      <c r="H2768" s="626" t="s">
        <v>6092</v>
      </c>
      <c r="I2768" s="638" t="s">
        <v>6095</v>
      </c>
      <c r="J2768" s="625" t="s">
        <v>6096</v>
      </c>
      <c r="K2768" s="626">
        <v>1</v>
      </c>
      <c r="L2768" s="638">
        <v>12</v>
      </c>
      <c r="M2768" s="712">
        <v>24000</v>
      </c>
      <c r="N2768" s="638">
        <v>1</v>
      </c>
      <c r="O2768" s="626">
        <v>6</v>
      </c>
      <c r="P2768" s="712">
        <f t="shared" si="25"/>
        <v>12000</v>
      </c>
    </row>
    <row r="2769" spans="1:16" s="619" customFormat="1" ht="36" x14ac:dyDescent="0.2">
      <c r="A2769" s="626" t="s">
        <v>6091</v>
      </c>
      <c r="B2769" s="626" t="s">
        <v>1908</v>
      </c>
      <c r="C2769" s="638" t="s">
        <v>104</v>
      </c>
      <c r="D2769" s="626" t="s">
        <v>6158</v>
      </c>
      <c r="E2769" s="636">
        <v>1000</v>
      </c>
      <c r="F2769" s="637" t="s">
        <v>6269</v>
      </c>
      <c r="G2769" s="626" t="s">
        <v>6270</v>
      </c>
      <c r="H2769" s="626"/>
      <c r="I2769" s="638" t="s">
        <v>1919</v>
      </c>
      <c r="J2769" s="625" t="s">
        <v>6128</v>
      </c>
      <c r="K2769" s="626">
        <v>1</v>
      </c>
      <c r="L2769" s="638">
        <v>12</v>
      </c>
      <c r="M2769" s="712">
        <v>12000</v>
      </c>
      <c r="N2769" s="638">
        <v>1</v>
      </c>
      <c r="O2769" s="626">
        <v>6</v>
      </c>
      <c r="P2769" s="712">
        <f t="shared" si="25"/>
        <v>6000</v>
      </c>
    </row>
    <row r="2770" spans="1:16" s="619" customFormat="1" ht="36" x14ac:dyDescent="0.2">
      <c r="A2770" s="626" t="s">
        <v>6091</v>
      </c>
      <c r="B2770" s="626" t="s">
        <v>1908</v>
      </c>
      <c r="C2770" s="638" t="s">
        <v>104</v>
      </c>
      <c r="D2770" s="626" t="s">
        <v>6153</v>
      </c>
      <c r="E2770" s="636">
        <v>1000</v>
      </c>
      <c r="F2770" s="637" t="s">
        <v>6271</v>
      </c>
      <c r="G2770" s="626" t="s">
        <v>6272</v>
      </c>
      <c r="H2770" s="626" t="s">
        <v>6273</v>
      </c>
      <c r="I2770" s="638" t="s">
        <v>6099</v>
      </c>
      <c r="J2770" s="625" t="s">
        <v>6100</v>
      </c>
      <c r="K2770" s="626">
        <v>1</v>
      </c>
      <c r="L2770" s="638">
        <v>12</v>
      </c>
      <c r="M2770" s="712">
        <v>12000</v>
      </c>
      <c r="N2770" s="638">
        <v>1</v>
      </c>
      <c r="O2770" s="626">
        <v>6</v>
      </c>
      <c r="P2770" s="712">
        <f t="shared" si="25"/>
        <v>6000</v>
      </c>
    </row>
    <row r="2771" spans="1:16" s="619" customFormat="1" ht="24" x14ac:dyDescent="0.2">
      <c r="A2771" s="626" t="s">
        <v>6091</v>
      </c>
      <c r="B2771" s="626" t="s">
        <v>1908</v>
      </c>
      <c r="C2771" s="638" t="s">
        <v>104</v>
      </c>
      <c r="D2771" s="626" t="s">
        <v>6274</v>
      </c>
      <c r="E2771" s="636">
        <v>1000</v>
      </c>
      <c r="F2771" s="637" t="s">
        <v>6275</v>
      </c>
      <c r="G2771" s="626" t="s">
        <v>6276</v>
      </c>
      <c r="H2771" s="626"/>
      <c r="I2771" s="638" t="s">
        <v>1919</v>
      </c>
      <c r="J2771" s="625" t="s">
        <v>6128</v>
      </c>
      <c r="K2771" s="626">
        <v>1</v>
      </c>
      <c r="L2771" s="638">
        <v>12</v>
      </c>
      <c r="M2771" s="712">
        <v>12000</v>
      </c>
      <c r="N2771" s="638">
        <v>1</v>
      </c>
      <c r="O2771" s="626">
        <v>6</v>
      </c>
      <c r="P2771" s="712">
        <f t="shared" si="25"/>
        <v>6000</v>
      </c>
    </row>
    <row r="2772" spans="1:16" s="619" customFormat="1" ht="24" x14ac:dyDescent="0.2">
      <c r="A2772" s="626" t="s">
        <v>6091</v>
      </c>
      <c r="B2772" s="626" t="s">
        <v>1908</v>
      </c>
      <c r="C2772" s="638" t="s">
        <v>104</v>
      </c>
      <c r="D2772" s="626" t="s">
        <v>6198</v>
      </c>
      <c r="E2772" s="636">
        <v>2000</v>
      </c>
      <c r="F2772" s="637" t="s">
        <v>6277</v>
      </c>
      <c r="G2772" s="626" t="s">
        <v>6278</v>
      </c>
      <c r="H2772" s="626" t="s">
        <v>6198</v>
      </c>
      <c r="I2772" s="638" t="s">
        <v>6095</v>
      </c>
      <c r="J2772" s="625" t="s">
        <v>6096</v>
      </c>
      <c r="K2772" s="626">
        <v>1</v>
      </c>
      <c r="L2772" s="638">
        <v>12</v>
      </c>
      <c r="M2772" s="712">
        <v>24000</v>
      </c>
      <c r="N2772" s="638">
        <v>1</v>
      </c>
      <c r="O2772" s="626">
        <v>6</v>
      </c>
      <c r="P2772" s="712">
        <f t="shared" si="25"/>
        <v>12000</v>
      </c>
    </row>
    <row r="2773" spans="1:16" s="619" customFormat="1" ht="36" x14ac:dyDescent="0.2">
      <c r="A2773" s="626" t="s">
        <v>6091</v>
      </c>
      <c r="B2773" s="626" t="s">
        <v>1908</v>
      </c>
      <c r="C2773" s="638" t="s">
        <v>104</v>
      </c>
      <c r="D2773" s="626" t="s">
        <v>6092</v>
      </c>
      <c r="E2773" s="636">
        <v>2000</v>
      </c>
      <c r="F2773" s="637" t="s">
        <v>6279</v>
      </c>
      <c r="G2773" s="626" t="s">
        <v>6280</v>
      </c>
      <c r="H2773" s="626" t="s">
        <v>6092</v>
      </c>
      <c r="I2773" s="638" t="s">
        <v>6095</v>
      </c>
      <c r="J2773" s="625" t="s">
        <v>6096</v>
      </c>
      <c r="K2773" s="626">
        <v>1</v>
      </c>
      <c r="L2773" s="638">
        <v>12</v>
      </c>
      <c r="M2773" s="712">
        <v>24000</v>
      </c>
      <c r="N2773" s="638">
        <v>1</v>
      </c>
      <c r="O2773" s="626">
        <v>6</v>
      </c>
      <c r="P2773" s="712">
        <f t="shared" si="25"/>
        <v>12000</v>
      </c>
    </row>
    <row r="2774" spans="1:16" s="619" customFormat="1" ht="36" x14ac:dyDescent="0.2">
      <c r="A2774" s="626" t="s">
        <v>6091</v>
      </c>
      <c r="B2774" s="626" t="s">
        <v>1908</v>
      </c>
      <c r="C2774" s="638" t="s">
        <v>104</v>
      </c>
      <c r="D2774" s="626" t="s">
        <v>6092</v>
      </c>
      <c r="E2774" s="636">
        <v>2239</v>
      </c>
      <c r="F2774" s="637" t="s">
        <v>6281</v>
      </c>
      <c r="G2774" s="626" t="s">
        <v>6282</v>
      </c>
      <c r="H2774" s="626" t="s">
        <v>6092</v>
      </c>
      <c r="I2774" s="638" t="s">
        <v>6095</v>
      </c>
      <c r="J2774" s="625" t="s">
        <v>6096</v>
      </c>
      <c r="K2774" s="626">
        <v>1</v>
      </c>
      <c r="L2774" s="638">
        <v>12</v>
      </c>
      <c r="M2774" s="712">
        <v>26868</v>
      </c>
      <c r="N2774" s="638">
        <v>1</v>
      </c>
      <c r="O2774" s="626">
        <v>6</v>
      </c>
      <c r="P2774" s="712">
        <f t="shared" si="25"/>
        <v>13434</v>
      </c>
    </row>
    <row r="2775" spans="1:16" s="619" customFormat="1" ht="36" x14ac:dyDescent="0.2">
      <c r="A2775" s="626" t="s">
        <v>6091</v>
      </c>
      <c r="B2775" s="626" t="s">
        <v>1908</v>
      </c>
      <c r="C2775" s="638" t="s">
        <v>104</v>
      </c>
      <c r="D2775" s="626" t="s">
        <v>2660</v>
      </c>
      <c r="E2775" s="636">
        <v>1200</v>
      </c>
      <c r="F2775" s="637" t="s">
        <v>6283</v>
      </c>
      <c r="G2775" s="626" t="s">
        <v>6284</v>
      </c>
      <c r="H2775" s="626" t="s">
        <v>2660</v>
      </c>
      <c r="I2775" s="638" t="s">
        <v>6099</v>
      </c>
      <c r="J2775" s="625" t="s">
        <v>6100</v>
      </c>
      <c r="K2775" s="626">
        <v>1</v>
      </c>
      <c r="L2775" s="638">
        <v>12</v>
      </c>
      <c r="M2775" s="712">
        <v>14400</v>
      </c>
      <c r="N2775" s="638">
        <v>1</v>
      </c>
      <c r="O2775" s="626">
        <v>5</v>
      </c>
      <c r="P2775" s="712">
        <f t="shared" si="25"/>
        <v>6000</v>
      </c>
    </row>
    <row r="2776" spans="1:16" s="619" customFormat="1" ht="36" x14ac:dyDescent="0.2">
      <c r="A2776" s="626" t="s">
        <v>6091</v>
      </c>
      <c r="B2776" s="626" t="s">
        <v>1908</v>
      </c>
      <c r="C2776" s="638" t="s">
        <v>104</v>
      </c>
      <c r="D2776" s="626" t="s">
        <v>2660</v>
      </c>
      <c r="E2776" s="636">
        <v>1800</v>
      </c>
      <c r="F2776" s="637" t="s">
        <v>6285</v>
      </c>
      <c r="G2776" s="626" t="s">
        <v>6286</v>
      </c>
      <c r="H2776" s="626" t="s">
        <v>2660</v>
      </c>
      <c r="I2776" s="638" t="s">
        <v>6099</v>
      </c>
      <c r="J2776" s="625" t="s">
        <v>6100</v>
      </c>
      <c r="K2776" s="626">
        <v>1</v>
      </c>
      <c r="L2776" s="638">
        <v>12</v>
      </c>
      <c r="M2776" s="712">
        <v>21600</v>
      </c>
      <c r="N2776" s="638">
        <v>1</v>
      </c>
      <c r="O2776" s="626">
        <v>6</v>
      </c>
      <c r="P2776" s="712">
        <f t="shared" si="25"/>
        <v>10800</v>
      </c>
    </row>
    <row r="2777" spans="1:16" s="619" customFormat="1" ht="36" x14ac:dyDescent="0.2">
      <c r="A2777" s="626" t="s">
        <v>6091</v>
      </c>
      <c r="B2777" s="626" t="s">
        <v>1908</v>
      </c>
      <c r="C2777" s="638" t="s">
        <v>104</v>
      </c>
      <c r="D2777" s="626" t="s">
        <v>3548</v>
      </c>
      <c r="E2777" s="636">
        <v>1000</v>
      </c>
      <c r="F2777" s="637" t="s">
        <v>6287</v>
      </c>
      <c r="G2777" s="626" t="s">
        <v>6288</v>
      </c>
      <c r="H2777" s="626"/>
      <c r="I2777" s="638" t="s">
        <v>1919</v>
      </c>
      <c r="J2777" s="625" t="s">
        <v>6128</v>
      </c>
      <c r="K2777" s="626">
        <v>1</v>
      </c>
      <c r="L2777" s="638">
        <v>12</v>
      </c>
      <c r="M2777" s="712">
        <v>12000</v>
      </c>
      <c r="N2777" s="638">
        <v>1</v>
      </c>
      <c r="O2777" s="626">
        <v>6</v>
      </c>
      <c r="P2777" s="712">
        <f t="shared" si="25"/>
        <v>6000</v>
      </c>
    </row>
    <row r="2778" spans="1:16" s="619" customFormat="1" ht="36" x14ac:dyDescent="0.2">
      <c r="A2778" s="626" t="s">
        <v>6091</v>
      </c>
      <c r="B2778" s="626" t="s">
        <v>1908</v>
      </c>
      <c r="C2778" s="638" t="s">
        <v>104</v>
      </c>
      <c r="D2778" s="626" t="s">
        <v>2660</v>
      </c>
      <c r="E2778" s="636">
        <v>1000</v>
      </c>
      <c r="F2778" s="637" t="s">
        <v>6289</v>
      </c>
      <c r="G2778" s="626" t="s">
        <v>6290</v>
      </c>
      <c r="H2778" s="626" t="s">
        <v>2660</v>
      </c>
      <c r="I2778" s="638" t="s">
        <v>6099</v>
      </c>
      <c r="J2778" s="625" t="s">
        <v>6100</v>
      </c>
      <c r="K2778" s="626">
        <v>1</v>
      </c>
      <c r="L2778" s="638">
        <v>12</v>
      </c>
      <c r="M2778" s="712">
        <v>12000</v>
      </c>
      <c r="N2778" s="638">
        <v>1</v>
      </c>
      <c r="O2778" s="626">
        <v>6</v>
      </c>
      <c r="P2778" s="712">
        <f t="shared" si="25"/>
        <v>6000</v>
      </c>
    </row>
    <row r="2779" spans="1:16" s="619" customFormat="1" ht="36" x14ac:dyDescent="0.2">
      <c r="A2779" s="626" t="s">
        <v>6091</v>
      </c>
      <c r="B2779" s="626" t="s">
        <v>1908</v>
      </c>
      <c r="C2779" s="638" t="s">
        <v>104</v>
      </c>
      <c r="D2779" s="626" t="s">
        <v>6092</v>
      </c>
      <c r="E2779" s="636">
        <v>2700</v>
      </c>
      <c r="F2779" s="637" t="s">
        <v>6291</v>
      </c>
      <c r="G2779" s="626" t="s">
        <v>6292</v>
      </c>
      <c r="H2779" s="626" t="s">
        <v>6092</v>
      </c>
      <c r="I2779" s="638" t="s">
        <v>6095</v>
      </c>
      <c r="J2779" s="625" t="s">
        <v>6096</v>
      </c>
      <c r="K2779" s="626">
        <v>1</v>
      </c>
      <c r="L2779" s="638">
        <v>12</v>
      </c>
      <c r="M2779" s="712">
        <v>32400</v>
      </c>
      <c r="N2779" s="638">
        <v>1</v>
      </c>
      <c r="O2779" s="626">
        <v>6</v>
      </c>
      <c r="P2779" s="712">
        <f t="shared" si="25"/>
        <v>16200</v>
      </c>
    </row>
    <row r="2780" spans="1:16" s="619" customFormat="1" ht="48" x14ac:dyDescent="0.2">
      <c r="A2780" s="626" t="s">
        <v>6091</v>
      </c>
      <c r="B2780" s="626" t="s">
        <v>1908</v>
      </c>
      <c r="C2780" s="638" t="s">
        <v>104</v>
      </c>
      <c r="D2780" s="626" t="s">
        <v>1996</v>
      </c>
      <c r="E2780" s="636">
        <v>1200</v>
      </c>
      <c r="F2780" s="637" t="s">
        <v>6293</v>
      </c>
      <c r="G2780" s="626" t="s">
        <v>6294</v>
      </c>
      <c r="H2780" s="626"/>
      <c r="I2780" s="638" t="s">
        <v>1919</v>
      </c>
      <c r="J2780" s="625" t="s">
        <v>6128</v>
      </c>
      <c r="K2780" s="626">
        <v>1</v>
      </c>
      <c r="L2780" s="638">
        <v>12</v>
      </c>
      <c r="M2780" s="712">
        <v>14400</v>
      </c>
      <c r="N2780" s="638">
        <v>1</v>
      </c>
      <c r="O2780" s="626">
        <v>6</v>
      </c>
      <c r="P2780" s="712">
        <f t="shared" si="25"/>
        <v>7200</v>
      </c>
    </row>
    <row r="2781" spans="1:16" s="619" customFormat="1" ht="24" x14ac:dyDescent="0.2">
      <c r="A2781" s="626" t="s">
        <v>6091</v>
      </c>
      <c r="B2781" s="626" t="s">
        <v>1908</v>
      </c>
      <c r="C2781" s="638" t="s">
        <v>104</v>
      </c>
      <c r="D2781" s="626" t="s">
        <v>6198</v>
      </c>
      <c r="E2781" s="636">
        <v>2400</v>
      </c>
      <c r="F2781" s="637" t="s">
        <v>6295</v>
      </c>
      <c r="G2781" s="626" t="s">
        <v>6296</v>
      </c>
      <c r="H2781" s="626" t="s">
        <v>6198</v>
      </c>
      <c r="I2781" s="638" t="s">
        <v>6095</v>
      </c>
      <c r="J2781" s="625" t="s">
        <v>6096</v>
      </c>
      <c r="K2781" s="626">
        <v>1</v>
      </c>
      <c r="L2781" s="638">
        <v>12</v>
      </c>
      <c r="M2781" s="712">
        <v>28800</v>
      </c>
      <c r="N2781" s="638">
        <v>1</v>
      </c>
      <c r="O2781" s="626">
        <v>6</v>
      </c>
      <c r="P2781" s="712">
        <f t="shared" si="25"/>
        <v>14400</v>
      </c>
    </row>
    <row r="2782" spans="1:16" s="619" customFormat="1" ht="48" x14ac:dyDescent="0.2">
      <c r="A2782" s="626" t="s">
        <v>6091</v>
      </c>
      <c r="B2782" s="626" t="s">
        <v>1908</v>
      </c>
      <c r="C2782" s="638" t="s">
        <v>104</v>
      </c>
      <c r="D2782" s="626" t="s">
        <v>6149</v>
      </c>
      <c r="E2782" s="636">
        <v>2300</v>
      </c>
      <c r="F2782" s="637" t="s">
        <v>6297</v>
      </c>
      <c r="G2782" s="626" t="s">
        <v>6298</v>
      </c>
      <c r="H2782" s="626" t="s">
        <v>6152</v>
      </c>
      <c r="I2782" s="638" t="s">
        <v>6095</v>
      </c>
      <c r="J2782" s="625" t="s">
        <v>6096</v>
      </c>
      <c r="K2782" s="626">
        <v>1</v>
      </c>
      <c r="L2782" s="638">
        <v>12</v>
      </c>
      <c r="M2782" s="712">
        <v>27600</v>
      </c>
      <c r="N2782" s="638">
        <v>1</v>
      </c>
      <c r="O2782" s="626">
        <v>6</v>
      </c>
      <c r="P2782" s="712">
        <f t="shared" si="25"/>
        <v>13800</v>
      </c>
    </row>
    <row r="2783" spans="1:16" s="619" customFormat="1" ht="36" x14ac:dyDescent="0.2">
      <c r="A2783" s="626" t="s">
        <v>6091</v>
      </c>
      <c r="B2783" s="626" t="s">
        <v>1908</v>
      </c>
      <c r="C2783" s="638" t="s">
        <v>104</v>
      </c>
      <c r="D2783" s="626" t="s">
        <v>6299</v>
      </c>
      <c r="E2783" s="636">
        <v>1000</v>
      </c>
      <c r="F2783" s="637" t="s">
        <v>6300</v>
      </c>
      <c r="G2783" s="626" t="s">
        <v>6301</v>
      </c>
      <c r="H2783" s="626" t="s">
        <v>6273</v>
      </c>
      <c r="I2783" s="638" t="s">
        <v>6099</v>
      </c>
      <c r="J2783" s="625" t="s">
        <v>6100</v>
      </c>
      <c r="K2783" s="626">
        <v>1</v>
      </c>
      <c r="L2783" s="638">
        <v>12</v>
      </c>
      <c r="M2783" s="712">
        <v>12000</v>
      </c>
      <c r="N2783" s="638">
        <v>1</v>
      </c>
      <c r="O2783" s="626">
        <v>6</v>
      </c>
      <c r="P2783" s="712">
        <f t="shared" si="25"/>
        <v>6000</v>
      </c>
    </row>
    <row r="2784" spans="1:16" s="619" customFormat="1" ht="36" x14ac:dyDescent="0.2">
      <c r="A2784" s="626" t="s">
        <v>6091</v>
      </c>
      <c r="B2784" s="626" t="s">
        <v>1908</v>
      </c>
      <c r="C2784" s="638" t="s">
        <v>104</v>
      </c>
      <c r="D2784" s="626" t="s">
        <v>6198</v>
      </c>
      <c r="E2784" s="636">
        <v>3300</v>
      </c>
      <c r="F2784" s="637" t="s">
        <v>6302</v>
      </c>
      <c r="G2784" s="626" t="s">
        <v>6303</v>
      </c>
      <c r="H2784" s="626" t="s">
        <v>6198</v>
      </c>
      <c r="I2784" s="638" t="s">
        <v>6095</v>
      </c>
      <c r="J2784" s="625" t="s">
        <v>6096</v>
      </c>
      <c r="K2784" s="626">
        <v>1</v>
      </c>
      <c r="L2784" s="638">
        <v>10</v>
      </c>
      <c r="M2784" s="712">
        <v>33000</v>
      </c>
      <c r="N2784" s="638">
        <v>1</v>
      </c>
      <c r="O2784" s="626">
        <v>6</v>
      </c>
      <c r="P2784" s="712">
        <f t="shared" si="25"/>
        <v>19800</v>
      </c>
    </row>
    <row r="2785" spans="1:16" s="619" customFormat="1" ht="36" x14ac:dyDescent="0.2">
      <c r="A2785" s="626" t="s">
        <v>6091</v>
      </c>
      <c r="B2785" s="626" t="s">
        <v>1908</v>
      </c>
      <c r="C2785" s="638" t="s">
        <v>104</v>
      </c>
      <c r="D2785" s="626" t="s">
        <v>6198</v>
      </c>
      <c r="E2785" s="636">
        <v>3000</v>
      </c>
      <c r="F2785" s="637" t="s">
        <v>6304</v>
      </c>
      <c r="G2785" s="626" t="s">
        <v>6305</v>
      </c>
      <c r="H2785" s="626" t="s">
        <v>6198</v>
      </c>
      <c r="I2785" s="638" t="s">
        <v>6095</v>
      </c>
      <c r="J2785" s="625" t="s">
        <v>6096</v>
      </c>
      <c r="K2785" s="626">
        <v>1</v>
      </c>
      <c r="L2785" s="638">
        <v>8</v>
      </c>
      <c r="M2785" s="712">
        <v>24000</v>
      </c>
      <c r="N2785" s="638"/>
      <c r="O2785" s="626"/>
      <c r="P2785" s="712">
        <f t="shared" si="25"/>
        <v>0</v>
      </c>
    </row>
    <row r="2786" spans="1:16" s="619" customFormat="1" ht="24" x14ac:dyDescent="0.2">
      <c r="A2786" s="626" t="s">
        <v>6091</v>
      </c>
      <c r="B2786" s="626" t="s">
        <v>1908</v>
      </c>
      <c r="C2786" s="638" t="s">
        <v>104</v>
      </c>
      <c r="D2786" s="626" t="s">
        <v>6092</v>
      </c>
      <c r="E2786" s="636">
        <v>3000</v>
      </c>
      <c r="F2786" s="637" t="s">
        <v>6306</v>
      </c>
      <c r="G2786" s="626" t="s">
        <v>6307</v>
      </c>
      <c r="H2786" s="626" t="s">
        <v>6092</v>
      </c>
      <c r="I2786" s="638" t="s">
        <v>6095</v>
      </c>
      <c r="J2786" s="625" t="s">
        <v>6096</v>
      </c>
      <c r="K2786" s="626">
        <v>1</v>
      </c>
      <c r="L2786" s="638">
        <v>5</v>
      </c>
      <c r="M2786" s="712">
        <v>15000</v>
      </c>
      <c r="N2786" s="638"/>
      <c r="O2786" s="626"/>
      <c r="P2786" s="712">
        <f t="shared" si="25"/>
        <v>0</v>
      </c>
    </row>
    <row r="2787" spans="1:16" s="619" customFormat="1" ht="36" x14ac:dyDescent="0.2">
      <c r="A2787" s="626" t="s">
        <v>6091</v>
      </c>
      <c r="B2787" s="626" t="s">
        <v>1908</v>
      </c>
      <c r="C2787" s="638" t="s">
        <v>104</v>
      </c>
      <c r="D2787" s="626" t="s">
        <v>2660</v>
      </c>
      <c r="E2787" s="636">
        <v>1400</v>
      </c>
      <c r="F2787" s="637" t="s">
        <v>6308</v>
      </c>
      <c r="G2787" s="626" t="s">
        <v>6309</v>
      </c>
      <c r="H2787" s="626" t="s">
        <v>2660</v>
      </c>
      <c r="I2787" s="638" t="s">
        <v>6099</v>
      </c>
      <c r="J2787" s="625" t="s">
        <v>6100</v>
      </c>
      <c r="K2787" s="626">
        <v>1</v>
      </c>
      <c r="L2787" s="638">
        <v>12</v>
      </c>
      <c r="M2787" s="712">
        <v>16800</v>
      </c>
      <c r="N2787" s="638">
        <v>1</v>
      </c>
      <c r="O2787" s="626">
        <v>6</v>
      </c>
      <c r="P2787" s="712">
        <f t="shared" si="25"/>
        <v>8400</v>
      </c>
    </row>
    <row r="2788" spans="1:16" s="619" customFormat="1" ht="24" x14ac:dyDescent="0.2">
      <c r="A2788" s="626" t="s">
        <v>6091</v>
      </c>
      <c r="B2788" s="626" t="s">
        <v>1908</v>
      </c>
      <c r="C2788" s="638" t="s">
        <v>104</v>
      </c>
      <c r="D2788" s="626" t="s">
        <v>1996</v>
      </c>
      <c r="E2788" s="636">
        <v>1000</v>
      </c>
      <c r="F2788" s="637" t="s">
        <v>6310</v>
      </c>
      <c r="G2788" s="626" t="s">
        <v>6311</v>
      </c>
      <c r="H2788" s="626"/>
      <c r="I2788" s="638" t="s">
        <v>1919</v>
      </c>
      <c r="J2788" s="625" t="s">
        <v>6128</v>
      </c>
      <c r="K2788" s="626">
        <v>1</v>
      </c>
      <c r="L2788" s="638">
        <v>12</v>
      </c>
      <c r="M2788" s="712">
        <v>12000</v>
      </c>
      <c r="N2788" s="638">
        <v>1</v>
      </c>
      <c r="O2788" s="626">
        <v>6</v>
      </c>
      <c r="P2788" s="712">
        <f t="shared" si="25"/>
        <v>6000</v>
      </c>
    </row>
    <row r="2789" spans="1:16" s="619" customFormat="1" ht="24" x14ac:dyDescent="0.2">
      <c r="A2789" s="626" t="s">
        <v>6091</v>
      </c>
      <c r="B2789" s="626" t="s">
        <v>1908</v>
      </c>
      <c r="C2789" s="638" t="s">
        <v>104</v>
      </c>
      <c r="D2789" s="626" t="s">
        <v>6092</v>
      </c>
      <c r="E2789" s="636">
        <v>2000</v>
      </c>
      <c r="F2789" s="637" t="s">
        <v>6312</v>
      </c>
      <c r="G2789" s="626" t="s">
        <v>6313</v>
      </c>
      <c r="H2789" s="626" t="s">
        <v>6092</v>
      </c>
      <c r="I2789" s="638" t="s">
        <v>6095</v>
      </c>
      <c r="J2789" s="625" t="s">
        <v>6096</v>
      </c>
      <c r="K2789" s="626">
        <v>1</v>
      </c>
      <c r="L2789" s="638">
        <v>9</v>
      </c>
      <c r="M2789" s="712">
        <v>18000</v>
      </c>
      <c r="N2789" s="638">
        <v>1</v>
      </c>
      <c r="O2789" s="626">
        <v>6</v>
      </c>
      <c r="P2789" s="712">
        <f t="shared" si="25"/>
        <v>12000</v>
      </c>
    </row>
    <row r="2790" spans="1:16" s="619" customFormat="1" ht="36" x14ac:dyDescent="0.2">
      <c r="A2790" s="626" t="s">
        <v>6091</v>
      </c>
      <c r="B2790" s="626" t="s">
        <v>1908</v>
      </c>
      <c r="C2790" s="638" t="s">
        <v>104</v>
      </c>
      <c r="D2790" s="626" t="s">
        <v>2660</v>
      </c>
      <c r="E2790" s="636">
        <v>1000</v>
      </c>
      <c r="F2790" s="637" t="s">
        <v>6314</v>
      </c>
      <c r="G2790" s="626" t="s">
        <v>6315</v>
      </c>
      <c r="H2790" s="626" t="s">
        <v>2660</v>
      </c>
      <c r="I2790" s="638" t="s">
        <v>6099</v>
      </c>
      <c r="J2790" s="625" t="s">
        <v>6100</v>
      </c>
      <c r="K2790" s="626">
        <v>1</v>
      </c>
      <c r="L2790" s="638">
        <v>12</v>
      </c>
      <c r="M2790" s="712">
        <v>12000</v>
      </c>
      <c r="N2790" s="638">
        <v>1</v>
      </c>
      <c r="O2790" s="626">
        <v>6</v>
      </c>
      <c r="P2790" s="712">
        <f t="shared" si="25"/>
        <v>6000</v>
      </c>
    </row>
    <row r="2791" spans="1:16" s="619" customFormat="1" ht="36" x14ac:dyDescent="0.2">
      <c r="A2791" s="626" t="s">
        <v>6091</v>
      </c>
      <c r="B2791" s="626" t="s">
        <v>1908</v>
      </c>
      <c r="C2791" s="638" t="s">
        <v>104</v>
      </c>
      <c r="D2791" s="626" t="s">
        <v>2660</v>
      </c>
      <c r="E2791" s="636">
        <v>1000</v>
      </c>
      <c r="F2791" s="637" t="s">
        <v>6316</v>
      </c>
      <c r="G2791" s="626" t="s">
        <v>6317</v>
      </c>
      <c r="H2791" s="626" t="s">
        <v>2660</v>
      </c>
      <c r="I2791" s="638" t="s">
        <v>6099</v>
      </c>
      <c r="J2791" s="625" t="s">
        <v>6100</v>
      </c>
      <c r="K2791" s="626">
        <v>1</v>
      </c>
      <c r="L2791" s="638">
        <v>12</v>
      </c>
      <c r="M2791" s="712">
        <v>12000</v>
      </c>
      <c r="N2791" s="638">
        <v>1</v>
      </c>
      <c r="O2791" s="626">
        <v>6</v>
      </c>
      <c r="P2791" s="712">
        <f t="shared" si="25"/>
        <v>6000</v>
      </c>
    </row>
    <row r="2792" spans="1:16" s="619" customFormat="1" ht="36" x14ac:dyDescent="0.2">
      <c r="A2792" s="626" t="s">
        <v>6091</v>
      </c>
      <c r="B2792" s="626" t="s">
        <v>1908</v>
      </c>
      <c r="C2792" s="638" t="s">
        <v>104</v>
      </c>
      <c r="D2792" s="626" t="s">
        <v>6187</v>
      </c>
      <c r="E2792" s="636">
        <v>1000</v>
      </c>
      <c r="F2792" s="637" t="s">
        <v>6318</v>
      </c>
      <c r="G2792" s="626" t="s">
        <v>6319</v>
      </c>
      <c r="H2792" s="626" t="s">
        <v>6273</v>
      </c>
      <c r="I2792" s="638" t="s">
        <v>6099</v>
      </c>
      <c r="J2792" s="625" t="s">
        <v>6100</v>
      </c>
      <c r="K2792" s="626">
        <v>1</v>
      </c>
      <c r="L2792" s="638">
        <v>12</v>
      </c>
      <c r="M2792" s="712">
        <v>12000</v>
      </c>
      <c r="N2792" s="638">
        <v>1</v>
      </c>
      <c r="O2792" s="626">
        <v>6</v>
      </c>
      <c r="P2792" s="712">
        <f t="shared" si="25"/>
        <v>6000</v>
      </c>
    </row>
    <row r="2793" spans="1:16" s="619" customFormat="1" ht="48" x14ac:dyDescent="0.2">
      <c r="A2793" s="626" t="s">
        <v>6091</v>
      </c>
      <c r="B2793" s="626" t="s">
        <v>1908</v>
      </c>
      <c r="C2793" s="638" t="s">
        <v>104</v>
      </c>
      <c r="D2793" s="626" t="s">
        <v>2660</v>
      </c>
      <c r="E2793" s="636">
        <v>1000</v>
      </c>
      <c r="F2793" s="637" t="s">
        <v>6320</v>
      </c>
      <c r="G2793" s="626" t="s">
        <v>6321</v>
      </c>
      <c r="H2793" s="626" t="s">
        <v>2660</v>
      </c>
      <c r="I2793" s="638" t="s">
        <v>6099</v>
      </c>
      <c r="J2793" s="625" t="s">
        <v>6100</v>
      </c>
      <c r="K2793" s="626">
        <v>1</v>
      </c>
      <c r="L2793" s="638">
        <v>12</v>
      </c>
      <c r="M2793" s="712">
        <v>12000</v>
      </c>
      <c r="N2793" s="638">
        <v>1</v>
      </c>
      <c r="O2793" s="626">
        <v>6</v>
      </c>
      <c r="P2793" s="712">
        <f t="shared" si="25"/>
        <v>6000</v>
      </c>
    </row>
    <row r="2794" spans="1:16" s="619" customFormat="1" ht="36" x14ac:dyDescent="0.2">
      <c r="A2794" s="626" t="s">
        <v>6091</v>
      </c>
      <c r="B2794" s="626" t="s">
        <v>1908</v>
      </c>
      <c r="C2794" s="638" t="s">
        <v>104</v>
      </c>
      <c r="D2794" s="626" t="s">
        <v>1996</v>
      </c>
      <c r="E2794" s="636">
        <v>1000</v>
      </c>
      <c r="F2794" s="637" t="s">
        <v>6322</v>
      </c>
      <c r="G2794" s="626" t="s">
        <v>6323</v>
      </c>
      <c r="H2794" s="626"/>
      <c r="I2794" s="638" t="s">
        <v>1919</v>
      </c>
      <c r="J2794" s="625" t="s">
        <v>6128</v>
      </c>
      <c r="K2794" s="626">
        <v>1</v>
      </c>
      <c r="L2794" s="638">
        <v>12</v>
      </c>
      <c r="M2794" s="712">
        <v>12000</v>
      </c>
      <c r="N2794" s="638">
        <v>1</v>
      </c>
      <c r="O2794" s="626">
        <v>6</v>
      </c>
      <c r="P2794" s="712">
        <f t="shared" si="25"/>
        <v>6000</v>
      </c>
    </row>
    <row r="2795" spans="1:16" s="619" customFormat="1" ht="36" x14ac:dyDescent="0.2">
      <c r="A2795" s="626" t="s">
        <v>6091</v>
      </c>
      <c r="B2795" s="626" t="s">
        <v>1908</v>
      </c>
      <c r="C2795" s="638" t="s">
        <v>104</v>
      </c>
      <c r="D2795" s="626" t="s">
        <v>6101</v>
      </c>
      <c r="E2795" s="636">
        <v>2000</v>
      </c>
      <c r="F2795" s="637" t="s">
        <v>6324</v>
      </c>
      <c r="G2795" s="626" t="s">
        <v>6325</v>
      </c>
      <c r="H2795" s="626" t="s">
        <v>6101</v>
      </c>
      <c r="I2795" s="638" t="s">
        <v>6095</v>
      </c>
      <c r="J2795" s="625" t="s">
        <v>6096</v>
      </c>
      <c r="K2795" s="626">
        <v>1</v>
      </c>
      <c r="L2795" s="638">
        <v>12</v>
      </c>
      <c r="M2795" s="712">
        <v>24000</v>
      </c>
      <c r="N2795" s="638">
        <v>1</v>
      </c>
      <c r="O2795" s="626">
        <v>6</v>
      </c>
      <c r="P2795" s="712">
        <f t="shared" si="25"/>
        <v>12000</v>
      </c>
    </row>
    <row r="2796" spans="1:16" s="619" customFormat="1" ht="36" x14ac:dyDescent="0.2">
      <c r="A2796" s="626" t="s">
        <v>6091</v>
      </c>
      <c r="B2796" s="626" t="s">
        <v>1908</v>
      </c>
      <c r="C2796" s="638" t="s">
        <v>104</v>
      </c>
      <c r="D2796" s="626" t="s">
        <v>1996</v>
      </c>
      <c r="E2796" s="636">
        <v>1000</v>
      </c>
      <c r="F2796" s="637" t="s">
        <v>6326</v>
      </c>
      <c r="G2796" s="626" t="s">
        <v>6327</v>
      </c>
      <c r="H2796" s="626"/>
      <c r="I2796" s="638" t="s">
        <v>1919</v>
      </c>
      <c r="J2796" s="625" t="s">
        <v>6128</v>
      </c>
      <c r="K2796" s="626">
        <v>1</v>
      </c>
      <c r="L2796" s="638">
        <v>12</v>
      </c>
      <c r="M2796" s="712">
        <v>12000</v>
      </c>
      <c r="N2796" s="638">
        <v>1</v>
      </c>
      <c r="O2796" s="626">
        <v>6</v>
      </c>
      <c r="P2796" s="712">
        <f t="shared" si="25"/>
        <v>6000</v>
      </c>
    </row>
    <row r="2797" spans="1:16" s="619" customFormat="1" ht="36" x14ac:dyDescent="0.2">
      <c r="A2797" s="626" t="s">
        <v>6091</v>
      </c>
      <c r="B2797" s="626" t="s">
        <v>1908</v>
      </c>
      <c r="C2797" s="638" t="s">
        <v>104</v>
      </c>
      <c r="D2797" s="626" t="s">
        <v>6227</v>
      </c>
      <c r="E2797" s="636">
        <v>2300</v>
      </c>
      <c r="F2797" s="637" t="s">
        <v>6328</v>
      </c>
      <c r="G2797" s="626" t="s">
        <v>6329</v>
      </c>
      <c r="H2797" s="626" t="s">
        <v>5790</v>
      </c>
      <c r="I2797" s="638" t="s">
        <v>6095</v>
      </c>
      <c r="J2797" s="625" t="s">
        <v>6096</v>
      </c>
      <c r="K2797" s="626">
        <v>1</v>
      </c>
      <c r="L2797" s="638">
        <v>12</v>
      </c>
      <c r="M2797" s="712">
        <v>27600</v>
      </c>
      <c r="N2797" s="638">
        <v>1</v>
      </c>
      <c r="O2797" s="626">
        <v>6</v>
      </c>
      <c r="P2797" s="712">
        <f t="shared" si="25"/>
        <v>13800</v>
      </c>
    </row>
    <row r="2798" spans="1:16" s="619" customFormat="1" ht="24" x14ac:dyDescent="0.2">
      <c r="A2798" s="626" t="s">
        <v>6091</v>
      </c>
      <c r="B2798" s="626" t="s">
        <v>1908</v>
      </c>
      <c r="C2798" s="638" t="s">
        <v>104</v>
      </c>
      <c r="D2798" s="626" t="s">
        <v>1996</v>
      </c>
      <c r="E2798" s="636">
        <v>1200</v>
      </c>
      <c r="F2798" s="637" t="s">
        <v>6330</v>
      </c>
      <c r="G2798" s="626" t="s">
        <v>6331</v>
      </c>
      <c r="H2798" s="626"/>
      <c r="I2798" s="638" t="s">
        <v>1919</v>
      </c>
      <c r="J2798" s="625" t="s">
        <v>6128</v>
      </c>
      <c r="K2798" s="626">
        <v>1</v>
      </c>
      <c r="L2798" s="638">
        <v>12</v>
      </c>
      <c r="M2798" s="712">
        <v>14400</v>
      </c>
      <c r="N2798" s="638">
        <v>1</v>
      </c>
      <c r="O2798" s="626">
        <v>6</v>
      </c>
      <c r="P2798" s="712">
        <f t="shared" si="25"/>
        <v>7200</v>
      </c>
    </row>
    <row r="2799" spans="1:16" s="619" customFormat="1" ht="36" x14ac:dyDescent="0.2">
      <c r="A2799" s="626" t="s">
        <v>6091</v>
      </c>
      <c r="B2799" s="626" t="s">
        <v>1908</v>
      </c>
      <c r="C2799" s="638" t="s">
        <v>104</v>
      </c>
      <c r="D2799" s="626" t="s">
        <v>6187</v>
      </c>
      <c r="E2799" s="636">
        <v>1200</v>
      </c>
      <c r="F2799" s="637" t="s">
        <v>6332</v>
      </c>
      <c r="G2799" s="626" t="s">
        <v>6333</v>
      </c>
      <c r="H2799" s="626" t="s">
        <v>6273</v>
      </c>
      <c r="I2799" s="638" t="s">
        <v>6099</v>
      </c>
      <c r="J2799" s="625" t="s">
        <v>6100</v>
      </c>
      <c r="K2799" s="626">
        <v>1</v>
      </c>
      <c r="L2799" s="638">
        <v>12</v>
      </c>
      <c r="M2799" s="712">
        <v>14400</v>
      </c>
      <c r="N2799" s="638">
        <v>1</v>
      </c>
      <c r="O2799" s="626">
        <v>6</v>
      </c>
      <c r="P2799" s="712">
        <f t="shared" si="25"/>
        <v>7200</v>
      </c>
    </row>
    <row r="2800" spans="1:16" s="619" customFormat="1" ht="24" x14ac:dyDescent="0.2">
      <c r="A2800" s="626" t="s">
        <v>6091</v>
      </c>
      <c r="B2800" s="626" t="s">
        <v>1908</v>
      </c>
      <c r="C2800" s="638" t="s">
        <v>104</v>
      </c>
      <c r="D2800" s="626" t="s">
        <v>1996</v>
      </c>
      <c r="E2800" s="636">
        <v>1000</v>
      </c>
      <c r="F2800" s="637" t="s">
        <v>6334</v>
      </c>
      <c r="G2800" s="626" t="s">
        <v>6335</v>
      </c>
      <c r="H2800" s="626"/>
      <c r="I2800" s="638" t="s">
        <v>1919</v>
      </c>
      <c r="J2800" s="625" t="s">
        <v>6128</v>
      </c>
      <c r="K2800" s="626">
        <v>1</v>
      </c>
      <c r="L2800" s="638">
        <v>12</v>
      </c>
      <c r="M2800" s="712">
        <v>12000</v>
      </c>
      <c r="N2800" s="638">
        <v>1</v>
      </c>
      <c r="O2800" s="626">
        <v>6</v>
      </c>
      <c r="P2800" s="712">
        <f t="shared" si="25"/>
        <v>6000</v>
      </c>
    </row>
    <row r="2801" spans="1:16" s="619" customFormat="1" ht="24" x14ac:dyDescent="0.2">
      <c r="A2801" s="626" t="s">
        <v>6091</v>
      </c>
      <c r="B2801" s="626" t="s">
        <v>1908</v>
      </c>
      <c r="C2801" s="638" t="s">
        <v>104</v>
      </c>
      <c r="D2801" s="626" t="s">
        <v>6101</v>
      </c>
      <c r="E2801" s="636">
        <v>2200</v>
      </c>
      <c r="F2801" s="637" t="s">
        <v>6336</v>
      </c>
      <c r="G2801" s="626" t="s">
        <v>6337</v>
      </c>
      <c r="H2801" s="626" t="s">
        <v>6101</v>
      </c>
      <c r="I2801" s="638" t="s">
        <v>6095</v>
      </c>
      <c r="J2801" s="625" t="s">
        <v>6096</v>
      </c>
      <c r="K2801" s="626">
        <v>1</v>
      </c>
      <c r="L2801" s="638">
        <v>12</v>
      </c>
      <c r="M2801" s="712">
        <v>26400</v>
      </c>
      <c r="N2801" s="638">
        <v>1</v>
      </c>
      <c r="O2801" s="626">
        <v>6</v>
      </c>
      <c r="P2801" s="712">
        <f t="shared" si="25"/>
        <v>13200</v>
      </c>
    </row>
    <row r="2802" spans="1:16" s="619" customFormat="1" ht="36" x14ac:dyDescent="0.2">
      <c r="A2802" s="626" t="s">
        <v>6091</v>
      </c>
      <c r="B2802" s="626" t="s">
        <v>1908</v>
      </c>
      <c r="C2802" s="638" t="s">
        <v>104</v>
      </c>
      <c r="D2802" s="626" t="s">
        <v>6179</v>
      </c>
      <c r="E2802" s="636">
        <v>3500</v>
      </c>
      <c r="F2802" s="637" t="s">
        <v>6338</v>
      </c>
      <c r="G2802" s="626" t="s">
        <v>6339</v>
      </c>
      <c r="H2802" s="626" t="s">
        <v>6182</v>
      </c>
      <c r="I2802" s="638" t="s">
        <v>6095</v>
      </c>
      <c r="J2802" s="625" t="s">
        <v>6096</v>
      </c>
      <c r="K2802" s="626">
        <v>1</v>
      </c>
      <c r="L2802" s="638">
        <v>12</v>
      </c>
      <c r="M2802" s="712">
        <v>42000</v>
      </c>
      <c r="N2802" s="638"/>
      <c r="O2802" s="626"/>
      <c r="P2802" s="712">
        <f t="shared" si="25"/>
        <v>0</v>
      </c>
    </row>
    <row r="2803" spans="1:16" s="619" customFormat="1" ht="36" x14ac:dyDescent="0.2">
      <c r="A2803" s="626" t="s">
        <v>6091</v>
      </c>
      <c r="B2803" s="626" t="s">
        <v>1908</v>
      </c>
      <c r="C2803" s="638" t="s">
        <v>104</v>
      </c>
      <c r="D2803" s="626" t="s">
        <v>2660</v>
      </c>
      <c r="E2803" s="636">
        <v>1400</v>
      </c>
      <c r="F2803" s="637" t="s">
        <v>6340</v>
      </c>
      <c r="G2803" s="626" t="s">
        <v>6341</v>
      </c>
      <c r="H2803" s="626" t="s">
        <v>2660</v>
      </c>
      <c r="I2803" s="638" t="s">
        <v>6099</v>
      </c>
      <c r="J2803" s="625" t="s">
        <v>6100</v>
      </c>
      <c r="K2803" s="626">
        <v>1</v>
      </c>
      <c r="L2803" s="638">
        <v>12</v>
      </c>
      <c r="M2803" s="712">
        <v>16800</v>
      </c>
      <c r="N2803" s="638">
        <v>1</v>
      </c>
      <c r="O2803" s="626">
        <v>4</v>
      </c>
      <c r="P2803" s="712">
        <f t="shared" si="25"/>
        <v>5600</v>
      </c>
    </row>
    <row r="2804" spans="1:16" s="619" customFormat="1" ht="36" x14ac:dyDescent="0.2">
      <c r="A2804" s="626" t="s">
        <v>6091</v>
      </c>
      <c r="B2804" s="626" t="s">
        <v>1908</v>
      </c>
      <c r="C2804" s="638" t="s">
        <v>104</v>
      </c>
      <c r="D2804" s="626" t="s">
        <v>2660</v>
      </c>
      <c r="E2804" s="636">
        <v>1000</v>
      </c>
      <c r="F2804" s="637" t="s">
        <v>6342</v>
      </c>
      <c r="G2804" s="626" t="s">
        <v>6343</v>
      </c>
      <c r="H2804" s="626" t="s">
        <v>2660</v>
      </c>
      <c r="I2804" s="638" t="s">
        <v>6099</v>
      </c>
      <c r="J2804" s="625" t="s">
        <v>6100</v>
      </c>
      <c r="K2804" s="626">
        <v>1</v>
      </c>
      <c r="L2804" s="638">
        <v>11</v>
      </c>
      <c r="M2804" s="712">
        <v>11000</v>
      </c>
      <c r="N2804" s="638">
        <v>1</v>
      </c>
      <c r="O2804" s="626">
        <v>6</v>
      </c>
      <c r="P2804" s="712">
        <f t="shared" si="25"/>
        <v>6000</v>
      </c>
    </row>
    <row r="2805" spans="1:16" s="619" customFormat="1" ht="24" x14ac:dyDescent="0.2">
      <c r="A2805" s="626" t="s">
        <v>6091</v>
      </c>
      <c r="B2805" s="626" t="s">
        <v>1908</v>
      </c>
      <c r="C2805" s="638" t="s">
        <v>104</v>
      </c>
      <c r="D2805" s="626" t="s">
        <v>6198</v>
      </c>
      <c r="E2805" s="636">
        <v>2700</v>
      </c>
      <c r="F2805" s="637" t="s">
        <v>6344</v>
      </c>
      <c r="G2805" s="626" t="s">
        <v>6345</v>
      </c>
      <c r="H2805" s="626" t="s">
        <v>6198</v>
      </c>
      <c r="I2805" s="638" t="s">
        <v>6095</v>
      </c>
      <c r="J2805" s="625" t="s">
        <v>6096</v>
      </c>
      <c r="K2805" s="626">
        <v>1</v>
      </c>
      <c r="L2805" s="638">
        <v>12</v>
      </c>
      <c r="M2805" s="712">
        <v>32400</v>
      </c>
      <c r="N2805" s="638">
        <v>1</v>
      </c>
      <c r="O2805" s="626">
        <v>6</v>
      </c>
      <c r="P2805" s="712">
        <f t="shared" si="25"/>
        <v>16200</v>
      </c>
    </row>
    <row r="2806" spans="1:16" s="619" customFormat="1" ht="36" x14ac:dyDescent="0.2">
      <c r="A2806" s="626" t="s">
        <v>6091</v>
      </c>
      <c r="B2806" s="626" t="s">
        <v>1908</v>
      </c>
      <c r="C2806" s="638" t="s">
        <v>104</v>
      </c>
      <c r="D2806" s="626" t="s">
        <v>6299</v>
      </c>
      <c r="E2806" s="636">
        <v>1400</v>
      </c>
      <c r="F2806" s="637" t="s">
        <v>6346</v>
      </c>
      <c r="G2806" s="626" t="s">
        <v>6347</v>
      </c>
      <c r="H2806" s="626" t="s">
        <v>6273</v>
      </c>
      <c r="I2806" s="638" t="s">
        <v>6099</v>
      </c>
      <c r="J2806" s="625" t="s">
        <v>6100</v>
      </c>
      <c r="K2806" s="626">
        <v>1</v>
      </c>
      <c r="L2806" s="638">
        <v>12</v>
      </c>
      <c r="M2806" s="712">
        <v>16800</v>
      </c>
      <c r="N2806" s="638">
        <v>1</v>
      </c>
      <c r="O2806" s="626">
        <v>1</v>
      </c>
      <c r="P2806" s="712">
        <f t="shared" si="25"/>
        <v>1400</v>
      </c>
    </row>
    <row r="2807" spans="1:16" s="619" customFormat="1" ht="36" x14ac:dyDescent="0.2">
      <c r="A2807" s="626" t="s">
        <v>6091</v>
      </c>
      <c r="B2807" s="626" t="s">
        <v>1908</v>
      </c>
      <c r="C2807" s="638" t="s">
        <v>104</v>
      </c>
      <c r="D2807" s="626" t="s">
        <v>6092</v>
      </c>
      <c r="E2807" s="636">
        <v>2700</v>
      </c>
      <c r="F2807" s="637" t="s">
        <v>6348</v>
      </c>
      <c r="G2807" s="626" t="s">
        <v>6349</v>
      </c>
      <c r="H2807" s="626" t="s">
        <v>6092</v>
      </c>
      <c r="I2807" s="638" t="s">
        <v>6095</v>
      </c>
      <c r="J2807" s="625" t="s">
        <v>6096</v>
      </c>
      <c r="K2807" s="626">
        <v>1</v>
      </c>
      <c r="L2807" s="638">
        <v>12</v>
      </c>
      <c r="M2807" s="712">
        <v>32400</v>
      </c>
      <c r="N2807" s="638">
        <v>1</v>
      </c>
      <c r="O2807" s="626">
        <v>6</v>
      </c>
      <c r="P2807" s="712">
        <f t="shared" si="25"/>
        <v>16200</v>
      </c>
    </row>
    <row r="2808" spans="1:16" s="619" customFormat="1" ht="48" x14ac:dyDescent="0.2">
      <c r="A2808" s="626" t="s">
        <v>6091</v>
      </c>
      <c r="B2808" s="626" t="s">
        <v>1908</v>
      </c>
      <c r="C2808" s="638" t="s">
        <v>104</v>
      </c>
      <c r="D2808" s="626" t="s">
        <v>6187</v>
      </c>
      <c r="E2808" s="636">
        <v>1000</v>
      </c>
      <c r="F2808" s="637" t="s">
        <v>6350</v>
      </c>
      <c r="G2808" s="626" t="s">
        <v>6351</v>
      </c>
      <c r="H2808" s="626" t="s">
        <v>6123</v>
      </c>
      <c r="I2808" s="638" t="s">
        <v>6099</v>
      </c>
      <c r="J2808" s="625" t="s">
        <v>6100</v>
      </c>
      <c r="K2808" s="626">
        <v>1</v>
      </c>
      <c r="L2808" s="638">
        <v>12</v>
      </c>
      <c r="M2808" s="712">
        <v>12000</v>
      </c>
      <c r="N2808" s="638">
        <v>1</v>
      </c>
      <c r="O2808" s="626">
        <v>6</v>
      </c>
      <c r="P2808" s="712">
        <f t="shared" si="25"/>
        <v>6000</v>
      </c>
    </row>
    <row r="2809" spans="1:16" s="619" customFormat="1" ht="36" x14ac:dyDescent="0.2">
      <c r="A2809" s="626" t="s">
        <v>6091</v>
      </c>
      <c r="B2809" s="626" t="s">
        <v>1908</v>
      </c>
      <c r="C2809" s="638" t="s">
        <v>104</v>
      </c>
      <c r="D2809" s="626" t="s">
        <v>2660</v>
      </c>
      <c r="E2809" s="636">
        <v>1000</v>
      </c>
      <c r="F2809" s="637" t="s">
        <v>6352</v>
      </c>
      <c r="G2809" s="626" t="s">
        <v>6353</v>
      </c>
      <c r="H2809" s="626" t="s">
        <v>2660</v>
      </c>
      <c r="I2809" s="638" t="s">
        <v>6099</v>
      </c>
      <c r="J2809" s="625" t="s">
        <v>6100</v>
      </c>
      <c r="K2809" s="626">
        <v>1</v>
      </c>
      <c r="L2809" s="638">
        <v>12</v>
      </c>
      <c r="M2809" s="712">
        <v>12000</v>
      </c>
      <c r="N2809" s="638">
        <v>1</v>
      </c>
      <c r="O2809" s="626">
        <v>6</v>
      </c>
      <c r="P2809" s="712">
        <f t="shared" si="25"/>
        <v>6000</v>
      </c>
    </row>
    <row r="2810" spans="1:16" s="619" customFormat="1" ht="36" x14ac:dyDescent="0.2">
      <c r="A2810" s="626" t="s">
        <v>6091</v>
      </c>
      <c r="B2810" s="626" t="s">
        <v>1908</v>
      </c>
      <c r="C2810" s="638" t="s">
        <v>104</v>
      </c>
      <c r="D2810" s="626" t="s">
        <v>2660</v>
      </c>
      <c r="E2810" s="636">
        <v>1000</v>
      </c>
      <c r="F2810" s="637" t="s">
        <v>6354</v>
      </c>
      <c r="G2810" s="626" t="s">
        <v>6355</v>
      </c>
      <c r="H2810" s="626" t="s">
        <v>2660</v>
      </c>
      <c r="I2810" s="638" t="s">
        <v>6099</v>
      </c>
      <c r="J2810" s="625" t="s">
        <v>6100</v>
      </c>
      <c r="K2810" s="626">
        <v>1</v>
      </c>
      <c r="L2810" s="638">
        <v>12</v>
      </c>
      <c r="M2810" s="712">
        <v>12000</v>
      </c>
      <c r="N2810" s="638">
        <v>1</v>
      </c>
      <c r="O2810" s="626">
        <v>6</v>
      </c>
      <c r="P2810" s="712">
        <f t="shared" si="25"/>
        <v>6000</v>
      </c>
    </row>
    <row r="2811" spans="1:16" s="619" customFormat="1" ht="24" x14ac:dyDescent="0.2">
      <c r="A2811" s="626" t="s">
        <v>6091</v>
      </c>
      <c r="B2811" s="626" t="s">
        <v>1908</v>
      </c>
      <c r="C2811" s="638" t="s">
        <v>104</v>
      </c>
      <c r="D2811" s="626" t="s">
        <v>6198</v>
      </c>
      <c r="E2811" s="636">
        <v>2000</v>
      </c>
      <c r="F2811" s="637" t="s">
        <v>6356</v>
      </c>
      <c r="G2811" s="626" t="s">
        <v>6357</v>
      </c>
      <c r="H2811" s="626" t="s">
        <v>6198</v>
      </c>
      <c r="I2811" s="638" t="s">
        <v>6095</v>
      </c>
      <c r="J2811" s="625" t="s">
        <v>6096</v>
      </c>
      <c r="K2811" s="626">
        <v>1</v>
      </c>
      <c r="L2811" s="638">
        <v>12</v>
      </c>
      <c r="M2811" s="712">
        <v>24000</v>
      </c>
      <c r="N2811" s="638">
        <v>1</v>
      </c>
      <c r="O2811" s="626">
        <v>6</v>
      </c>
      <c r="P2811" s="712">
        <f t="shared" si="25"/>
        <v>12000</v>
      </c>
    </row>
    <row r="2812" spans="1:16" s="619" customFormat="1" ht="24" x14ac:dyDescent="0.2">
      <c r="A2812" s="626" t="s">
        <v>6091</v>
      </c>
      <c r="B2812" s="626" t="s">
        <v>1908</v>
      </c>
      <c r="C2812" s="638" t="s">
        <v>104</v>
      </c>
      <c r="D2812" s="626" t="s">
        <v>1996</v>
      </c>
      <c r="E2812" s="636">
        <v>1000</v>
      </c>
      <c r="F2812" s="637" t="s">
        <v>6358</v>
      </c>
      <c r="G2812" s="626" t="s">
        <v>6359</v>
      </c>
      <c r="H2812" s="626"/>
      <c r="I2812" s="638" t="s">
        <v>1919</v>
      </c>
      <c r="J2812" s="625" t="s">
        <v>6128</v>
      </c>
      <c r="K2812" s="626">
        <v>1</v>
      </c>
      <c r="L2812" s="638">
        <v>12</v>
      </c>
      <c r="M2812" s="712">
        <v>12000</v>
      </c>
      <c r="N2812" s="638">
        <v>1</v>
      </c>
      <c r="O2812" s="626">
        <v>6</v>
      </c>
      <c r="P2812" s="712">
        <f t="shared" si="25"/>
        <v>6000</v>
      </c>
    </row>
    <row r="2813" spans="1:16" s="619" customFormat="1" ht="48" x14ac:dyDescent="0.2">
      <c r="A2813" s="626" t="s">
        <v>6091</v>
      </c>
      <c r="B2813" s="626" t="s">
        <v>1908</v>
      </c>
      <c r="C2813" s="638" t="s">
        <v>104</v>
      </c>
      <c r="D2813" s="626" t="s">
        <v>6092</v>
      </c>
      <c r="E2813" s="636">
        <v>2000</v>
      </c>
      <c r="F2813" s="637" t="s">
        <v>6360</v>
      </c>
      <c r="G2813" s="626" t="s">
        <v>6361</v>
      </c>
      <c r="H2813" s="626" t="s">
        <v>6092</v>
      </c>
      <c r="I2813" s="638" t="s">
        <v>6095</v>
      </c>
      <c r="J2813" s="625" t="s">
        <v>6096</v>
      </c>
      <c r="K2813" s="626">
        <v>1</v>
      </c>
      <c r="L2813" s="638">
        <v>12</v>
      </c>
      <c r="M2813" s="712">
        <v>24000</v>
      </c>
      <c r="N2813" s="638">
        <v>1</v>
      </c>
      <c r="O2813" s="626">
        <v>4</v>
      </c>
      <c r="P2813" s="712">
        <f t="shared" si="25"/>
        <v>8000</v>
      </c>
    </row>
    <row r="2814" spans="1:16" s="619" customFormat="1" ht="24" x14ac:dyDescent="0.2">
      <c r="A2814" s="626" t="s">
        <v>6091</v>
      </c>
      <c r="B2814" s="626" t="s">
        <v>1908</v>
      </c>
      <c r="C2814" s="638" t="s">
        <v>104</v>
      </c>
      <c r="D2814" s="626" t="s">
        <v>6092</v>
      </c>
      <c r="E2814" s="636">
        <v>2000</v>
      </c>
      <c r="F2814" s="637" t="s">
        <v>6362</v>
      </c>
      <c r="G2814" s="626" t="s">
        <v>6363</v>
      </c>
      <c r="H2814" s="626" t="s">
        <v>6092</v>
      </c>
      <c r="I2814" s="638" t="s">
        <v>6095</v>
      </c>
      <c r="J2814" s="625" t="s">
        <v>6096</v>
      </c>
      <c r="K2814" s="626">
        <v>1</v>
      </c>
      <c r="L2814" s="638">
        <v>11</v>
      </c>
      <c r="M2814" s="712">
        <v>22000</v>
      </c>
      <c r="N2814" s="638">
        <v>1</v>
      </c>
      <c r="O2814" s="626">
        <v>6</v>
      </c>
      <c r="P2814" s="712">
        <f t="shared" si="25"/>
        <v>12000</v>
      </c>
    </row>
    <row r="2815" spans="1:16" s="619" customFormat="1" ht="24" x14ac:dyDescent="0.2">
      <c r="A2815" s="626" t="s">
        <v>6091</v>
      </c>
      <c r="B2815" s="626" t="s">
        <v>1908</v>
      </c>
      <c r="C2815" s="638" t="s">
        <v>104</v>
      </c>
      <c r="D2815" s="626" t="s">
        <v>6092</v>
      </c>
      <c r="E2815" s="636">
        <v>2000</v>
      </c>
      <c r="F2815" s="637" t="s">
        <v>6364</v>
      </c>
      <c r="G2815" s="626" t="s">
        <v>6365</v>
      </c>
      <c r="H2815" s="626" t="s">
        <v>6092</v>
      </c>
      <c r="I2815" s="638" t="s">
        <v>6095</v>
      </c>
      <c r="J2815" s="625" t="s">
        <v>6096</v>
      </c>
      <c r="K2815" s="626">
        <v>1</v>
      </c>
      <c r="L2815" s="638">
        <v>4</v>
      </c>
      <c r="M2815" s="712">
        <v>8000</v>
      </c>
      <c r="N2815" s="638"/>
      <c r="O2815" s="626"/>
      <c r="P2815" s="712">
        <f t="shared" si="25"/>
        <v>0</v>
      </c>
    </row>
    <row r="2816" spans="1:16" s="619" customFormat="1" ht="36" x14ac:dyDescent="0.2">
      <c r="A2816" s="626" t="s">
        <v>6091</v>
      </c>
      <c r="B2816" s="626" t="s">
        <v>1908</v>
      </c>
      <c r="C2816" s="638" t="s">
        <v>104</v>
      </c>
      <c r="D2816" s="626" t="s">
        <v>6299</v>
      </c>
      <c r="E2816" s="636">
        <v>1200</v>
      </c>
      <c r="F2816" s="637" t="s">
        <v>6366</v>
      </c>
      <c r="G2816" s="626" t="s">
        <v>6367</v>
      </c>
      <c r="H2816" s="626" t="s">
        <v>6273</v>
      </c>
      <c r="I2816" s="638" t="s">
        <v>6099</v>
      </c>
      <c r="J2816" s="625" t="s">
        <v>6100</v>
      </c>
      <c r="K2816" s="626">
        <v>1</v>
      </c>
      <c r="L2816" s="638">
        <v>12</v>
      </c>
      <c r="M2816" s="712">
        <v>14400</v>
      </c>
      <c r="N2816" s="638">
        <v>1</v>
      </c>
      <c r="O2816" s="626">
        <v>6</v>
      </c>
      <c r="P2816" s="712">
        <f t="shared" si="25"/>
        <v>7200</v>
      </c>
    </row>
    <row r="2817" spans="1:16" s="619" customFormat="1" ht="24" x14ac:dyDescent="0.2">
      <c r="A2817" s="626" t="s">
        <v>6091</v>
      </c>
      <c r="B2817" s="626" t="s">
        <v>1908</v>
      </c>
      <c r="C2817" s="638" t="s">
        <v>104</v>
      </c>
      <c r="D2817" s="626" t="s">
        <v>6198</v>
      </c>
      <c r="E2817" s="636">
        <v>2000</v>
      </c>
      <c r="F2817" s="637" t="s">
        <v>6368</v>
      </c>
      <c r="G2817" s="626" t="s">
        <v>6369</v>
      </c>
      <c r="H2817" s="626" t="s">
        <v>6198</v>
      </c>
      <c r="I2817" s="638" t="s">
        <v>6095</v>
      </c>
      <c r="J2817" s="625" t="s">
        <v>6096</v>
      </c>
      <c r="K2817" s="626">
        <v>1</v>
      </c>
      <c r="L2817" s="638">
        <v>12</v>
      </c>
      <c r="M2817" s="712">
        <v>24000</v>
      </c>
      <c r="N2817" s="638">
        <v>1</v>
      </c>
      <c r="O2817" s="626">
        <v>6</v>
      </c>
      <c r="P2817" s="712">
        <f t="shared" si="25"/>
        <v>12000</v>
      </c>
    </row>
    <row r="2818" spans="1:16" s="619" customFormat="1" ht="24" x14ac:dyDescent="0.2">
      <c r="A2818" s="626" t="s">
        <v>6091</v>
      </c>
      <c r="B2818" s="626" t="s">
        <v>1908</v>
      </c>
      <c r="C2818" s="638" t="s">
        <v>104</v>
      </c>
      <c r="D2818" s="626" t="s">
        <v>6179</v>
      </c>
      <c r="E2818" s="636">
        <v>3300</v>
      </c>
      <c r="F2818" s="637" t="s">
        <v>6370</v>
      </c>
      <c r="G2818" s="626" t="s">
        <v>6371</v>
      </c>
      <c r="H2818" s="626" t="s">
        <v>6182</v>
      </c>
      <c r="I2818" s="638" t="s">
        <v>6095</v>
      </c>
      <c r="J2818" s="625" t="s">
        <v>6096</v>
      </c>
      <c r="K2818" s="626">
        <v>1</v>
      </c>
      <c r="L2818" s="638">
        <v>12</v>
      </c>
      <c r="M2818" s="712">
        <v>39600</v>
      </c>
      <c r="N2818" s="638">
        <v>1</v>
      </c>
      <c r="O2818" s="626">
        <v>6</v>
      </c>
      <c r="P2818" s="712">
        <f t="shared" si="25"/>
        <v>19800</v>
      </c>
    </row>
    <row r="2819" spans="1:16" s="619" customFormat="1" ht="36" x14ac:dyDescent="0.2">
      <c r="A2819" s="626" t="s">
        <v>6091</v>
      </c>
      <c r="B2819" s="626" t="s">
        <v>1908</v>
      </c>
      <c r="C2819" s="638" t="s">
        <v>104</v>
      </c>
      <c r="D2819" s="626" t="s">
        <v>6092</v>
      </c>
      <c r="E2819" s="636">
        <v>2000</v>
      </c>
      <c r="F2819" s="637" t="s">
        <v>6372</v>
      </c>
      <c r="G2819" s="626" t="s">
        <v>6373</v>
      </c>
      <c r="H2819" s="626" t="s">
        <v>6092</v>
      </c>
      <c r="I2819" s="638" t="s">
        <v>6095</v>
      </c>
      <c r="J2819" s="625" t="s">
        <v>6096</v>
      </c>
      <c r="K2819" s="626">
        <v>1</v>
      </c>
      <c r="L2819" s="638">
        <v>12</v>
      </c>
      <c r="M2819" s="712">
        <v>24000</v>
      </c>
      <c r="N2819" s="638">
        <v>1</v>
      </c>
      <c r="O2819" s="626">
        <v>6</v>
      </c>
      <c r="P2819" s="712">
        <f t="shared" si="25"/>
        <v>12000</v>
      </c>
    </row>
    <row r="2820" spans="1:16" s="619" customFormat="1" ht="48" x14ac:dyDescent="0.2">
      <c r="A2820" s="626" t="s">
        <v>6091</v>
      </c>
      <c r="B2820" s="626" t="s">
        <v>1908</v>
      </c>
      <c r="C2820" s="638" t="s">
        <v>104</v>
      </c>
      <c r="D2820" s="626" t="s">
        <v>6187</v>
      </c>
      <c r="E2820" s="636">
        <v>1000</v>
      </c>
      <c r="F2820" s="637" t="s">
        <v>6374</v>
      </c>
      <c r="G2820" s="626" t="s">
        <v>6375</v>
      </c>
      <c r="H2820" s="626" t="s">
        <v>6123</v>
      </c>
      <c r="I2820" s="638" t="s">
        <v>6099</v>
      </c>
      <c r="J2820" s="625" t="s">
        <v>6100</v>
      </c>
      <c r="K2820" s="626">
        <v>1</v>
      </c>
      <c r="L2820" s="638">
        <v>12</v>
      </c>
      <c r="M2820" s="712">
        <v>12000</v>
      </c>
      <c r="N2820" s="638">
        <v>1</v>
      </c>
      <c r="O2820" s="626">
        <v>6</v>
      </c>
      <c r="P2820" s="712">
        <f t="shared" si="25"/>
        <v>6000</v>
      </c>
    </row>
    <row r="2821" spans="1:16" s="619" customFormat="1" ht="36" x14ac:dyDescent="0.2">
      <c r="A2821" s="626" t="s">
        <v>6091</v>
      </c>
      <c r="B2821" s="626" t="s">
        <v>1908</v>
      </c>
      <c r="C2821" s="638" t="s">
        <v>104</v>
      </c>
      <c r="D2821" s="626" t="s">
        <v>2660</v>
      </c>
      <c r="E2821" s="636">
        <v>1000</v>
      </c>
      <c r="F2821" s="637" t="s">
        <v>6376</v>
      </c>
      <c r="G2821" s="626" t="s">
        <v>6377</v>
      </c>
      <c r="H2821" s="626" t="s">
        <v>1934</v>
      </c>
      <c r="I2821" s="638" t="s">
        <v>6099</v>
      </c>
      <c r="J2821" s="625" t="s">
        <v>6100</v>
      </c>
      <c r="K2821" s="626">
        <v>1</v>
      </c>
      <c r="L2821" s="638">
        <v>12</v>
      </c>
      <c r="M2821" s="712">
        <v>12000</v>
      </c>
      <c r="N2821" s="638">
        <v>1</v>
      </c>
      <c r="O2821" s="626">
        <v>6</v>
      </c>
      <c r="P2821" s="712">
        <f t="shared" ref="P2821:P2884" si="26">O2821*E2821</f>
        <v>6000</v>
      </c>
    </row>
    <row r="2822" spans="1:16" s="619" customFormat="1" ht="24" x14ac:dyDescent="0.2">
      <c r="A2822" s="626" t="s">
        <v>6091</v>
      </c>
      <c r="B2822" s="626" t="s">
        <v>1908</v>
      </c>
      <c r="C2822" s="638" t="s">
        <v>104</v>
      </c>
      <c r="D2822" s="626" t="s">
        <v>6158</v>
      </c>
      <c r="E2822" s="636">
        <v>1000</v>
      </c>
      <c r="F2822" s="637" t="s">
        <v>6378</v>
      </c>
      <c r="G2822" s="626" t="s">
        <v>6379</v>
      </c>
      <c r="H2822" s="626"/>
      <c r="I2822" s="638" t="s">
        <v>1919</v>
      </c>
      <c r="J2822" s="625" t="s">
        <v>6128</v>
      </c>
      <c r="K2822" s="626">
        <v>1</v>
      </c>
      <c r="L2822" s="638">
        <v>4</v>
      </c>
      <c r="M2822" s="712">
        <v>4000</v>
      </c>
      <c r="N2822" s="638"/>
      <c r="O2822" s="626"/>
      <c r="P2822" s="712">
        <f t="shared" si="26"/>
        <v>0</v>
      </c>
    </row>
    <row r="2823" spans="1:16" s="619" customFormat="1" ht="48" x14ac:dyDescent="0.2">
      <c r="A2823" s="626" t="s">
        <v>6091</v>
      </c>
      <c r="B2823" s="626" t="s">
        <v>1908</v>
      </c>
      <c r="C2823" s="638" t="s">
        <v>104</v>
      </c>
      <c r="D2823" s="626" t="s">
        <v>6198</v>
      </c>
      <c r="E2823" s="636">
        <v>2300</v>
      </c>
      <c r="F2823" s="637" t="s">
        <v>6380</v>
      </c>
      <c r="G2823" s="626" t="s">
        <v>6381</v>
      </c>
      <c r="H2823" s="626" t="s">
        <v>6198</v>
      </c>
      <c r="I2823" s="638" t="s">
        <v>6095</v>
      </c>
      <c r="J2823" s="625" t="s">
        <v>6096</v>
      </c>
      <c r="K2823" s="626">
        <v>1</v>
      </c>
      <c r="L2823" s="638">
        <v>12</v>
      </c>
      <c r="M2823" s="712">
        <v>27600</v>
      </c>
      <c r="N2823" s="638">
        <v>1</v>
      </c>
      <c r="O2823" s="626">
        <v>6</v>
      </c>
      <c r="P2823" s="712">
        <f t="shared" si="26"/>
        <v>13800</v>
      </c>
    </row>
    <row r="2824" spans="1:16" s="619" customFormat="1" ht="36" x14ac:dyDescent="0.2">
      <c r="A2824" s="626" t="s">
        <v>6091</v>
      </c>
      <c r="B2824" s="626" t="s">
        <v>1908</v>
      </c>
      <c r="C2824" s="638" t="s">
        <v>104</v>
      </c>
      <c r="D2824" s="626" t="s">
        <v>6187</v>
      </c>
      <c r="E2824" s="636">
        <v>1200</v>
      </c>
      <c r="F2824" s="637" t="s">
        <v>6382</v>
      </c>
      <c r="G2824" s="626" t="s">
        <v>6383</v>
      </c>
      <c r="H2824" s="626" t="s">
        <v>2660</v>
      </c>
      <c r="I2824" s="638" t="s">
        <v>6099</v>
      </c>
      <c r="J2824" s="625" t="s">
        <v>6100</v>
      </c>
      <c r="K2824" s="626">
        <v>1</v>
      </c>
      <c r="L2824" s="638">
        <v>12</v>
      </c>
      <c r="M2824" s="712">
        <v>14400</v>
      </c>
      <c r="N2824" s="638">
        <v>1</v>
      </c>
      <c r="O2824" s="626">
        <v>6</v>
      </c>
      <c r="P2824" s="712">
        <f t="shared" si="26"/>
        <v>7200</v>
      </c>
    </row>
    <row r="2825" spans="1:16" s="619" customFormat="1" ht="24" x14ac:dyDescent="0.2">
      <c r="A2825" s="626" t="s">
        <v>6091</v>
      </c>
      <c r="B2825" s="626" t="s">
        <v>1908</v>
      </c>
      <c r="C2825" s="638" t="s">
        <v>104</v>
      </c>
      <c r="D2825" s="626" t="s">
        <v>1996</v>
      </c>
      <c r="E2825" s="636">
        <v>1200</v>
      </c>
      <c r="F2825" s="637" t="s">
        <v>6384</v>
      </c>
      <c r="G2825" s="626" t="s">
        <v>6385</v>
      </c>
      <c r="H2825" s="626"/>
      <c r="I2825" s="638" t="s">
        <v>1919</v>
      </c>
      <c r="J2825" s="625" t="s">
        <v>6128</v>
      </c>
      <c r="K2825" s="626">
        <v>1</v>
      </c>
      <c r="L2825" s="638">
        <v>10</v>
      </c>
      <c r="M2825" s="712">
        <v>12000</v>
      </c>
      <c r="N2825" s="638">
        <v>1</v>
      </c>
      <c r="O2825" s="626">
        <v>6</v>
      </c>
      <c r="P2825" s="712">
        <f t="shared" si="26"/>
        <v>7200</v>
      </c>
    </row>
    <row r="2826" spans="1:16" s="619" customFormat="1" ht="36" x14ac:dyDescent="0.2">
      <c r="A2826" s="626" t="s">
        <v>6091</v>
      </c>
      <c r="B2826" s="626" t="s">
        <v>1908</v>
      </c>
      <c r="C2826" s="638" t="s">
        <v>104</v>
      </c>
      <c r="D2826" s="626" t="s">
        <v>2660</v>
      </c>
      <c r="E2826" s="636">
        <v>1200</v>
      </c>
      <c r="F2826" s="637" t="s">
        <v>6386</v>
      </c>
      <c r="G2826" s="626" t="s">
        <v>6387</v>
      </c>
      <c r="H2826" s="626" t="s">
        <v>2660</v>
      </c>
      <c r="I2826" s="638" t="s">
        <v>6099</v>
      </c>
      <c r="J2826" s="625" t="s">
        <v>6100</v>
      </c>
      <c r="K2826" s="626">
        <v>1</v>
      </c>
      <c r="L2826" s="638">
        <v>12</v>
      </c>
      <c r="M2826" s="712">
        <v>14400</v>
      </c>
      <c r="N2826" s="638">
        <v>1</v>
      </c>
      <c r="O2826" s="626">
        <v>6</v>
      </c>
      <c r="P2826" s="712">
        <f t="shared" si="26"/>
        <v>7200</v>
      </c>
    </row>
    <row r="2827" spans="1:16" s="619" customFormat="1" ht="24" x14ac:dyDescent="0.2">
      <c r="A2827" s="626" t="s">
        <v>6091</v>
      </c>
      <c r="B2827" s="626" t="s">
        <v>1908</v>
      </c>
      <c r="C2827" s="638" t="s">
        <v>104</v>
      </c>
      <c r="D2827" s="626" t="s">
        <v>1996</v>
      </c>
      <c r="E2827" s="636">
        <v>1000</v>
      </c>
      <c r="F2827" s="637" t="s">
        <v>6388</v>
      </c>
      <c r="G2827" s="626" t="s">
        <v>6389</v>
      </c>
      <c r="H2827" s="626"/>
      <c r="I2827" s="638" t="s">
        <v>1919</v>
      </c>
      <c r="J2827" s="625" t="s">
        <v>6128</v>
      </c>
      <c r="K2827" s="626">
        <v>1</v>
      </c>
      <c r="L2827" s="638">
        <v>12</v>
      </c>
      <c r="M2827" s="712">
        <v>12000</v>
      </c>
      <c r="N2827" s="638">
        <v>1</v>
      </c>
      <c r="O2827" s="626">
        <v>6</v>
      </c>
      <c r="P2827" s="712">
        <f t="shared" si="26"/>
        <v>6000</v>
      </c>
    </row>
    <row r="2828" spans="1:16" s="619" customFormat="1" ht="48" x14ac:dyDescent="0.2">
      <c r="A2828" s="626" t="s">
        <v>6091</v>
      </c>
      <c r="B2828" s="626" t="s">
        <v>1908</v>
      </c>
      <c r="C2828" s="638" t="s">
        <v>104</v>
      </c>
      <c r="D2828" s="626" t="s">
        <v>6187</v>
      </c>
      <c r="E2828" s="636">
        <v>1000</v>
      </c>
      <c r="F2828" s="637" t="s">
        <v>6390</v>
      </c>
      <c r="G2828" s="626" t="s">
        <v>6391</v>
      </c>
      <c r="H2828" s="626" t="s">
        <v>6123</v>
      </c>
      <c r="I2828" s="638" t="s">
        <v>6099</v>
      </c>
      <c r="J2828" s="625" t="s">
        <v>6100</v>
      </c>
      <c r="K2828" s="626">
        <v>1</v>
      </c>
      <c r="L2828" s="638">
        <v>12</v>
      </c>
      <c r="M2828" s="712">
        <v>12000</v>
      </c>
      <c r="N2828" s="638">
        <v>1</v>
      </c>
      <c r="O2828" s="626">
        <v>6</v>
      </c>
      <c r="P2828" s="712">
        <f t="shared" si="26"/>
        <v>6000</v>
      </c>
    </row>
    <row r="2829" spans="1:16" s="619" customFormat="1" ht="36" x14ac:dyDescent="0.2">
      <c r="A2829" s="626" t="s">
        <v>6091</v>
      </c>
      <c r="B2829" s="626" t="s">
        <v>1908</v>
      </c>
      <c r="C2829" s="638" t="s">
        <v>104</v>
      </c>
      <c r="D2829" s="626" t="s">
        <v>2660</v>
      </c>
      <c r="E2829" s="636">
        <v>1000</v>
      </c>
      <c r="F2829" s="637" t="s">
        <v>6392</v>
      </c>
      <c r="G2829" s="626" t="s">
        <v>6393</v>
      </c>
      <c r="H2829" s="626" t="s">
        <v>2660</v>
      </c>
      <c r="I2829" s="638" t="s">
        <v>6099</v>
      </c>
      <c r="J2829" s="625" t="s">
        <v>6100</v>
      </c>
      <c r="K2829" s="626">
        <v>1</v>
      </c>
      <c r="L2829" s="638">
        <v>12</v>
      </c>
      <c r="M2829" s="712">
        <v>12000</v>
      </c>
      <c r="N2829" s="638">
        <v>1</v>
      </c>
      <c r="O2829" s="626">
        <v>6</v>
      </c>
      <c r="P2829" s="712">
        <f t="shared" si="26"/>
        <v>6000</v>
      </c>
    </row>
    <row r="2830" spans="1:16" s="619" customFormat="1" ht="36" x14ac:dyDescent="0.2">
      <c r="A2830" s="626" t="s">
        <v>6091</v>
      </c>
      <c r="B2830" s="626" t="s">
        <v>1908</v>
      </c>
      <c r="C2830" s="638" t="s">
        <v>104</v>
      </c>
      <c r="D2830" s="626" t="s">
        <v>6092</v>
      </c>
      <c r="E2830" s="636">
        <v>2000</v>
      </c>
      <c r="F2830" s="637" t="s">
        <v>6394</v>
      </c>
      <c r="G2830" s="626" t="s">
        <v>6395</v>
      </c>
      <c r="H2830" s="626" t="s">
        <v>6092</v>
      </c>
      <c r="I2830" s="638" t="s">
        <v>6095</v>
      </c>
      <c r="J2830" s="625" t="s">
        <v>6096</v>
      </c>
      <c r="K2830" s="626">
        <v>1</v>
      </c>
      <c r="L2830" s="638">
        <v>10</v>
      </c>
      <c r="M2830" s="712">
        <v>20000</v>
      </c>
      <c r="N2830" s="638">
        <v>1</v>
      </c>
      <c r="O2830" s="626">
        <v>6</v>
      </c>
      <c r="P2830" s="712">
        <f t="shared" si="26"/>
        <v>12000</v>
      </c>
    </row>
    <row r="2831" spans="1:16" s="619" customFormat="1" ht="24" x14ac:dyDescent="0.2">
      <c r="A2831" s="626" t="s">
        <v>6091</v>
      </c>
      <c r="B2831" s="626" t="s">
        <v>1908</v>
      </c>
      <c r="C2831" s="638" t="s">
        <v>104</v>
      </c>
      <c r="D2831" s="626" t="s">
        <v>6092</v>
      </c>
      <c r="E2831" s="636">
        <v>2000</v>
      </c>
      <c r="F2831" s="637" t="s">
        <v>6396</v>
      </c>
      <c r="G2831" s="626" t="s">
        <v>6397</v>
      </c>
      <c r="H2831" s="626" t="s">
        <v>6092</v>
      </c>
      <c r="I2831" s="638" t="s">
        <v>6095</v>
      </c>
      <c r="J2831" s="625" t="s">
        <v>6096</v>
      </c>
      <c r="K2831" s="626">
        <v>1</v>
      </c>
      <c r="L2831" s="638">
        <v>12</v>
      </c>
      <c r="M2831" s="712">
        <v>24000</v>
      </c>
      <c r="N2831" s="638">
        <v>1</v>
      </c>
      <c r="O2831" s="626">
        <v>6</v>
      </c>
      <c r="P2831" s="712">
        <f t="shared" si="26"/>
        <v>12000</v>
      </c>
    </row>
    <row r="2832" spans="1:16" s="619" customFormat="1" ht="36" x14ac:dyDescent="0.2">
      <c r="A2832" s="626" t="s">
        <v>6091</v>
      </c>
      <c r="B2832" s="626" t="s">
        <v>1908</v>
      </c>
      <c r="C2832" s="638" t="s">
        <v>104</v>
      </c>
      <c r="D2832" s="626" t="s">
        <v>6187</v>
      </c>
      <c r="E2832" s="636">
        <v>1000</v>
      </c>
      <c r="F2832" s="637" t="s">
        <v>6398</v>
      </c>
      <c r="G2832" s="626" t="s">
        <v>6399</v>
      </c>
      <c r="H2832" s="626" t="s">
        <v>2660</v>
      </c>
      <c r="I2832" s="638" t="s">
        <v>6099</v>
      </c>
      <c r="J2832" s="625" t="s">
        <v>6100</v>
      </c>
      <c r="K2832" s="626">
        <v>1</v>
      </c>
      <c r="L2832" s="638">
        <v>12</v>
      </c>
      <c r="M2832" s="712">
        <v>12000</v>
      </c>
      <c r="N2832" s="638">
        <v>1</v>
      </c>
      <c r="O2832" s="626">
        <v>6</v>
      </c>
      <c r="P2832" s="712">
        <f t="shared" si="26"/>
        <v>6000</v>
      </c>
    </row>
    <row r="2833" spans="1:16" s="619" customFormat="1" ht="36" x14ac:dyDescent="0.2">
      <c r="A2833" s="626" t="s">
        <v>6091</v>
      </c>
      <c r="B2833" s="626" t="s">
        <v>1908</v>
      </c>
      <c r="C2833" s="638" t="s">
        <v>104</v>
      </c>
      <c r="D2833" s="626" t="s">
        <v>1996</v>
      </c>
      <c r="E2833" s="636">
        <v>1200</v>
      </c>
      <c r="F2833" s="637" t="s">
        <v>6400</v>
      </c>
      <c r="G2833" s="626" t="s">
        <v>6401</v>
      </c>
      <c r="H2833" s="626"/>
      <c r="I2833" s="638" t="s">
        <v>1919</v>
      </c>
      <c r="J2833" s="625" t="s">
        <v>6128</v>
      </c>
      <c r="K2833" s="626">
        <v>1</v>
      </c>
      <c r="L2833" s="638">
        <v>12</v>
      </c>
      <c r="M2833" s="712">
        <v>14400</v>
      </c>
      <c r="N2833" s="638">
        <v>1</v>
      </c>
      <c r="O2833" s="626">
        <v>6</v>
      </c>
      <c r="P2833" s="712">
        <f t="shared" si="26"/>
        <v>7200</v>
      </c>
    </row>
    <row r="2834" spans="1:16" s="619" customFormat="1" ht="36" x14ac:dyDescent="0.2">
      <c r="A2834" s="626" t="s">
        <v>6091</v>
      </c>
      <c r="B2834" s="626" t="s">
        <v>1908</v>
      </c>
      <c r="C2834" s="638" t="s">
        <v>104</v>
      </c>
      <c r="D2834" s="626" t="s">
        <v>6101</v>
      </c>
      <c r="E2834" s="636">
        <v>2300</v>
      </c>
      <c r="F2834" s="637" t="s">
        <v>6402</v>
      </c>
      <c r="G2834" s="626" t="s">
        <v>6403</v>
      </c>
      <c r="H2834" s="626" t="s">
        <v>6101</v>
      </c>
      <c r="I2834" s="638" t="s">
        <v>6095</v>
      </c>
      <c r="J2834" s="625" t="s">
        <v>6096</v>
      </c>
      <c r="K2834" s="626">
        <v>1</v>
      </c>
      <c r="L2834" s="638">
        <v>12</v>
      </c>
      <c r="M2834" s="712">
        <v>27600</v>
      </c>
      <c r="N2834" s="638">
        <v>1</v>
      </c>
      <c r="O2834" s="626">
        <v>6</v>
      </c>
      <c r="P2834" s="712">
        <f t="shared" si="26"/>
        <v>13800</v>
      </c>
    </row>
    <row r="2835" spans="1:16" s="619" customFormat="1" ht="24" x14ac:dyDescent="0.2">
      <c r="A2835" s="626" t="s">
        <v>6091</v>
      </c>
      <c r="B2835" s="626" t="s">
        <v>1908</v>
      </c>
      <c r="C2835" s="638" t="s">
        <v>104</v>
      </c>
      <c r="D2835" s="626" t="s">
        <v>6198</v>
      </c>
      <c r="E2835" s="636">
        <v>2200</v>
      </c>
      <c r="F2835" s="637" t="s">
        <v>6404</v>
      </c>
      <c r="G2835" s="626" t="s">
        <v>6405</v>
      </c>
      <c r="H2835" s="626" t="s">
        <v>6198</v>
      </c>
      <c r="I2835" s="638" t="s">
        <v>6095</v>
      </c>
      <c r="J2835" s="625" t="s">
        <v>6096</v>
      </c>
      <c r="K2835" s="626">
        <v>1</v>
      </c>
      <c r="L2835" s="638">
        <v>12</v>
      </c>
      <c r="M2835" s="712">
        <v>26400</v>
      </c>
      <c r="N2835" s="638">
        <v>1</v>
      </c>
      <c r="O2835" s="626">
        <v>6</v>
      </c>
      <c r="P2835" s="712">
        <f t="shared" si="26"/>
        <v>13200</v>
      </c>
    </row>
    <row r="2836" spans="1:16" s="619" customFormat="1" ht="36" x14ac:dyDescent="0.2">
      <c r="A2836" s="626" t="s">
        <v>6091</v>
      </c>
      <c r="B2836" s="626" t="s">
        <v>1908</v>
      </c>
      <c r="C2836" s="638" t="s">
        <v>104</v>
      </c>
      <c r="D2836" s="626" t="s">
        <v>6101</v>
      </c>
      <c r="E2836" s="636">
        <v>2000</v>
      </c>
      <c r="F2836" s="637" t="s">
        <v>6406</v>
      </c>
      <c r="G2836" s="626" t="s">
        <v>6407</v>
      </c>
      <c r="H2836" s="626" t="s">
        <v>6101</v>
      </c>
      <c r="I2836" s="638" t="s">
        <v>6095</v>
      </c>
      <c r="J2836" s="625" t="s">
        <v>6096</v>
      </c>
      <c r="K2836" s="626">
        <v>1</v>
      </c>
      <c r="L2836" s="638">
        <v>12</v>
      </c>
      <c r="M2836" s="712">
        <v>24000</v>
      </c>
      <c r="N2836" s="638">
        <v>1</v>
      </c>
      <c r="O2836" s="626">
        <v>6</v>
      </c>
      <c r="P2836" s="712">
        <f t="shared" si="26"/>
        <v>12000</v>
      </c>
    </row>
    <row r="2837" spans="1:16" s="619" customFormat="1" ht="48" x14ac:dyDescent="0.2">
      <c r="A2837" s="626" t="s">
        <v>6091</v>
      </c>
      <c r="B2837" s="626" t="s">
        <v>1908</v>
      </c>
      <c r="C2837" s="638" t="s">
        <v>104</v>
      </c>
      <c r="D2837" s="626" t="s">
        <v>6153</v>
      </c>
      <c r="E2837" s="636">
        <v>1000</v>
      </c>
      <c r="F2837" s="637" t="s">
        <v>6408</v>
      </c>
      <c r="G2837" s="626" t="s">
        <v>6409</v>
      </c>
      <c r="H2837" s="626" t="s">
        <v>6123</v>
      </c>
      <c r="I2837" s="638" t="s">
        <v>6099</v>
      </c>
      <c r="J2837" s="625" t="s">
        <v>6100</v>
      </c>
      <c r="K2837" s="626">
        <v>1</v>
      </c>
      <c r="L2837" s="638">
        <v>12</v>
      </c>
      <c r="M2837" s="712">
        <v>12000</v>
      </c>
      <c r="N2837" s="638">
        <v>1</v>
      </c>
      <c r="O2837" s="626">
        <v>6</v>
      </c>
      <c r="P2837" s="712">
        <f t="shared" si="26"/>
        <v>6000</v>
      </c>
    </row>
    <row r="2838" spans="1:16" s="619" customFormat="1" ht="24" x14ac:dyDescent="0.2">
      <c r="A2838" s="626" t="s">
        <v>6091</v>
      </c>
      <c r="B2838" s="626" t="s">
        <v>1908</v>
      </c>
      <c r="C2838" s="638" t="s">
        <v>104</v>
      </c>
      <c r="D2838" s="626" t="s">
        <v>1996</v>
      </c>
      <c r="E2838" s="636">
        <v>1000</v>
      </c>
      <c r="F2838" s="637" t="s">
        <v>6410</v>
      </c>
      <c r="G2838" s="626" t="s">
        <v>6411</v>
      </c>
      <c r="H2838" s="626"/>
      <c r="I2838" s="638" t="s">
        <v>1919</v>
      </c>
      <c r="J2838" s="625" t="s">
        <v>6128</v>
      </c>
      <c r="K2838" s="626">
        <v>1</v>
      </c>
      <c r="L2838" s="638">
        <v>12</v>
      </c>
      <c r="M2838" s="712">
        <v>12000</v>
      </c>
      <c r="N2838" s="638">
        <v>1</v>
      </c>
      <c r="O2838" s="626">
        <v>6</v>
      </c>
      <c r="P2838" s="712">
        <f t="shared" si="26"/>
        <v>6000</v>
      </c>
    </row>
    <row r="2839" spans="1:16" s="619" customFormat="1" ht="36" x14ac:dyDescent="0.2">
      <c r="A2839" s="626" t="s">
        <v>6091</v>
      </c>
      <c r="B2839" s="626" t="s">
        <v>1908</v>
      </c>
      <c r="C2839" s="638" t="s">
        <v>104</v>
      </c>
      <c r="D2839" s="626" t="s">
        <v>2660</v>
      </c>
      <c r="E2839" s="636">
        <v>1000</v>
      </c>
      <c r="F2839" s="637" t="s">
        <v>6412</v>
      </c>
      <c r="G2839" s="626" t="s">
        <v>6413</v>
      </c>
      <c r="H2839" s="626" t="s">
        <v>2660</v>
      </c>
      <c r="I2839" s="638" t="s">
        <v>6099</v>
      </c>
      <c r="J2839" s="625" t="s">
        <v>6100</v>
      </c>
      <c r="K2839" s="626">
        <v>1</v>
      </c>
      <c r="L2839" s="638">
        <v>4</v>
      </c>
      <c r="M2839" s="712">
        <v>4000</v>
      </c>
      <c r="N2839" s="638"/>
      <c r="O2839" s="626"/>
      <c r="P2839" s="712">
        <f t="shared" si="26"/>
        <v>0</v>
      </c>
    </row>
    <row r="2840" spans="1:16" s="619" customFormat="1" ht="36" x14ac:dyDescent="0.2">
      <c r="A2840" s="626" t="s">
        <v>6091</v>
      </c>
      <c r="B2840" s="626" t="s">
        <v>1908</v>
      </c>
      <c r="C2840" s="638" t="s">
        <v>104</v>
      </c>
      <c r="D2840" s="626" t="s">
        <v>6092</v>
      </c>
      <c r="E2840" s="636">
        <v>2700</v>
      </c>
      <c r="F2840" s="637" t="s">
        <v>6414</v>
      </c>
      <c r="G2840" s="626" t="s">
        <v>6415</v>
      </c>
      <c r="H2840" s="626" t="s">
        <v>6092</v>
      </c>
      <c r="I2840" s="638" t="s">
        <v>6095</v>
      </c>
      <c r="J2840" s="625" t="s">
        <v>6096</v>
      </c>
      <c r="K2840" s="626">
        <v>1</v>
      </c>
      <c r="L2840" s="638">
        <v>12</v>
      </c>
      <c r="M2840" s="712">
        <v>32400</v>
      </c>
      <c r="N2840" s="638">
        <v>1</v>
      </c>
      <c r="O2840" s="626">
        <v>3</v>
      </c>
      <c r="P2840" s="712">
        <f t="shared" si="26"/>
        <v>8100</v>
      </c>
    </row>
    <row r="2841" spans="1:16" s="619" customFormat="1" ht="36" x14ac:dyDescent="0.2">
      <c r="A2841" s="626" t="s">
        <v>6091</v>
      </c>
      <c r="B2841" s="626" t="s">
        <v>1908</v>
      </c>
      <c r="C2841" s="638" t="s">
        <v>104</v>
      </c>
      <c r="D2841" s="626" t="s">
        <v>2232</v>
      </c>
      <c r="E2841" s="636">
        <v>6000</v>
      </c>
      <c r="F2841" s="637" t="s">
        <v>6416</v>
      </c>
      <c r="G2841" s="626" t="s">
        <v>6417</v>
      </c>
      <c r="H2841" s="626" t="s">
        <v>2232</v>
      </c>
      <c r="I2841" s="638" t="s">
        <v>6095</v>
      </c>
      <c r="J2841" s="625" t="s">
        <v>6096</v>
      </c>
      <c r="K2841" s="626">
        <v>1</v>
      </c>
      <c r="L2841" s="638">
        <v>6</v>
      </c>
      <c r="M2841" s="712">
        <v>36000</v>
      </c>
      <c r="N2841" s="638"/>
      <c r="O2841" s="626"/>
      <c r="P2841" s="712">
        <f t="shared" si="26"/>
        <v>0</v>
      </c>
    </row>
    <row r="2842" spans="1:16" s="619" customFormat="1" ht="48" x14ac:dyDescent="0.2">
      <c r="A2842" s="626" t="s">
        <v>6091</v>
      </c>
      <c r="B2842" s="626" t="s">
        <v>1908</v>
      </c>
      <c r="C2842" s="638" t="s">
        <v>104</v>
      </c>
      <c r="D2842" s="626" t="s">
        <v>6418</v>
      </c>
      <c r="E2842" s="636">
        <v>5000</v>
      </c>
      <c r="F2842" s="637" t="s">
        <v>6419</v>
      </c>
      <c r="G2842" s="626" t="s">
        <v>6420</v>
      </c>
      <c r="H2842" s="626" t="s">
        <v>1911</v>
      </c>
      <c r="I2842" s="638" t="s">
        <v>6095</v>
      </c>
      <c r="J2842" s="625" t="s">
        <v>6096</v>
      </c>
      <c r="K2842" s="626">
        <v>1</v>
      </c>
      <c r="L2842" s="638">
        <v>12</v>
      </c>
      <c r="M2842" s="712">
        <v>60000</v>
      </c>
      <c r="N2842" s="638">
        <v>1</v>
      </c>
      <c r="O2842" s="626">
        <v>6</v>
      </c>
      <c r="P2842" s="712">
        <f t="shared" si="26"/>
        <v>30000</v>
      </c>
    </row>
    <row r="2843" spans="1:16" s="619" customFormat="1" ht="48" x14ac:dyDescent="0.2">
      <c r="A2843" s="626" t="s">
        <v>6091</v>
      </c>
      <c r="B2843" s="626" t="s">
        <v>1908</v>
      </c>
      <c r="C2843" s="638" t="s">
        <v>104</v>
      </c>
      <c r="D2843" s="626" t="s">
        <v>1925</v>
      </c>
      <c r="E2843" s="636">
        <v>4000</v>
      </c>
      <c r="F2843" s="637" t="s">
        <v>6421</v>
      </c>
      <c r="G2843" s="626" t="s">
        <v>6422</v>
      </c>
      <c r="H2843" s="626" t="s">
        <v>1925</v>
      </c>
      <c r="I2843" s="638" t="s">
        <v>6095</v>
      </c>
      <c r="J2843" s="625" t="s">
        <v>6096</v>
      </c>
      <c r="K2843" s="626">
        <v>1</v>
      </c>
      <c r="L2843" s="638">
        <v>12</v>
      </c>
      <c r="M2843" s="712">
        <v>48000</v>
      </c>
      <c r="N2843" s="638"/>
      <c r="O2843" s="626"/>
      <c r="P2843" s="712">
        <f t="shared" si="26"/>
        <v>0</v>
      </c>
    </row>
    <row r="2844" spans="1:16" s="619" customFormat="1" ht="48" x14ac:dyDescent="0.2">
      <c r="A2844" s="626" t="s">
        <v>6091</v>
      </c>
      <c r="B2844" s="626" t="s">
        <v>1908</v>
      </c>
      <c r="C2844" s="638" t="s">
        <v>104</v>
      </c>
      <c r="D2844" s="626" t="s">
        <v>6179</v>
      </c>
      <c r="E2844" s="636">
        <v>4000</v>
      </c>
      <c r="F2844" s="637" t="s">
        <v>6423</v>
      </c>
      <c r="G2844" s="626" t="s">
        <v>6424</v>
      </c>
      <c r="H2844" s="626" t="s">
        <v>6182</v>
      </c>
      <c r="I2844" s="638" t="s">
        <v>6095</v>
      </c>
      <c r="J2844" s="625" t="s">
        <v>6096</v>
      </c>
      <c r="K2844" s="626">
        <v>1</v>
      </c>
      <c r="L2844" s="638">
        <v>1</v>
      </c>
      <c r="M2844" s="712">
        <v>4000</v>
      </c>
      <c r="N2844" s="638"/>
      <c r="O2844" s="626"/>
      <c r="P2844" s="712">
        <f t="shared" si="26"/>
        <v>0</v>
      </c>
    </row>
    <row r="2845" spans="1:16" s="619" customFormat="1" ht="24" x14ac:dyDescent="0.2">
      <c r="A2845" s="626" t="s">
        <v>6091</v>
      </c>
      <c r="B2845" s="626" t="s">
        <v>1908</v>
      </c>
      <c r="C2845" s="638" t="s">
        <v>104</v>
      </c>
      <c r="D2845" s="626" t="s">
        <v>6227</v>
      </c>
      <c r="E2845" s="636">
        <v>2000</v>
      </c>
      <c r="F2845" s="637" t="s">
        <v>6425</v>
      </c>
      <c r="G2845" s="626" t="s">
        <v>6426</v>
      </c>
      <c r="H2845" s="626" t="s">
        <v>5790</v>
      </c>
      <c r="I2845" s="638" t="s">
        <v>6095</v>
      </c>
      <c r="J2845" s="625" t="s">
        <v>6096</v>
      </c>
      <c r="K2845" s="626">
        <v>1</v>
      </c>
      <c r="L2845" s="638">
        <v>12</v>
      </c>
      <c r="M2845" s="712">
        <v>24000</v>
      </c>
      <c r="N2845" s="638">
        <v>1</v>
      </c>
      <c r="O2845" s="626">
        <v>6</v>
      </c>
      <c r="P2845" s="712">
        <f t="shared" si="26"/>
        <v>12000</v>
      </c>
    </row>
    <row r="2846" spans="1:16" s="619" customFormat="1" ht="24" x14ac:dyDescent="0.2">
      <c r="A2846" s="626" t="s">
        <v>6091</v>
      </c>
      <c r="B2846" s="626" t="s">
        <v>1908</v>
      </c>
      <c r="C2846" s="638" t="s">
        <v>104</v>
      </c>
      <c r="D2846" s="626" t="s">
        <v>6101</v>
      </c>
      <c r="E2846" s="636">
        <v>2000</v>
      </c>
      <c r="F2846" s="637" t="s">
        <v>6427</v>
      </c>
      <c r="G2846" s="626" t="s">
        <v>6428</v>
      </c>
      <c r="H2846" s="626" t="s">
        <v>6101</v>
      </c>
      <c r="I2846" s="638" t="s">
        <v>6095</v>
      </c>
      <c r="J2846" s="625" t="s">
        <v>6096</v>
      </c>
      <c r="K2846" s="626">
        <v>1</v>
      </c>
      <c r="L2846" s="638">
        <v>12</v>
      </c>
      <c r="M2846" s="712">
        <v>24000</v>
      </c>
      <c r="N2846" s="638">
        <v>1</v>
      </c>
      <c r="O2846" s="626">
        <v>6</v>
      </c>
      <c r="P2846" s="712">
        <f t="shared" si="26"/>
        <v>12000</v>
      </c>
    </row>
    <row r="2847" spans="1:16" s="619" customFormat="1" ht="48" x14ac:dyDescent="0.2">
      <c r="A2847" s="626" t="s">
        <v>6091</v>
      </c>
      <c r="B2847" s="626" t="s">
        <v>1908</v>
      </c>
      <c r="C2847" s="638" t="s">
        <v>104</v>
      </c>
      <c r="D2847" s="626" t="s">
        <v>2660</v>
      </c>
      <c r="E2847" s="636">
        <v>1200</v>
      </c>
      <c r="F2847" s="637" t="s">
        <v>6429</v>
      </c>
      <c r="G2847" s="626" t="s">
        <v>6430</v>
      </c>
      <c r="H2847" s="626" t="s">
        <v>2660</v>
      </c>
      <c r="I2847" s="638" t="s">
        <v>6099</v>
      </c>
      <c r="J2847" s="625" t="s">
        <v>6100</v>
      </c>
      <c r="K2847" s="626">
        <v>1</v>
      </c>
      <c r="L2847" s="638">
        <v>12</v>
      </c>
      <c r="M2847" s="712">
        <v>14400</v>
      </c>
      <c r="N2847" s="638">
        <v>1</v>
      </c>
      <c r="O2847" s="626">
        <v>6</v>
      </c>
      <c r="P2847" s="712">
        <f t="shared" si="26"/>
        <v>7200</v>
      </c>
    </row>
    <row r="2848" spans="1:16" s="619" customFormat="1" ht="36" x14ac:dyDescent="0.2">
      <c r="A2848" s="626" t="s">
        <v>6091</v>
      </c>
      <c r="B2848" s="626" t="s">
        <v>1908</v>
      </c>
      <c r="C2848" s="638" t="s">
        <v>104</v>
      </c>
      <c r="D2848" s="626" t="s">
        <v>6092</v>
      </c>
      <c r="E2848" s="636">
        <v>2000</v>
      </c>
      <c r="F2848" s="637" t="s">
        <v>6431</v>
      </c>
      <c r="G2848" s="626" t="s">
        <v>6432</v>
      </c>
      <c r="H2848" s="626" t="s">
        <v>6092</v>
      </c>
      <c r="I2848" s="638" t="s">
        <v>6095</v>
      </c>
      <c r="J2848" s="625" t="s">
        <v>6096</v>
      </c>
      <c r="K2848" s="626">
        <v>1</v>
      </c>
      <c r="L2848" s="638">
        <v>12</v>
      </c>
      <c r="M2848" s="712">
        <v>24000</v>
      </c>
      <c r="N2848" s="638">
        <v>1</v>
      </c>
      <c r="O2848" s="626">
        <v>6</v>
      </c>
      <c r="P2848" s="712">
        <f t="shared" si="26"/>
        <v>12000</v>
      </c>
    </row>
    <row r="2849" spans="1:16" s="619" customFormat="1" ht="24" x14ac:dyDescent="0.2">
      <c r="A2849" s="626" t="s">
        <v>6091</v>
      </c>
      <c r="B2849" s="626" t="s">
        <v>1908</v>
      </c>
      <c r="C2849" s="638" t="s">
        <v>104</v>
      </c>
      <c r="D2849" s="626" t="s">
        <v>1996</v>
      </c>
      <c r="E2849" s="636">
        <v>1200</v>
      </c>
      <c r="F2849" s="637" t="s">
        <v>6433</v>
      </c>
      <c r="G2849" s="626" t="s">
        <v>6434</v>
      </c>
      <c r="H2849" s="626"/>
      <c r="I2849" s="638" t="s">
        <v>1919</v>
      </c>
      <c r="J2849" s="625" t="s">
        <v>6128</v>
      </c>
      <c r="K2849" s="626">
        <v>1</v>
      </c>
      <c r="L2849" s="638">
        <v>12</v>
      </c>
      <c r="M2849" s="712">
        <v>14400</v>
      </c>
      <c r="N2849" s="638">
        <v>1</v>
      </c>
      <c r="O2849" s="626">
        <v>6</v>
      </c>
      <c r="P2849" s="712">
        <f t="shared" si="26"/>
        <v>7200</v>
      </c>
    </row>
    <row r="2850" spans="1:16" s="619" customFormat="1" ht="36" x14ac:dyDescent="0.2">
      <c r="A2850" s="626" t="s">
        <v>6091</v>
      </c>
      <c r="B2850" s="626" t="s">
        <v>1908</v>
      </c>
      <c r="C2850" s="638" t="s">
        <v>104</v>
      </c>
      <c r="D2850" s="626" t="s">
        <v>6092</v>
      </c>
      <c r="E2850" s="636">
        <v>2300</v>
      </c>
      <c r="F2850" s="637" t="s">
        <v>6435</v>
      </c>
      <c r="G2850" s="626" t="s">
        <v>6436</v>
      </c>
      <c r="H2850" s="626" t="s">
        <v>6092</v>
      </c>
      <c r="I2850" s="638" t="s">
        <v>6095</v>
      </c>
      <c r="J2850" s="625" t="s">
        <v>6096</v>
      </c>
      <c r="K2850" s="626">
        <v>1</v>
      </c>
      <c r="L2850" s="638">
        <v>12</v>
      </c>
      <c r="M2850" s="712">
        <v>27600</v>
      </c>
      <c r="N2850" s="638">
        <v>1</v>
      </c>
      <c r="O2850" s="626">
        <v>4</v>
      </c>
      <c r="P2850" s="712">
        <f t="shared" si="26"/>
        <v>9200</v>
      </c>
    </row>
    <row r="2851" spans="1:16" s="619" customFormat="1" ht="36" x14ac:dyDescent="0.2">
      <c r="A2851" s="626" t="s">
        <v>6091</v>
      </c>
      <c r="B2851" s="626" t="s">
        <v>1908</v>
      </c>
      <c r="C2851" s="638" t="s">
        <v>104</v>
      </c>
      <c r="D2851" s="626" t="s">
        <v>2660</v>
      </c>
      <c r="E2851" s="636">
        <v>1000</v>
      </c>
      <c r="F2851" s="637" t="s">
        <v>6437</v>
      </c>
      <c r="G2851" s="626" t="s">
        <v>6438</v>
      </c>
      <c r="H2851" s="626" t="s">
        <v>2660</v>
      </c>
      <c r="I2851" s="638" t="s">
        <v>6099</v>
      </c>
      <c r="J2851" s="625" t="s">
        <v>6100</v>
      </c>
      <c r="K2851" s="626">
        <v>1</v>
      </c>
      <c r="L2851" s="638">
        <v>12</v>
      </c>
      <c r="M2851" s="712">
        <v>12000</v>
      </c>
      <c r="N2851" s="638">
        <v>1</v>
      </c>
      <c r="O2851" s="626">
        <v>6</v>
      </c>
      <c r="P2851" s="712">
        <f t="shared" si="26"/>
        <v>6000</v>
      </c>
    </row>
    <row r="2852" spans="1:16" s="619" customFormat="1" ht="36" x14ac:dyDescent="0.2">
      <c r="A2852" s="626" t="s">
        <v>6091</v>
      </c>
      <c r="B2852" s="626" t="s">
        <v>1908</v>
      </c>
      <c r="C2852" s="638" t="s">
        <v>104</v>
      </c>
      <c r="D2852" s="626" t="s">
        <v>6101</v>
      </c>
      <c r="E2852" s="636">
        <v>2000</v>
      </c>
      <c r="F2852" s="637" t="s">
        <v>6439</v>
      </c>
      <c r="G2852" s="626" t="s">
        <v>6440</v>
      </c>
      <c r="H2852" s="626" t="s">
        <v>6101</v>
      </c>
      <c r="I2852" s="638" t="s">
        <v>6095</v>
      </c>
      <c r="J2852" s="625" t="s">
        <v>6096</v>
      </c>
      <c r="K2852" s="626">
        <v>1</v>
      </c>
      <c r="L2852" s="638">
        <v>12</v>
      </c>
      <c r="M2852" s="712">
        <v>24000</v>
      </c>
      <c r="N2852" s="638">
        <v>1</v>
      </c>
      <c r="O2852" s="626">
        <v>6</v>
      </c>
      <c r="P2852" s="712">
        <f t="shared" si="26"/>
        <v>12000</v>
      </c>
    </row>
    <row r="2853" spans="1:16" s="619" customFormat="1" ht="48" x14ac:dyDescent="0.2">
      <c r="A2853" s="626" t="s">
        <v>6091</v>
      </c>
      <c r="B2853" s="626" t="s">
        <v>1908</v>
      </c>
      <c r="C2853" s="638" t="s">
        <v>104</v>
      </c>
      <c r="D2853" s="626" t="s">
        <v>6227</v>
      </c>
      <c r="E2853" s="636">
        <v>2000</v>
      </c>
      <c r="F2853" s="637" t="s">
        <v>6441</v>
      </c>
      <c r="G2853" s="626" t="s">
        <v>6442</v>
      </c>
      <c r="H2853" s="626" t="s">
        <v>5790</v>
      </c>
      <c r="I2853" s="638" t="s">
        <v>6095</v>
      </c>
      <c r="J2853" s="625" t="s">
        <v>6096</v>
      </c>
      <c r="K2853" s="626">
        <v>1</v>
      </c>
      <c r="L2853" s="638">
        <v>12</v>
      </c>
      <c r="M2853" s="712">
        <v>24000</v>
      </c>
      <c r="N2853" s="638">
        <v>1</v>
      </c>
      <c r="O2853" s="626">
        <v>6</v>
      </c>
      <c r="P2853" s="712">
        <f t="shared" si="26"/>
        <v>12000</v>
      </c>
    </row>
    <row r="2854" spans="1:16" s="619" customFormat="1" ht="36" x14ac:dyDescent="0.2">
      <c r="A2854" s="626" t="s">
        <v>6091</v>
      </c>
      <c r="B2854" s="626" t="s">
        <v>1908</v>
      </c>
      <c r="C2854" s="638" t="s">
        <v>104</v>
      </c>
      <c r="D2854" s="626" t="s">
        <v>6227</v>
      </c>
      <c r="E2854" s="636">
        <v>2000</v>
      </c>
      <c r="F2854" s="637" t="s">
        <v>6443</v>
      </c>
      <c r="G2854" s="626" t="s">
        <v>6444</v>
      </c>
      <c r="H2854" s="626" t="s">
        <v>5790</v>
      </c>
      <c r="I2854" s="638" t="s">
        <v>6095</v>
      </c>
      <c r="J2854" s="625" t="s">
        <v>6096</v>
      </c>
      <c r="K2854" s="626">
        <v>1</v>
      </c>
      <c r="L2854" s="638">
        <v>12</v>
      </c>
      <c r="M2854" s="712">
        <v>24000</v>
      </c>
      <c r="N2854" s="638">
        <v>1</v>
      </c>
      <c r="O2854" s="626">
        <v>6</v>
      </c>
      <c r="P2854" s="712">
        <f t="shared" si="26"/>
        <v>12000</v>
      </c>
    </row>
    <row r="2855" spans="1:16" s="619" customFormat="1" ht="24" x14ac:dyDescent="0.2">
      <c r="A2855" s="626" t="s">
        <v>6091</v>
      </c>
      <c r="B2855" s="626" t="s">
        <v>1908</v>
      </c>
      <c r="C2855" s="638" t="s">
        <v>104</v>
      </c>
      <c r="D2855" s="626" t="s">
        <v>6227</v>
      </c>
      <c r="E2855" s="636">
        <v>3100</v>
      </c>
      <c r="F2855" s="637" t="s">
        <v>6445</v>
      </c>
      <c r="G2855" s="626" t="s">
        <v>6446</v>
      </c>
      <c r="H2855" s="626" t="s">
        <v>5790</v>
      </c>
      <c r="I2855" s="638" t="s">
        <v>6095</v>
      </c>
      <c r="J2855" s="625" t="s">
        <v>6096</v>
      </c>
      <c r="K2855" s="626">
        <v>1</v>
      </c>
      <c r="L2855" s="638">
        <v>12</v>
      </c>
      <c r="M2855" s="712">
        <v>37200</v>
      </c>
      <c r="N2855" s="638">
        <v>1</v>
      </c>
      <c r="O2855" s="626">
        <v>6</v>
      </c>
      <c r="P2855" s="712">
        <f t="shared" si="26"/>
        <v>18600</v>
      </c>
    </row>
    <row r="2856" spans="1:16" s="619" customFormat="1" ht="36" x14ac:dyDescent="0.2">
      <c r="A2856" s="626" t="s">
        <v>6091</v>
      </c>
      <c r="B2856" s="626" t="s">
        <v>1908</v>
      </c>
      <c r="C2856" s="638" t="s">
        <v>104</v>
      </c>
      <c r="D2856" s="626" t="s">
        <v>2660</v>
      </c>
      <c r="E2856" s="636">
        <v>1200</v>
      </c>
      <c r="F2856" s="637" t="s">
        <v>6447</v>
      </c>
      <c r="G2856" s="626" t="s">
        <v>6448</v>
      </c>
      <c r="H2856" s="626" t="s">
        <v>2660</v>
      </c>
      <c r="I2856" s="638" t="s">
        <v>6099</v>
      </c>
      <c r="J2856" s="625" t="s">
        <v>6100</v>
      </c>
      <c r="K2856" s="626">
        <v>1</v>
      </c>
      <c r="L2856" s="638">
        <v>1</v>
      </c>
      <c r="M2856" s="712">
        <v>1200</v>
      </c>
      <c r="N2856" s="638"/>
      <c r="O2856" s="626"/>
      <c r="P2856" s="712">
        <f t="shared" si="26"/>
        <v>0</v>
      </c>
    </row>
    <row r="2857" spans="1:16" s="619" customFormat="1" ht="36" x14ac:dyDescent="0.2">
      <c r="A2857" s="626" t="s">
        <v>6091</v>
      </c>
      <c r="B2857" s="626" t="s">
        <v>1908</v>
      </c>
      <c r="C2857" s="638" t="s">
        <v>104</v>
      </c>
      <c r="D2857" s="626" t="s">
        <v>6227</v>
      </c>
      <c r="E2857" s="636">
        <v>2000</v>
      </c>
      <c r="F2857" s="637" t="s">
        <v>6449</v>
      </c>
      <c r="G2857" s="626" t="s">
        <v>6450</v>
      </c>
      <c r="H2857" s="626" t="s">
        <v>5790</v>
      </c>
      <c r="I2857" s="638" t="s">
        <v>6095</v>
      </c>
      <c r="J2857" s="625" t="s">
        <v>6096</v>
      </c>
      <c r="K2857" s="626">
        <v>1</v>
      </c>
      <c r="L2857" s="638">
        <v>12</v>
      </c>
      <c r="M2857" s="712">
        <v>24000</v>
      </c>
      <c r="N2857" s="638">
        <v>1</v>
      </c>
      <c r="O2857" s="626">
        <v>6</v>
      </c>
      <c r="P2857" s="712">
        <f t="shared" si="26"/>
        <v>12000</v>
      </c>
    </row>
    <row r="2858" spans="1:16" s="619" customFormat="1" ht="24" x14ac:dyDescent="0.2">
      <c r="A2858" s="626" t="s">
        <v>6091</v>
      </c>
      <c r="B2858" s="626" t="s">
        <v>1908</v>
      </c>
      <c r="C2858" s="638" t="s">
        <v>104</v>
      </c>
      <c r="D2858" s="626" t="s">
        <v>6227</v>
      </c>
      <c r="E2858" s="636">
        <v>2000</v>
      </c>
      <c r="F2858" s="637" t="s">
        <v>6451</v>
      </c>
      <c r="G2858" s="626" t="s">
        <v>6452</v>
      </c>
      <c r="H2858" s="626" t="s">
        <v>5790</v>
      </c>
      <c r="I2858" s="638" t="s">
        <v>6095</v>
      </c>
      <c r="J2858" s="625" t="s">
        <v>6096</v>
      </c>
      <c r="K2858" s="626">
        <v>1</v>
      </c>
      <c r="L2858" s="638">
        <v>12</v>
      </c>
      <c r="M2858" s="712">
        <v>24000</v>
      </c>
      <c r="N2858" s="638">
        <v>1</v>
      </c>
      <c r="O2858" s="626">
        <v>4</v>
      </c>
      <c r="P2858" s="712">
        <f t="shared" si="26"/>
        <v>8000</v>
      </c>
    </row>
    <row r="2859" spans="1:16" s="619" customFormat="1" ht="36" x14ac:dyDescent="0.2">
      <c r="A2859" s="626" t="s">
        <v>6091</v>
      </c>
      <c r="B2859" s="626" t="s">
        <v>1908</v>
      </c>
      <c r="C2859" s="638" t="s">
        <v>104</v>
      </c>
      <c r="D2859" s="626" t="s">
        <v>6227</v>
      </c>
      <c r="E2859" s="636">
        <v>2000</v>
      </c>
      <c r="F2859" s="637" t="s">
        <v>6453</v>
      </c>
      <c r="G2859" s="626" t="s">
        <v>6454</v>
      </c>
      <c r="H2859" s="626" t="s">
        <v>5790</v>
      </c>
      <c r="I2859" s="638" t="s">
        <v>6095</v>
      </c>
      <c r="J2859" s="625" t="s">
        <v>6096</v>
      </c>
      <c r="K2859" s="626">
        <v>1</v>
      </c>
      <c r="L2859" s="638">
        <v>12</v>
      </c>
      <c r="M2859" s="712">
        <v>24000</v>
      </c>
      <c r="N2859" s="638">
        <v>1</v>
      </c>
      <c r="O2859" s="626">
        <v>6</v>
      </c>
      <c r="P2859" s="712">
        <f t="shared" si="26"/>
        <v>12000</v>
      </c>
    </row>
    <row r="2860" spans="1:16" s="619" customFormat="1" ht="36" x14ac:dyDescent="0.2">
      <c r="A2860" s="626" t="s">
        <v>6091</v>
      </c>
      <c r="B2860" s="626" t="s">
        <v>1908</v>
      </c>
      <c r="C2860" s="638" t="s">
        <v>104</v>
      </c>
      <c r="D2860" s="626" t="s">
        <v>2660</v>
      </c>
      <c r="E2860" s="636">
        <v>1200</v>
      </c>
      <c r="F2860" s="637" t="s">
        <v>6455</v>
      </c>
      <c r="G2860" s="626" t="s">
        <v>6456</v>
      </c>
      <c r="H2860" s="626" t="s">
        <v>2660</v>
      </c>
      <c r="I2860" s="638" t="s">
        <v>6099</v>
      </c>
      <c r="J2860" s="625" t="s">
        <v>6100</v>
      </c>
      <c r="K2860" s="626">
        <v>1</v>
      </c>
      <c r="L2860" s="638">
        <v>1</v>
      </c>
      <c r="M2860" s="712">
        <v>1200</v>
      </c>
      <c r="N2860" s="638"/>
      <c r="O2860" s="626"/>
      <c r="P2860" s="712">
        <f t="shared" si="26"/>
        <v>0</v>
      </c>
    </row>
    <row r="2861" spans="1:16" s="619" customFormat="1" ht="36" x14ac:dyDescent="0.2">
      <c r="A2861" s="626" t="s">
        <v>6091</v>
      </c>
      <c r="B2861" s="626" t="s">
        <v>1908</v>
      </c>
      <c r="C2861" s="638" t="s">
        <v>104</v>
      </c>
      <c r="D2861" s="626" t="s">
        <v>1996</v>
      </c>
      <c r="E2861" s="636">
        <v>1000</v>
      </c>
      <c r="F2861" s="637" t="s">
        <v>6457</v>
      </c>
      <c r="G2861" s="626" t="s">
        <v>6458</v>
      </c>
      <c r="H2861" s="626"/>
      <c r="I2861" s="638" t="s">
        <v>1919</v>
      </c>
      <c r="J2861" s="625" t="s">
        <v>6128</v>
      </c>
      <c r="K2861" s="626">
        <v>1</v>
      </c>
      <c r="L2861" s="638">
        <v>12</v>
      </c>
      <c r="M2861" s="712">
        <v>12000</v>
      </c>
      <c r="N2861" s="638">
        <v>1</v>
      </c>
      <c r="O2861" s="626">
        <v>6</v>
      </c>
      <c r="P2861" s="712">
        <f t="shared" si="26"/>
        <v>6000</v>
      </c>
    </row>
    <row r="2862" spans="1:16" s="619" customFormat="1" ht="36" x14ac:dyDescent="0.2">
      <c r="A2862" s="626" t="s">
        <v>6091</v>
      </c>
      <c r="B2862" s="626" t="s">
        <v>1908</v>
      </c>
      <c r="C2862" s="638" t="s">
        <v>104</v>
      </c>
      <c r="D2862" s="626" t="s">
        <v>6092</v>
      </c>
      <c r="E2862" s="636">
        <v>2000</v>
      </c>
      <c r="F2862" s="637" t="s">
        <v>6459</v>
      </c>
      <c r="G2862" s="626" t="s">
        <v>6460</v>
      </c>
      <c r="H2862" s="626" t="s">
        <v>6092</v>
      </c>
      <c r="I2862" s="638" t="s">
        <v>6095</v>
      </c>
      <c r="J2862" s="625" t="s">
        <v>6096</v>
      </c>
      <c r="K2862" s="626">
        <v>1</v>
      </c>
      <c r="L2862" s="638">
        <v>12</v>
      </c>
      <c r="M2862" s="712">
        <v>24000</v>
      </c>
      <c r="N2862" s="638">
        <v>1</v>
      </c>
      <c r="O2862" s="626">
        <v>6</v>
      </c>
      <c r="P2862" s="712">
        <f t="shared" si="26"/>
        <v>12000</v>
      </c>
    </row>
    <row r="2863" spans="1:16" s="619" customFormat="1" ht="36" x14ac:dyDescent="0.2">
      <c r="A2863" s="626" t="s">
        <v>6091</v>
      </c>
      <c r="B2863" s="626" t="s">
        <v>1908</v>
      </c>
      <c r="C2863" s="638" t="s">
        <v>104</v>
      </c>
      <c r="D2863" s="626" t="s">
        <v>6418</v>
      </c>
      <c r="E2863" s="636">
        <v>2300</v>
      </c>
      <c r="F2863" s="637" t="s">
        <v>6461</v>
      </c>
      <c r="G2863" s="626" t="s">
        <v>6462</v>
      </c>
      <c r="H2863" s="626" t="s">
        <v>1911</v>
      </c>
      <c r="I2863" s="638" t="s">
        <v>6095</v>
      </c>
      <c r="J2863" s="625" t="s">
        <v>6096</v>
      </c>
      <c r="K2863" s="626">
        <v>1</v>
      </c>
      <c r="L2863" s="638">
        <v>12</v>
      </c>
      <c r="M2863" s="712">
        <v>27600</v>
      </c>
      <c r="N2863" s="638">
        <v>1</v>
      </c>
      <c r="O2863" s="626">
        <v>6</v>
      </c>
      <c r="P2863" s="712">
        <f t="shared" si="26"/>
        <v>13800</v>
      </c>
    </row>
    <row r="2864" spans="1:16" s="619" customFormat="1" ht="36" x14ac:dyDescent="0.2">
      <c r="A2864" s="626" t="s">
        <v>6091</v>
      </c>
      <c r="B2864" s="626" t="s">
        <v>1908</v>
      </c>
      <c r="C2864" s="638" t="s">
        <v>104</v>
      </c>
      <c r="D2864" s="626" t="s">
        <v>6227</v>
      </c>
      <c r="E2864" s="636">
        <v>2500</v>
      </c>
      <c r="F2864" s="637" t="s">
        <v>6463</v>
      </c>
      <c r="G2864" s="626" t="s">
        <v>6464</v>
      </c>
      <c r="H2864" s="626" t="s">
        <v>5790</v>
      </c>
      <c r="I2864" s="638" t="s">
        <v>6095</v>
      </c>
      <c r="J2864" s="625" t="s">
        <v>6096</v>
      </c>
      <c r="K2864" s="626">
        <v>1</v>
      </c>
      <c r="L2864" s="638">
        <v>1</v>
      </c>
      <c r="M2864" s="712">
        <v>2500</v>
      </c>
      <c r="N2864" s="638">
        <v>1</v>
      </c>
      <c r="O2864" s="626">
        <v>6</v>
      </c>
      <c r="P2864" s="712">
        <f t="shared" si="26"/>
        <v>15000</v>
      </c>
    </row>
    <row r="2865" spans="1:16" s="619" customFormat="1" ht="36" x14ac:dyDescent="0.2">
      <c r="A2865" s="626" t="s">
        <v>6091</v>
      </c>
      <c r="B2865" s="626" t="s">
        <v>1908</v>
      </c>
      <c r="C2865" s="638" t="s">
        <v>104</v>
      </c>
      <c r="D2865" s="626" t="s">
        <v>6092</v>
      </c>
      <c r="E2865" s="636">
        <v>2500</v>
      </c>
      <c r="F2865" s="637" t="s">
        <v>6465</v>
      </c>
      <c r="G2865" s="626" t="s">
        <v>6466</v>
      </c>
      <c r="H2865" s="626" t="s">
        <v>6092</v>
      </c>
      <c r="I2865" s="638" t="s">
        <v>6095</v>
      </c>
      <c r="J2865" s="625" t="s">
        <v>6096</v>
      </c>
      <c r="K2865" s="626">
        <v>1</v>
      </c>
      <c r="L2865" s="638">
        <v>12</v>
      </c>
      <c r="M2865" s="712">
        <v>30000</v>
      </c>
      <c r="N2865" s="638">
        <v>1</v>
      </c>
      <c r="O2865" s="626">
        <v>6</v>
      </c>
      <c r="P2865" s="712">
        <f t="shared" si="26"/>
        <v>15000</v>
      </c>
    </row>
    <row r="2866" spans="1:16" s="619" customFormat="1" ht="24" x14ac:dyDescent="0.2">
      <c r="A2866" s="626" t="s">
        <v>6091</v>
      </c>
      <c r="B2866" s="626" t="s">
        <v>1908</v>
      </c>
      <c r="C2866" s="638" t="s">
        <v>104</v>
      </c>
      <c r="D2866" s="626" t="s">
        <v>6418</v>
      </c>
      <c r="E2866" s="636">
        <v>2100</v>
      </c>
      <c r="F2866" s="637" t="s">
        <v>6467</v>
      </c>
      <c r="G2866" s="626" t="s">
        <v>6468</v>
      </c>
      <c r="H2866" s="626" t="s">
        <v>1911</v>
      </c>
      <c r="I2866" s="638" t="s">
        <v>6095</v>
      </c>
      <c r="J2866" s="625" t="s">
        <v>6096</v>
      </c>
      <c r="K2866" s="626">
        <v>1</v>
      </c>
      <c r="L2866" s="638">
        <v>12</v>
      </c>
      <c r="M2866" s="712">
        <v>25200</v>
      </c>
      <c r="N2866" s="638">
        <v>1</v>
      </c>
      <c r="O2866" s="626">
        <v>6</v>
      </c>
      <c r="P2866" s="712">
        <f t="shared" si="26"/>
        <v>12600</v>
      </c>
    </row>
    <row r="2867" spans="1:16" s="619" customFormat="1" ht="48" x14ac:dyDescent="0.2">
      <c r="A2867" s="626" t="s">
        <v>6091</v>
      </c>
      <c r="B2867" s="626" t="s">
        <v>1908</v>
      </c>
      <c r="C2867" s="638" t="s">
        <v>104</v>
      </c>
      <c r="D2867" s="626" t="s">
        <v>1965</v>
      </c>
      <c r="E2867" s="636">
        <v>2100</v>
      </c>
      <c r="F2867" s="637" t="s">
        <v>6469</v>
      </c>
      <c r="G2867" s="626" t="s">
        <v>6470</v>
      </c>
      <c r="H2867" s="626" t="s">
        <v>1965</v>
      </c>
      <c r="I2867" s="638" t="s">
        <v>6095</v>
      </c>
      <c r="J2867" s="625" t="s">
        <v>6096</v>
      </c>
      <c r="K2867" s="626">
        <v>1</v>
      </c>
      <c r="L2867" s="638">
        <v>6</v>
      </c>
      <c r="M2867" s="712">
        <v>12600</v>
      </c>
      <c r="N2867" s="638"/>
      <c r="O2867" s="626"/>
      <c r="P2867" s="712">
        <f t="shared" si="26"/>
        <v>0</v>
      </c>
    </row>
    <row r="2868" spans="1:16" s="619" customFormat="1" ht="24" x14ac:dyDescent="0.2">
      <c r="A2868" s="626" t="s">
        <v>6091</v>
      </c>
      <c r="B2868" s="626" t="s">
        <v>1908</v>
      </c>
      <c r="C2868" s="638" t="s">
        <v>104</v>
      </c>
      <c r="D2868" s="626" t="s">
        <v>6149</v>
      </c>
      <c r="E2868" s="636">
        <v>2000</v>
      </c>
      <c r="F2868" s="637" t="s">
        <v>6471</v>
      </c>
      <c r="G2868" s="626" t="s">
        <v>6472</v>
      </c>
      <c r="H2868" s="626" t="s">
        <v>6152</v>
      </c>
      <c r="I2868" s="638" t="s">
        <v>6095</v>
      </c>
      <c r="J2868" s="625" t="s">
        <v>6096</v>
      </c>
      <c r="K2868" s="626">
        <v>1</v>
      </c>
      <c r="L2868" s="638">
        <v>10</v>
      </c>
      <c r="M2868" s="712">
        <v>20000</v>
      </c>
      <c r="N2868" s="638">
        <v>1</v>
      </c>
      <c r="O2868" s="626">
        <v>6</v>
      </c>
      <c r="P2868" s="712">
        <f t="shared" si="26"/>
        <v>12000</v>
      </c>
    </row>
    <row r="2869" spans="1:16" s="619" customFormat="1" ht="48" x14ac:dyDescent="0.2">
      <c r="A2869" s="626" t="s">
        <v>6091</v>
      </c>
      <c r="B2869" s="626" t="s">
        <v>1908</v>
      </c>
      <c r="C2869" s="638" t="s">
        <v>104</v>
      </c>
      <c r="D2869" s="626" t="s">
        <v>6114</v>
      </c>
      <c r="E2869" s="636">
        <v>1200</v>
      </c>
      <c r="F2869" s="637" t="s">
        <v>6473</v>
      </c>
      <c r="G2869" s="626" t="s">
        <v>6474</v>
      </c>
      <c r="H2869" s="626" t="s">
        <v>6123</v>
      </c>
      <c r="I2869" s="638" t="s">
        <v>6099</v>
      </c>
      <c r="J2869" s="625" t="s">
        <v>6100</v>
      </c>
      <c r="K2869" s="626">
        <v>1</v>
      </c>
      <c r="L2869" s="638">
        <v>12</v>
      </c>
      <c r="M2869" s="712">
        <v>14400</v>
      </c>
      <c r="N2869" s="638">
        <v>1</v>
      </c>
      <c r="O2869" s="626">
        <v>6</v>
      </c>
      <c r="P2869" s="712">
        <f t="shared" si="26"/>
        <v>7200</v>
      </c>
    </row>
    <row r="2870" spans="1:16" s="619" customFormat="1" ht="48" x14ac:dyDescent="0.2">
      <c r="A2870" s="626" t="s">
        <v>6091</v>
      </c>
      <c r="B2870" s="626" t="s">
        <v>1908</v>
      </c>
      <c r="C2870" s="638" t="s">
        <v>104</v>
      </c>
      <c r="D2870" s="626" t="s">
        <v>6114</v>
      </c>
      <c r="E2870" s="636">
        <v>1200</v>
      </c>
      <c r="F2870" s="637" t="s">
        <v>6475</v>
      </c>
      <c r="G2870" s="626" t="s">
        <v>6476</v>
      </c>
      <c r="H2870" s="626" t="s">
        <v>6123</v>
      </c>
      <c r="I2870" s="638" t="s">
        <v>6099</v>
      </c>
      <c r="J2870" s="625" t="s">
        <v>6100</v>
      </c>
      <c r="K2870" s="626">
        <v>1</v>
      </c>
      <c r="L2870" s="638">
        <v>12</v>
      </c>
      <c r="M2870" s="712">
        <v>14400</v>
      </c>
      <c r="N2870" s="638">
        <v>1</v>
      </c>
      <c r="O2870" s="626">
        <v>6</v>
      </c>
      <c r="P2870" s="712">
        <f t="shared" si="26"/>
        <v>7200</v>
      </c>
    </row>
    <row r="2871" spans="1:16" s="619" customFormat="1" ht="36" x14ac:dyDescent="0.2">
      <c r="A2871" s="626" t="s">
        <v>6091</v>
      </c>
      <c r="B2871" s="626" t="s">
        <v>1908</v>
      </c>
      <c r="C2871" s="638" t="s">
        <v>104</v>
      </c>
      <c r="D2871" s="626" t="s">
        <v>6179</v>
      </c>
      <c r="E2871" s="636">
        <v>4000</v>
      </c>
      <c r="F2871" s="637" t="s">
        <v>6477</v>
      </c>
      <c r="G2871" s="626" t="s">
        <v>6478</v>
      </c>
      <c r="H2871" s="626" t="s">
        <v>6182</v>
      </c>
      <c r="I2871" s="638" t="s">
        <v>6095</v>
      </c>
      <c r="J2871" s="625" t="s">
        <v>6096</v>
      </c>
      <c r="K2871" s="626">
        <v>1</v>
      </c>
      <c r="L2871" s="638">
        <v>5</v>
      </c>
      <c r="M2871" s="712">
        <v>20000</v>
      </c>
      <c r="N2871" s="638"/>
      <c r="O2871" s="626"/>
      <c r="P2871" s="712">
        <f t="shared" si="26"/>
        <v>0</v>
      </c>
    </row>
    <row r="2872" spans="1:16" s="619" customFormat="1" ht="36" x14ac:dyDescent="0.2">
      <c r="A2872" s="626" t="s">
        <v>6091</v>
      </c>
      <c r="B2872" s="626" t="s">
        <v>1908</v>
      </c>
      <c r="C2872" s="638" t="s">
        <v>104</v>
      </c>
      <c r="D2872" s="626" t="s">
        <v>6179</v>
      </c>
      <c r="E2872" s="636">
        <v>3300</v>
      </c>
      <c r="F2872" s="637" t="s">
        <v>6479</v>
      </c>
      <c r="G2872" s="626" t="s">
        <v>6480</v>
      </c>
      <c r="H2872" s="626" t="s">
        <v>6182</v>
      </c>
      <c r="I2872" s="638" t="s">
        <v>6095</v>
      </c>
      <c r="J2872" s="625" t="s">
        <v>6096</v>
      </c>
      <c r="K2872" s="626">
        <v>1</v>
      </c>
      <c r="L2872" s="638">
        <v>12</v>
      </c>
      <c r="M2872" s="712">
        <v>39600</v>
      </c>
      <c r="N2872" s="638"/>
      <c r="O2872" s="626"/>
      <c r="P2872" s="712">
        <f t="shared" si="26"/>
        <v>0</v>
      </c>
    </row>
    <row r="2873" spans="1:16" s="619" customFormat="1" ht="36" x14ac:dyDescent="0.2">
      <c r="A2873" s="626" t="s">
        <v>6091</v>
      </c>
      <c r="B2873" s="626" t="s">
        <v>1908</v>
      </c>
      <c r="C2873" s="638" t="s">
        <v>104</v>
      </c>
      <c r="D2873" s="626" t="s">
        <v>6198</v>
      </c>
      <c r="E2873" s="636">
        <v>2300</v>
      </c>
      <c r="F2873" s="637" t="s">
        <v>6481</v>
      </c>
      <c r="G2873" s="626" t="s">
        <v>6482</v>
      </c>
      <c r="H2873" s="626" t="s">
        <v>6198</v>
      </c>
      <c r="I2873" s="638" t="s">
        <v>6095</v>
      </c>
      <c r="J2873" s="625" t="s">
        <v>6096</v>
      </c>
      <c r="K2873" s="626">
        <v>1</v>
      </c>
      <c r="L2873" s="638">
        <v>1</v>
      </c>
      <c r="M2873" s="712">
        <v>2300</v>
      </c>
      <c r="N2873" s="638"/>
      <c r="O2873" s="626"/>
      <c r="P2873" s="712">
        <f t="shared" si="26"/>
        <v>0</v>
      </c>
    </row>
    <row r="2874" spans="1:16" s="619" customFormat="1" ht="48" x14ac:dyDescent="0.2">
      <c r="A2874" s="626" t="s">
        <v>6091</v>
      </c>
      <c r="B2874" s="626" t="s">
        <v>1908</v>
      </c>
      <c r="C2874" s="638" t="s">
        <v>104</v>
      </c>
      <c r="D2874" s="626" t="s">
        <v>3529</v>
      </c>
      <c r="E2874" s="636">
        <v>2000</v>
      </c>
      <c r="F2874" s="637" t="s">
        <v>6483</v>
      </c>
      <c r="G2874" s="626" t="s">
        <v>6484</v>
      </c>
      <c r="H2874" s="626" t="s">
        <v>4337</v>
      </c>
      <c r="I2874" s="638" t="s">
        <v>6095</v>
      </c>
      <c r="J2874" s="625" t="s">
        <v>6096</v>
      </c>
      <c r="K2874" s="626">
        <v>1</v>
      </c>
      <c r="L2874" s="638">
        <v>9</v>
      </c>
      <c r="M2874" s="712">
        <v>18000</v>
      </c>
      <c r="N2874" s="638">
        <v>1</v>
      </c>
      <c r="O2874" s="626">
        <v>6</v>
      </c>
      <c r="P2874" s="712">
        <f t="shared" si="26"/>
        <v>12000</v>
      </c>
    </row>
    <row r="2875" spans="1:16" s="619" customFormat="1" ht="36" x14ac:dyDescent="0.2">
      <c r="A2875" s="626" t="s">
        <v>6091</v>
      </c>
      <c r="B2875" s="626" t="s">
        <v>1908</v>
      </c>
      <c r="C2875" s="638" t="s">
        <v>104</v>
      </c>
      <c r="D2875" s="626" t="s">
        <v>6092</v>
      </c>
      <c r="E2875" s="636">
        <v>2000</v>
      </c>
      <c r="F2875" s="637" t="s">
        <v>6485</v>
      </c>
      <c r="G2875" s="626" t="s">
        <v>6486</v>
      </c>
      <c r="H2875" s="626" t="s">
        <v>6092</v>
      </c>
      <c r="I2875" s="638" t="s">
        <v>6095</v>
      </c>
      <c r="J2875" s="625" t="s">
        <v>6096</v>
      </c>
      <c r="K2875" s="626">
        <v>1</v>
      </c>
      <c r="L2875" s="638">
        <v>12</v>
      </c>
      <c r="M2875" s="712">
        <v>24000</v>
      </c>
      <c r="N2875" s="638">
        <v>1</v>
      </c>
      <c r="O2875" s="626">
        <v>6</v>
      </c>
      <c r="P2875" s="712">
        <f t="shared" si="26"/>
        <v>12000</v>
      </c>
    </row>
    <row r="2876" spans="1:16" s="619" customFormat="1" ht="24" x14ac:dyDescent="0.2">
      <c r="A2876" s="626" t="s">
        <v>6091</v>
      </c>
      <c r="B2876" s="626" t="s">
        <v>1908</v>
      </c>
      <c r="C2876" s="638" t="s">
        <v>104</v>
      </c>
      <c r="D2876" s="626" t="s">
        <v>6179</v>
      </c>
      <c r="E2876" s="636">
        <v>4000</v>
      </c>
      <c r="F2876" s="637" t="s">
        <v>6487</v>
      </c>
      <c r="G2876" s="626" t="s">
        <v>6488</v>
      </c>
      <c r="H2876" s="626" t="s">
        <v>6182</v>
      </c>
      <c r="I2876" s="638" t="s">
        <v>6095</v>
      </c>
      <c r="J2876" s="625" t="s">
        <v>6096</v>
      </c>
      <c r="K2876" s="626">
        <v>1</v>
      </c>
      <c r="L2876" s="638">
        <v>2</v>
      </c>
      <c r="M2876" s="712">
        <v>8000</v>
      </c>
      <c r="N2876" s="638"/>
      <c r="O2876" s="626"/>
      <c r="P2876" s="712">
        <f t="shared" si="26"/>
        <v>0</v>
      </c>
    </row>
    <row r="2877" spans="1:16" s="619" customFormat="1" ht="36" x14ac:dyDescent="0.2">
      <c r="A2877" s="626" t="s">
        <v>6091</v>
      </c>
      <c r="B2877" s="626" t="s">
        <v>1908</v>
      </c>
      <c r="C2877" s="638" t="s">
        <v>104</v>
      </c>
      <c r="D2877" s="626" t="s">
        <v>2660</v>
      </c>
      <c r="E2877" s="636">
        <v>1200</v>
      </c>
      <c r="F2877" s="637" t="s">
        <v>6489</v>
      </c>
      <c r="G2877" s="626" t="s">
        <v>6490</v>
      </c>
      <c r="H2877" s="626" t="s">
        <v>2660</v>
      </c>
      <c r="I2877" s="638" t="s">
        <v>6099</v>
      </c>
      <c r="J2877" s="625" t="s">
        <v>6100</v>
      </c>
      <c r="K2877" s="626">
        <v>1</v>
      </c>
      <c r="L2877" s="638">
        <v>6</v>
      </c>
      <c r="M2877" s="712">
        <v>7200</v>
      </c>
      <c r="N2877" s="638"/>
      <c r="O2877" s="626"/>
      <c r="P2877" s="712">
        <f t="shared" si="26"/>
        <v>0</v>
      </c>
    </row>
    <row r="2878" spans="1:16" s="619" customFormat="1" ht="36" x14ac:dyDescent="0.2">
      <c r="A2878" s="626" t="s">
        <v>6091</v>
      </c>
      <c r="B2878" s="626" t="s">
        <v>1908</v>
      </c>
      <c r="C2878" s="638" t="s">
        <v>104</v>
      </c>
      <c r="D2878" s="626" t="s">
        <v>6179</v>
      </c>
      <c r="E2878" s="636">
        <v>3300</v>
      </c>
      <c r="F2878" s="637" t="s">
        <v>6491</v>
      </c>
      <c r="G2878" s="626" t="s">
        <v>6492</v>
      </c>
      <c r="H2878" s="626" t="s">
        <v>6182</v>
      </c>
      <c r="I2878" s="638" t="s">
        <v>6095</v>
      </c>
      <c r="J2878" s="625" t="s">
        <v>6096</v>
      </c>
      <c r="K2878" s="626">
        <v>1</v>
      </c>
      <c r="L2878" s="638">
        <v>12</v>
      </c>
      <c r="M2878" s="712">
        <v>39600</v>
      </c>
      <c r="N2878" s="638"/>
      <c r="O2878" s="626"/>
      <c r="P2878" s="712">
        <f t="shared" si="26"/>
        <v>0</v>
      </c>
    </row>
    <row r="2879" spans="1:16" s="619" customFormat="1" ht="24" x14ac:dyDescent="0.2">
      <c r="A2879" s="626" t="s">
        <v>6091</v>
      </c>
      <c r="B2879" s="626" t="s">
        <v>1908</v>
      </c>
      <c r="C2879" s="638" t="s">
        <v>104</v>
      </c>
      <c r="D2879" s="626" t="s">
        <v>6149</v>
      </c>
      <c r="E2879" s="636">
        <v>2000</v>
      </c>
      <c r="F2879" s="637" t="s">
        <v>6493</v>
      </c>
      <c r="G2879" s="626" t="s">
        <v>6494</v>
      </c>
      <c r="H2879" s="626" t="s">
        <v>6152</v>
      </c>
      <c r="I2879" s="638" t="s">
        <v>6095</v>
      </c>
      <c r="J2879" s="625" t="s">
        <v>6096</v>
      </c>
      <c r="K2879" s="626">
        <v>1</v>
      </c>
      <c r="L2879" s="638">
        <v>12</v>
      </c>
      <c r="M2879" s="712">
        <v>24000</v>
      </c>
      <c r="N2879" s="638">
        <v>1</v>
      </c>
      <c r="O2879" s="626">
        <v>1</v>
      </c>
      <c r="P2879" s="712">
        <f t="shared" si="26"/>
        <v>2000</v>
      </c>
    </row>
    <row r="2880" spans="1:16" s="619" customFormat="1" ht="36" x14ac:dyDescent="0.2">
      <c r="A2880" s="626" t="s">
        <v>6091</v>
      </c>
      <c r="B2880" s="626" t="s">
        <v>1908</v>
      </c>
      <c r="C2880" s="638" t="s">
        <v>104</v>
      </c>
      <c r="D2880" s="626" t="s">
        <v>3583</v>
      </c>
      <c r="E2880" s="636">
        <v>1200</v>
      </c>
      <c r="F2880" s="637" t="s">
        <v>6495</v>
      </c>
      <c r="G2880" s="626" t="s">
        <v>6496</v>
      </c>
      <c r="H2880" s="626" t="s">
        <v>2087</v>
      </c>
      <c r="I2880" s="638" t="s">
        <v>6099</v>
      </c>
      <c r="J2880" s="625" t="s">
        <v>6100</v>
      </c>
      <c r="K2880" s="626">
        <v>1</v>
      </c>
      <c r="L2880" s="638">
        <v>4</v>
      </c>
      <c r="M2880" s="712">
        <v>4800</v>
      </c>
      <c r="N2880" s="638"/>
      <c r="O2880" s="626"/>
      <c r="P2880" s="712">
        <f t="shared" si="26"/>
        <v>0</v>
      </c>
    </row>
    <row r="2881" spans="1:16" s="619" customFormat="1" ht="24" x14ac:dyDescent="0.2">
      <c r="A2881" s="626" t="s">
        <v>6091</v>
      </c>
      <c r="B2881" s="626" t="s">
        <v>1908</v>
      </c>
      <c r="C2881" s="638" t="s">
        <v>104</v>
      </c>
      <c r="D2881" s="626" t="s">
        <v>6198</v>
      </c>
      <c r="E2881" s="636">
        <v>2000</v>
      </c>
      <c r="F2881" s="637" t="s">
        <v>6497</v>
      </c>
      <c r="G2881" s="626" t="s">
        <v>6498</v>
      </c>
      <c r="H2881" s="626" t="s">
        <v>6198</v>
      </c>
      <c r="I2881" s="638" t="s">
        <v>6095</v>
      </c>
      <c r="J2881" s="625" t="s">
        <v>6096</v>
      </c>
      <c r="K2881" s="626">
        <v>1</v>
      </c>
      <c r="L2881" s="638">
        <v>12</v>
      </c>
      <c r="M2881" s="712">
        <v>24000</v>
      </c>
      <c r="N2881" s="638">
        <v>1</v>
      </c>
      <c r="O2881" s="626">
        <v>6</v>
      </c>
      <c r="P2881" s="712">
        <f t="shared" si="26"/>
        <v>12000</v>
      </c>
    </row>
    <row r="2882" spans="1:16" s="619" customFormat="1" ht="36" x14ac:dyDescent="0.2">
      <c r="A2882" s="626" t="s">
        <v>6091</v>
      </c>
      <c r="B2882" s="626" t="s">
        <v>1908</v>
      </c>
      <c r="C2882" s="638" t="s">
        <v>104</v>
      </c>
      <c r="D2882" s="626" t="s">
        <v>2660</v>
      </c>
      <c r="E2882" s="636">
        <v>1000</v>
      </c>
      <c r="F2882" s="637" t="s">
        <v>6499</v>
      </c>
      <c r="G2882" s="626" t="s">
        <v>6500</v>
      </c>
      <c r="H2882" s="626"/>
      <c r="I2882" s="638" t="s">
        <v>6099</v>
      </c>
      <c r="J2882" s="625" t="s">
        <v>6100</v>
      </c>
      <c r="K2882" s="626">
        <v>1</v>
      </c>
      <c r="L2882" s="638">
        <v>1</v>
      </c>
      <c r="M2882" s="712">
        <v>1000</v>
      </c>
      <c r="N2882" s="638"/>
      <c r="O2882" s="626"/>
      <c r="P2882" s="712">
        <f t="shared" si="26"/>
        <v>0</v>
      </c>
    </row>
    <row r="2883" spans="1:16" s="619" customFormat="1" ht="36" x14ac:dyDescent="0.2">
      <c r="A2883" s="626" t="s">
        <v>6091</v>
      </c>
      <c r="B2883" s="626" t="s">
        <v>1908</v>
      </c>
      <c r="C2883" s="638" t="s">
        <v>104</v>
      </c>
      <c r="D2883" s="626" t="s">
        <v>2660</v>
      </c>
      <c r="E2883" s="636">
        <v>1200</v>
      </c>
      <c r="F2883" s="637" t="s">
        <v>6501</v>
      </c>
      <c r="G2883" s="626" t="s">
        <v>6502</v>
      </c>
      <c r="H2883" s="626" t="s">
        <v>2660</v>
      </c>
      <c r="I2883" s="638" t="s">
        <v>6099</v>
      </c>
      <c r="J2883" s="625" t="s">
        <v>6100</v>
      </c>
      <c r="K2883" s="626">
        <v>1</v>
      </c>
      <c r="L2883" s="638">
        <v>1</v>
      </c>
      <c r="M2883" s="712">
        <v>1200</v>
      </c>
      <c r="N2883" s="638"/>
      <c r="O2883" s="626"/>
      <c r="P2883" s="712">
        <f t="shared" si="26"/>
        <v>0</v>
      </c>
    </row>
    <row r="2884" spans="1:16" s="619" customFormat="1" ht="24" x14ac:dyDescent="0.2">
      <c r="A2884" s="626" t="s">
        <v>6091</v>
      </c>
      <c r="B2884" s="626" t="s">
        <v>1908</v>
      </c>
      <c r="C2884" s="638" t="s">
        <v>104</v>
      </c>
      <c r="D2884" s="626" t="s">
        <v>6227</v>
      </c>
      <c r="E2884" s="636">
        <v>2000</v>
      </c>
      <c r="F2884" s="637" t="s">
        <v>6503</v>
      </c>
      <c r="G2884" s="626" t="s">
        <v>6504</v>
      </c>
      <c r="H2884" s="626" t="s">
        <v>5790</v>
      </c>
      <c r="I2884" s="638" t="s">
        <v>6095</v>
      </c>
      <c r="J2884" s="625" t="s">
        <v>6096</v>
      </c>
      <c r="K2884" s="626">
        <v>1</v>
      </c>
      <c r="L2884" s="638">
        <v>12</v>
      </c>
      <c r="M2884" s="712">
        <v>24000</v>
      </c>
      <c r="N2884" s="638">
        <v>1</v>
      </c>
      <c r="O2884" s="626">
        <v>6</v>
      </c>
      <c r="P2884" s="712">
        <f t="shared" si="26"/>
        <v>12000</v>
      </c>
    </row>
    <row r="2885" spans="1:16" s="619" customFormat="1" ht="48" x14ac:dyDescent="0.2">
      <c r="A2885" s="626" t="s">
        <v>6091</v>
      </c>
      <c r="B2885" s="626" t="s">
        <v>1908</v>
      </c>
      <c r="C2885" s="638" t="s">
        <v>104</v>
      </c>
      <c r="D2885" s="626" t="s">
        <v>6114</v>
      </c>
      <c r="E2885" s="636">
        <v>1200</v>
      </c>
      <c r="F2885" s="637" t="s">
        <v>6505</v>
      </c>
      <c r="G2885" s="626" t="s">
        <v>6506</v>
      </c>
      <c r="H2885" s="626" t="s">
        <v>6123</v>
      </c>
      <c r="I2885" s="638" t="s">
        <v>6099</v>
      </c>
      <c r="J2885" s="625" t="s">
        <v>6100</v>
      </c>
      <c r="K2885" s="626">
        <v>1</v>
      </c>
      <c r="L2885" s="638">
        <v>9</v>
      </c>
      <c r="M2885" s="712">
        <v>10800</v>
      </c>
      <c r="N2885" s="638">
        <v>1</v>
      </c>
      <c r="O2885" s="626">
        <v>1</v>
      </c>
      <c r="P2885" s="712">
        <f t="shared" ref="P2885:P2948" si="27">O2885*E2885</f>
        <v>1200</v>
      </c>
    </row>
    <row r="2886" spans="1:16" s="619" customFormat="1" ht="36" x14ac:dyDescent="0.2">
      <c r="A2886" s="626" t="s">
        <v>6091</v>
      </c>
      <c r="B2886" s="626" t="s">
        <v>1908</v>
      </c>
      <c r="C2886" s="638" t="s">
        <v>104</v>
      </c>
      <c r="D2886" s="626" t="s">
        <v>3529</v>
      </c>
      <c r="E2886" s="636">
        <v>2000</v>
      </c>
      <c r="F2886" s="637" t="s">
        <v>6507</v>
      </c>
      <c r="G2886" s="626" t="s">
        <v>6508</v>
      </c>
      <c r="H2886" s="626" t="s">
        <v>4337</v>
      </c>
      <c r="I2886" s="638" t="s">
        <v>6095</v>
      </c>
      <c r="J2886" s="625" t="s">
        <v>6096</v>
      </c>
      <c r="K2886" s="626">
        <v>1</v>
      </c>
      <c r="L2886" s="638">
        <v>9</v>
      </c>
      <c r="M2886" s="712">
        <v>18000</v>
      </c>
      <c r="N2886" s="638">
        <v>1</v>
      </c>
      <c r="O2886" s="626">
        <v>6</v>
      </c>
      <c r="P2886" s="712">
        <f t="shared" si="27"/>
        <v>12000</v>
      </c>
    </row>
    <row r="2887" spans="1:16" s="619" customFormat="1" ht="36" x14ac:dyDescent="0.2">
      <c r="A2887" s="626" t="s">
        <v>6091</v>
      </c>
      <c r="B2887" s="626" t="s">
        <v>1908</v>
      </c>
      <c r="C2887" s="638" t="s">
        <v>104</v>
      </c>
      <c r="D2887" s="626" t="s">
        <v>6509</v>
      </c>
      <c r="E2887" s="636">
        <v>1600</v>
      </c>
      <c r="F2887" s="637" t="s">
        <v>6510</v>
      </c>
      <c r="G2887" s="626" t="s">
        <v>6511</v>
      </c>
      <c r="H2887" s="626" t="s">
        <v>6142</v>
      </c>
      <c r="I2887" s="638" t="s">
        <v>6095</v>
      </c>
      <c r="J2887" s="625" t="s">
        <v>6096</v>
      </c>
      <c r="K2887" s="626">
        <v>1</v>
      </c>
      <c r="L2887" s="638">
        <v>12</v>
      </c>
      <c r="M2887" s="712">
        <v>19200</v>
      </c>
      <c r="N2887" s="638">
        <v>1</v>
      </c>
      <c r="O2887" s="626">
        <v>6</v>
      </c>
      <c r="P2887" s="712">
        <f t="shared" si="27"/>
        <v>9600</v>
      </c>
    </row>
    <row r="2888" spans="1:16" s="619" customFormat="1" ht="36" x14ac:dyDescent="0.2">
      <c r="A2888" s="626" t="s">
        <v>6091</v>
      </c>
      <c r="B2888" s="626" t="s">
        <v>1908</v>
      </c>
      <c r="C2888" s="638" t="s">
        <v>104</v>
      </c>
      <c r="D2888" s="626" t="s">
        <v>6227</v>
      </c>
      <c r="E2888" s="636">
        <v>2800</v>
      </c>
      <c r="F2888" s="637" t="s">
        <v>6512</v>
      </c>
      <c r="G2888" s="626" t="s">
        <v>6513</v>
      </c>
      <c r="H2888" s="626" t="s">
        <v>5790</v>
      </c>
      <c r="I2888" s="638" t="s">
        <v>6095</v>
      </c>
      <c r="J2888" s="625" t="s">
        <v>6096</v>
      </c>
      <c r="K2888" s="626">
        <v>1</v>
      </c>
      <c r="L2888" s="638">
        <v>2</v>
      </c>
      <c r="M2888" s="712">
        <v>5600</v>
      </c>
      <c r="N2888" s="638"/>
      <c r="O2888" s="626"/>
      <c r="P2888" s="712">
        <f t="shared" si="27"/>
        <v>0</v>
      </c>
    </row>
    <row r="2889" spans="1:16" s="619" customFormat="1" ht="36" x14ac:dyDescent="0.2">
      <c r="A2889" s="626" t="s">
        <v>6091</v>
      </c>
      <c r="B2889" s="626" t="s">
        <v>1908</v>
      </c>
      <c r="C2889" s="638" t="s">
        <v>104</v>
      </c>
      <c r="D2889" s="626" t="s">
        <v>3529</v>
      </c>
      <c r="E2889" s="636">
        <v>2000</v>
      </c>
      <c r="F2889" s="637" t="s">
        <v>6514</v>
      </c>
      <c r="G2889" s="626" t="s">
        <v>6515</v>
      </c>
      <c r="H2889" s="626" t="s">
        <v>4589</v>
      </c>
      <c r="I2889" s="638" t="s">
        <v>6099</v>
      </c>
      <c r="J2889" s="625" t="s">
        <v>6100</v>
      </c>
      <c r="K2889" s="626">
        <v>1</v>
      </c>
      <c r="L2889" s="638">
        <v>12</v>
      </c>
      <c r="M2889" s="712">
        <v>24000</v>
      </c>
      <c r="N2889" s="638">
        <v>1</v>
      </c>
      <c r="O2889" s="626">
        <v>6</v>
      </c>
      <c r="P2889" s="712">
        <f t="shared" si="27"/>
        <v>12000</v>
      </c>
    </row>
    <row r="2890" spans="1:16" s="619" customFormat="1" ht="48" x14ac:dyDescent="0.2">
      <c r="A2890" s="626" t="s">
        <v>6091</v>
      </c>
      <c r="B2890" s="626" t="s">
        <v>1908</v>
      </c>
      <c r="C2890" s="638" t="s">
        <v>104</v>
      </c>
      <c r="D2890" s="626" t="s">
        <v>6114</v>
      </c>
      <c r="E2890" s="636">
        <v>1200</v>
      </c>
      <c r="F2890" s="637" t="s">
        <v>6516</v>
      </c>
      <c r="G2890" s="626" t="s">
        <v>6517</v>
      </c>
      <c r="H2890" s="626" t="s">
        <v>6123</v>
      </c>
      <c r="I2890" s="638" t="s">
        <v>6099</v>
      </c>
      <c r="J2890" s="625" t="s">
        <v>6100</v>
      </c>
      <c r="K2890" s="626">
        <v>1</v>
      </c>
      <c r="L2890" s="638">
        <v>12</v>
      </c>
      <c r="M2890" s="712">
        <v>14400</v>
      </c>
      <c r="N2890" s="638">
        <v>1</v>
      </c>
      <c r="O2890" s="626">
        <v>6</v>
      </c>
      <c r="P2890" s="712">
        <f t="shared" si="27"/>
        <v>7200</v>
      </c>
    </row>
    <row r="2891" spans="1:16" s="619" customFormat="1" ht="24" x14ac:dyDescent="0.2">
      <c r="A2891" s="626" t="s">
        <v>6091</v>
      </c>
      <c r="B2891" s="626" t="s">
        <v>1908</v>
      </c>
      <c r="C2891" s="638" t="s">
        <v>104</v>
      </c>
      <c r="D2891" s="626" t="s">
        <v>6092</v>
      </c>
      <c r="E2891" s="636">
        <v>2000</v>
      </c>
      <c r="F2891" s="637" t="s">
        <v>6518</v>
      </c>
      <c r="G2891" s="626" t="s">
        <v>6519</v>
      </c>
      <c r="H2891" s="626" t="s">
        <v>6092</v>
      </c>
      <c r="I2891" s="638" t="s">
        <v>6095</v>
      </c>
      <c r="J2891" s="625" t="s">
        <v>6096</v>
      </c>
      <c r="K2891" s="626">
        <v>1</v>
      </c>
      <c r="L2891" s="638">
        <v>8</v>
      </c>
      <c r="M2891" s="712">
        <v>16000</v>
      </c>
      <c r="N2891" s="638"/>
      <c r="O2891" s="626"/>
      <c r="P2891" s="712">
        <f t="shared" si="27"/>
        <v>0</v>
      </c>
    </row>
    <row r="2892" spans="1:16" s="619" customFormat="1" ht="36" x14ac:dyDescent="0.2">
      <c r="A2892" s="626" t="s">
        <v>6091</v>
      </c>
      <c r="B2892" s="626" t="s">
        <v>1908</v>
      </c>
      <c r="C2892" s="638" t="s">
        <v>104</v>
      </c>
      <c r="D2892" s="626" t="s">
        <v>6092</v>
      </c>
      <c r="E2892" s="636">
        <v>2000</v>
      </c>
      <c r="F2892" s="637" t="s">
        <v>6520</v>
      </c>
      <c r="G2892" s="626" t="s">
        <v>6521</v>
      </c>
      <c r="H2892" s="626" t="s">
        <v>6092</v>
      </c>
      <c r="I2892" s="638" t="s">
        <v>6095</v>
      </c>
      <c r="J2892" s="625" t="s">
        <v>6096</v>
      </c>
      <c r="K2892" s="626">
        <v>1</v>
      </c>
      <c r="L2892" s="638">
        <v>8</v>
      </c>
      <c r="M2892" s="712">
        <v>16000</v>
      </c>
      <c r="N2892" s="638">
        <v>1</v>
      </c>
      <c r="O2892" s="626">
        <v>6</v>
      </c>
      <c r="P2892" s="712">
        <f t="shared" si="27"/>
        <v>12000</v>
      </c>
    </row>
    <row r="2893" spans="1:16" s="619" customFormat="1" ht="36" x14ac:dyDescent="0.2">
      <c r="A2893" s="626" t="s">
        <v>6091</v>
      </c>
      <c r="B2893" s="626" t="s">
        <v>1908</v>
      </c>
      <c r="C2893" s="638" t="s">
        <v>104</v>
      </c>
      <c r="D2893" s="626" t="s">
        <v>2660</v>
      </c>
      <c r="E2893" s="636">
        <v>1200</v>
      </c>
      <c r="F2893" s="637" t="s">
        <v>6522</v>
      </c>
      <c r="G2893" s="626" t="s">
        <v>6523</v>
      </c>
      <c r="H2893" s="626" t="s">
        <v>2660</v>
      </c>
      <c r="I2893" s="638" t="s">
        <v>6099</v>
      </c>
      <c r="J2893" s="625" t="s">
        <v>6100</v>
      </c>
      <c r="K2893" s="626">
        <v>1</v>
      </c>
      <c r="L2893" s="638">
        <v>12</v>
      </c>
      <c r="M2893" s="712">
        <v>14400</v>
      </c>
      <c r="N2893" s="638">
        <v>1</v>
      </c>
      <c r="O2893" s="626">
        <v>6</v>
      </c>
      <c r="P2893" s="712">
        <f t="shared" si="27"/>
        <v>7200</v>
      </c>
    </row>
    <row r="2894" spans="1:16" s="619" customFormat="1" ht="24" x14ac:dyDescent="0.2">
      <c r="A2894" s="626" t="s">
        <v>6091</v>
      </c>
      <c r="B2894" s="626" t="s">
        <v>1908</v>
      </c>
      <c r="C2894" s="638" t="s">
        <v>104</v>
      </c>
      <c r="D2894" s="626" t="s">
        <v>6101</v>
      </c>
      <c r="E2894" s="636">
        <v>2000</v>
      </c>
      <c r="F2894" s="637" t="s">
        <v>6524</v>
      </c>
      <c r="G2894" s="626" t="s">
        <v>6525</v>
      </c>
      <c r="H2894" s="626" t="s">
        <v>6101</v>
      </c>
      <c r="I2894" s="638" t="s">
        <v>6095</v>
      </c>
      <c r="J2894" s="625" t="s">
        <v>6096</v>
      </c>
      <c r="K2894" s="626">
        <v>1</v>
      </c>
      <c r="L2894" s="638">
        <v>12</v>
      </c>
      <c r="M2894" s="712">
        <v>24000</v>
      </c>
      <c r="N2894" s="638">
        <v>1</v>
      </c>
      <c r="O2894" s="626">
        <v>6</v>
      </c>
      <c r="P2894" s="712">
        <f t="shared" si="27"/>
        <v>12000</v>
      </c>
    </row>
    <row r="2895" spans="1:16" s="619" customFormat="1" ht="36" x14ac:dyDescent="0.2">
      <c r="A2895" s="626" t="s">
        <v>6091</v>
      </c>
      <c r="B2895" s="626" t="s">
        <v>1908</v>
      </c>
      <c r="C2895" s="638" t="s">
        <v>104</v>
      </c>
      <c r="D2895" s="626" t="s">
        <v>2660</v>
      </c>
      <c r="E2895" s="636">
        <v>1200</v>
      </c>
      <c r="F2895" s="637" t="s">
        <v>6526</v>
      </c>
      <c r="G2895" s="626" t="s">
        <v>6527</v>
      </c>
      <c r="H2895" s="626" t="s">
        <v>2660</v>
      </c>
      <c r="I2895" s="638" t="s">
        <v>6099</v>
      </c>
      <c r="J2895" s="625" t="s">
        <v>6100</v>
      </c>
      <c r="K2895" s="626">
        <v>1</v>
      </c>
      <c r="L2895" s="638">
        <v>12</v>
      </c>
      <c r="M2895" s="712">
        <v>14400</v>
      </c>
      <c r="N2895" s="638">
        <v>1</v>
      </c>
      <c r="O2895" s="626">
        <v>6</v>
      </c>
      <c r="P2895" s="712">
        <f t="shared" si="27"/>
        <v>7200</v>
      </c>
    </row>
    <row r="2896" spans="1:16" s="619" customFormat="1" ht="48" x14ac:dyDescent="0.2">
      <c r="A2896" s="626" t="s">
        <v>6091</v>
      </c>
      <c r="B2896" s="626" t="s">
        <v>1908</v>
      </c>
      <c r="C2896" s="638" t="s">
        <v>104</v>
      </c>
      <c r="D2896" s="626" t="s">
        <v>6240</v>
      </c>
      <c r="E2896" s="636">
        <v>1000</v>
      </c>
      <c r="F2896" s="637" t="s">
        <v>6528</v>
      </c>
      <c r="G2896" s="626" t="s">
        <v>6529</v>
      </c>
      <c r="H2896" s="626" t="s">
        <v>6240</v>
      </c>
      <c r="I2896" s="638" t="s">
        <v>6099</v>
      </c>
      <c r="J2896" s="625" t="s">
        <v>6100</v>
      </c>
      <c r="K2896" s="626">
        <v>1</v>
      </c>
      <c r="L2896" s="638">
        <v>12</v>
      </c>
      <c r="M2896" s="712">
        <v>12000</v>
      </c>
      <c r="N2896" s="638">
        <v>1</v>
      </c>
      <c r="O2896" s="626">
        <v>6</v>
      </c>
      <c r="P2896" s="712">
        <f t="shared" si="27"/>
        <v>6000</v>
      </c>
    </row>
    <row r="2897" spans="1:16" s="619" customFormat="1" ht="36" x14ac:dyDescent="0.2">
      <c r="A2897" s="626" t="s">
        <v>6091</v>
      </c>
      <c r="B2897" s="626" t="s">
        <v>1908</v>
      </c>
      <c r="C2897" s="638" t="s">
        <v>104</v>
      </c>
      <c r="D2897" s="626" t="s">
        <v>6101</v>
      </c>
      <c r="E2897" s="636">
        <v>2000</v>
      </c>
      <c r="F2897" s="637" t="s">
        <v>6530</v>
      </c>
      <c r="G2897" s="626" t="s">
        <v>6531</v>
      </c>
      <c r="H2897" s="626" t="s">
        <v>6101</v>
      </c>
      <c r="I2897" s="638" t="s">
        <v>6095</v>
      </c>
      <c r="J2897" s="625" t="s">
        <v>6096</v>
      </c>
      <c r="K2897" s="626">
        <v>1</v>
      </c>
      <c r="L2897" s="638">
        <v>11</v>
      </c>
      <c r="M2897" s="712">
        <v>22000</v>
      </c>
      <c r="N2897" s="638">
        <v>1</v>
      </c>
      <c r="O2897" s="626">
        <v>6</v>
      </c>
      <c r="P2897" s="712">
        <f t="shared" si="27"/>
        <v>12000</v>
      </c>
    </row>
    <row r="2898" spans="1:16" s="619" customFormat="1" ht="36" x14ac:dyDescent="0.2">
      <c r="A2898" s="626" t="s">
        <v>6091</v>
      </c>
      <c r="B2898" s="626" t="s">
        <v>1908</v>
      </c>
      <c r="C2898" s="638" t="s">
        <v>104</v>
      </c>
      <c r="D2898" s="626" t="s">
        <v>2660</v>
      </c>
      <c r="E2898" s="636">
        <v>1200</v>
      </c>
      <c r="F2898" s="637" t="s">
        <v>6532</v>
      </c>
      <c r="G2898" s="626" t="s">
        <v>6533</v>
      </c>
      <c r="H2898" s="626" t="s">
        <v>2660</v>
      </c>
      <c r="I2898" s="638" t="s">
        <v>6099</v>
      </c>
      <c r="J2898" s="625" t="s">
        <v>6100</v>
      </c>
      <c r="K2898" s="626">
        <v>1</v>
      </c>
      <c r="L2898" s="638">
        <v>12</v>
      </c>
      <c r="M2898" s="712">
        <v>14400</v>
      </c>
      <c r="N2898" s="638">
        <v>1</v>
      </c>
      <c r="O2898" s="626">
        <v>6</v>
      </c>
      <c r="P2898" s="712">
        <f t="shared" si="27"/>
        <v>7200</v>
      </c>
    </row>
    <row r="2899" spans="1:16" s="619" customFormat="1" ht="36" x14ac:dyDescent="0.2">
      <c r="A2899" s="626" t="s">
        <v>6091</v>
      </c>
      <c r="B2899" s="626" t="s">
        <v>1908</v>
      </c>
      <c r="C2899" s="638" t="s">
        <v>104</v>
      </c>
      <c r="D2899" s="626" t="s">
        <v>2660</v>
      </c>
      <c r="E2899" s="636">
        <v>1200</v>
      </c>
      <c r="F2899" s="637" t="s">
        <v>6534</v>
      </c>
      <c r="G2899" s="626" t="s">
        <v>6535</v>
      </c>
      <c r="H2899" s="626" t="s">
        <v>2660</v>
      </c>
      <c r="I2899" s="638" t="s">
        <v>6099</v>
      </c>
      <c r="J2899" s="625" t="s">
        <v>6100</v>
      </c>
      <c r="K2899" s="626">
        <v>1</v>
      </c>
      <c r="L2899" s="638">
        <v>9</v>
      </c>
      <c r="M2899" s="712">
        <v>10800</v>
      </c>
      <c r="N2899" s="638">
        <v>1</v>
      </c>
      <c r="O2899" s="626">
        <v>6</v>
      </c>
      <c r="P2899" s="712">
        <f t="shared" si="27"/>
        <v>7200</v>
      </c>
    </row>
    <row r="2900" spans="1:16" s="619" customFormat="1" ht="36" x14ac:dyDescent="0.2">
      <c r="A2900" s="626" t="s">
        <v>6091</v>
      </c>
      <c r="B2900" s="626" t="s">
        <v>1908</v>
      </c>
      <c r="C2900" s="638" t="s">
        <v>104</v>
      </c>
      <c r="D2900" s="626" t="s">
        <v>2660</v>
      </c>
      <c r="E2900" s="636">
        <v>1000</v>
      </c>
      <c r="F2900" s="637" t="s">
        <v>6536</v>
      </c>
      <c r="G2900" s="626" t="s">
        <v>6537</v>
      </c>
      <c r="H2900" s="626" t="s">
        <v>2660</v>
      </c>
      <c r="I2900" s="638" t="s">
        <v>6099</v>
      </c>
      <c r="J2900" s="625" t="s">
        <v>6100</v>
      </c>
      <c r="K2900" s="626">
        <v>1</v>
      </c>
      <c r="L2900" s="638">
        <v>12</v>
      </c>
      <c r="M2900" s="712">
        <v>12000</v>
      </c>
      <c r="N2900" s="638">
        <v>1</v>
      </c>
      <c r="O2900" s="626">
        <v>6</v>
      </c>
      <c r="P2900" s="712">
        <f t="shared" si="27"/>
        <v>6000</v>
      </c>
    </row>
    <row r="2901" spans="1:16" s="619" customFormat="1" ht="24" x14ac:dyDescent="0.2">
      <c r="A2901" s="626" t="s">
        <v>6091</v>
      </c>
      <c r="B2901" s="626" t="s">
        <v>1908</v>
      </c>
      <c r="C2901" s="638" t="s">
        <v>104</v>
      </c>
      <c r="D2901" s="626" t="s">
        <v>6092</v>
      </c>
      <c r="E2901" s="636">
        <v>2000</v>
      </c>
      <c r="F2901" s="637" t="s">
        <v>6538</v>
      </c>
      <c r="G2901" s="626" t="s">
        <v>6539</v>
      </c>
      <c r="H2901" s="626" t="s">
        <v>6092</v>
      </c>
      <c r="I2901" s="638" t="s">
        <v>6095</v>
      </c>
      <c r="J2901" s="625" t="s">
        <v>6096</v>
      </c>
      <c r="K2901" s="626">
        <v>1</v>
      </c>
      <c r="L2901" s="638">
        <v>12</v>
      </c>
      <c r="M2901" s="712">
        <v>24000</v>
      </c>
      <c r="N2901" s="638">
        <v>1</v>
      </c>
      <c r="O2901" s="626">
        <v>6</v>
      </c>
      <c r="P2901" s="712">
        <f t="shared" si="27"/>
        <v>12000</v>
      </c>
    </row>
    <row r="2902" spans="1:16" s="619" customFormat="1" ht="36" x14ac:dyDescent="0.2">
      <c r="A2902" s="626" t="s">
        <v>6091</v>
      </c>
      <c r="B2902" s="626" t="s">
        <v>1908</v>
      </c>
      <c r="C2902" s="638" t="s">
        <v>104</v>
      </c>
      <c r="D2902" s="626" t="s">
        <v>6092</v>
      </c>
      <c r="E2902" s="636">
        <v>2000</v>
      </c>
      <c r="F2902" s="637" t="s">
        <v>6540</v>
      </c>
      <c r="G2902" s="626" t="s">
        <v>6541</v>
      </c>
      <c r="H2902" s="626" t="s">
        <v>6092</v>
      </c>
      <c r="I2902" s="638" t="s">
        <v>6095</v>
      </c>
      <c r="J2902" s="625" t="s">
        <v>6096</v>
      </c>
      <c r="K2902" s="626">
        <v>1</v>
      </c>
      <c r="L2902" s="638">
        <v>12</v>
      </c>
      <c r="M2902" s="712">
        <v>24000</v>
      </c>
      <c r="N2902" s="638">
        <v>1</v>
      </c>
      <c r="O2902" s="626">
        <v>6</v>
      </c>
      <c r="P2902" s="712">
        <f t="shared" si="27"/>
        <v>12000</v>
      </c>
    </row>
    <row r="2903" spans="1:16" s="619" customFormat="1" ht="36" x14ac:dyDescent="0.2">
      <c r="A2903" s="626" t="s">
        <v>6091</v>
      </c>
      <c r="B2903" s="626" t="s">
        <v>1908</v>
      </c>
      <c r="C2903" s="638" t="s">
        <v>104</v>
      </c>
      <c r="D2903" s="626" t="s">
        <v>6101</v>
      </c>
      <c r="E2903" s="636">
        <v>2000</v>
      </c>
      <c r="F2903" s="637" t="s">
        <v>6542</v>
      </c>
      <c r="G2903" s="626" t="s">
        <v>6543</v>
      </c>
      <c r="H2903" s="626" t="s">
        <v>6101</v>
      </c>
      <c r="I2903" s="638" t="s">
        <v>6095</v>
      </c>
      <c r="J2903" s="625" t="s">
        <v>6096</v>
      </c>
      <c r="K2903" s="626">
        <v>1</v>
      </c>
      <c r="L2903" s="638">
        <v>12</v>
      </c>
      <c r="M2903" s="712">
        <v>24000</v>
      </c>
      <c r="N2903" s="638">
        <v>1</v>
      </c>
      <c r="O2903" s="626">
        <v>6</v>
      </c>
      <c r="P2903" s="712">
        <f t="shared" si="27"/>
        <v>12000</v>
      </c>
    </row>
    <row r="2904" spans="1:16" s="619" customFormat="1" ht="36" x14ac:dyDescent="0.2">
      <c r="A2904" s="626" t="s">
        <v>6091</v>
      </c>
      <c r="B2904" s="626" t="s">
        <v>1908</v>
      </c>
      <c r="C2904" s="638" t="s">
        <v>104</v>
      </c>
      <c r="D2904" s="626" t="s">
        <v>6227</v>
      </c>
      <c r="E2904" s="636">
        <v>2400</v>
      </c>
      <c r="F2904" s="637" t="s">
        <v>6544</v>
      </c>
      <c r="G2904" s="626" t="s">
        <v>6545</v>
      </c>
      <c r="H2904" s="626" t="s">
        <v>5790</v>
      </c>
      <c r="I2904" s="638" t="s">
        <v>6095</v>
      </c>
      <c r="J2904" s="625" t="s">
        <v>6096</v>
      </c>
      <c r="K2904" s="626">
        <v>1</v>
      </c>
      <c r="L2904" s="638">
        <v>12</v>
      </c>
      <c r="M2904" s="712">
        <v>28800</v>
      </c>
      <c r="N2904" s="638">
        <v>1</v>
      </c>
      <c r="O2904" s="626">
        <v>6</v>
      </c>
      <c r="P2904" s="712">
        <f t="shared" si="27"/>
        <v>14400</v>
      </c>
    </row>
    <row r="2905" spans="1:16" s="619" customFormat="1" ht="48" x14ac:dyDescent="0.2">
      <c r="A2905" s="626" t="s">
        <v>6091</v>
      </c>
      <c r="B2905" s="626" t="s">
        <v>1908</v>
      </c>
      <c r="C2905" s="638" t="s">
        <v>104</v>
      </c>
      <c r="D2905" s="626" t="s">
        <v>6149</v>
      </c>
      <c r="E2905" s="636">
        <v>2000</v>
      </c>
      <c r="F2905" s="637" t="s">
        <v>6546</v>
      </c>
      <c r="G2905" s="626" t="s">
        <v>6547</v>
      </c>
      <c r="H2905" s="626" t="s">
        <v>6152</v>
      </c>
      <c r="I2905" s="638" t="s">
        <v>6095</v>
      </c>
      <c r="J2905" s="625" t="s">
        <v>6096</v>
      </c>
      <c r="K2905" s="626">
        <v>1</v>
      </c>
      <c r="L2905" s="638">
        <v>12</v>
      </c>
      <c r="M2905" s="712">
        <v>24000</v>
      </c>
      <c r="N2905" s="638">
        <v>1</v>
      </c>
      <c r="O2905" s="626">
        <v>6</v>
      </c>
      <c r="P2905" s="712">
        <f t="shared" si="27"/>
        <v>12000</v>
      </c>
    </row>
    <row r="2906" spans="1:16" s="619" customFormat="1" ht="48" x14ac:dyDescent="0.2">
      <c r="A2906" s="626" t="s">
        <v>6091</v>
      </c>
      <c r="B2906" s="626" t="s">
        <v>1908</v>
      </c>
      <c r="C2906" s="638" t="s">
        <v>104</v>
      </c>
      <c r="D2906" s="626" t="s">
        <v>6548</v>
      </c>
      <c r="E2906" s="636">
        <v>2500</v>
      </c>
      <c r="F2906" s="637" t="s">
        <v>6549</v>
      </c>
      <c r="G2906" s="626" t="s">
        <v>6550</v>
      </c>
      <c r="H2906" s="626" t="s">
        <v>6548</v>
      </c>
      <c r="I2906" s="638" t="s">
        <v>6095</v>
      </c>
      <c r="J2906" s="625" t="s">
        <v>6096</v>
      </c>
      <c r="K2906" s="626">
        <v>1</v>
      </c>
      <c r="L2906" s="638">
        <v>12</v>
      </c>
      <c r="M2906" s="712">
        <v>30000</v>
      </c>
      <c r="N2906" s="638">
        <v>1</v>
      </c>
      <c r="O2906" s="626">
        <v>6</v>
      </c>
      <c r="P2906" s="712">
        <f t="shared" si="27"/>
        <v>15000</v>
      </c>
    </row>
    <row r="2907" spans="1:16" s="619" customFormat="1" ht="36" x14ac:dyDescent="0.2">
      <c r="A2907" s="626" t="s">
        <v>6091</v>
      </c>
      <c r="B2907" s="626" t="s">
        <v>1908</v>
      </c>
      <c r="C2907" s="638" t="s">
        <v>104</v>
      </c>
      <c r="D2907" s="626" t="s">
        <v>6227</v>
      </c>
      <c r="E2907" s="636">
        <v>2500</v>
      </c>
      <c r="F2907" s="637" t="s">
        <v>6551</v>
      </c>
      <c r="G2907" s="626" t="s">
        <v>6552</v>
      </c>
      <c r="H2907" s="626" t="s">
        <v>5790</v>
      </c>
      <c r="I2907" s="638" t="s">
        <v>6095</v>
      </c>
      <c r="J2907" s="625" t="s">
        <v>6096</v>
      </c>
      <c r="K2907" s="626">
        <v>1</v>
      </c>
      <c r="L2907" s="638">
        <v>12</v>
      </c>
      <c r="M2907" s="712">
        <v>30000</v>
      </c>
      <c r="N2907" s="638"/>
      <c r="O2907" s="626"/>
      <c r="P2907" s="712">
        <f t="shared" si="27"/>
        <v>0</v>
      </c>
    </row>
    <row r="2908" spans="1:16" s="619" customFormat="1" ht="36" x14ac:dyDescent="0.2">
      <c r="A2908" s="626" t="s">
        <v>6091</v>
      </c>
      <c r="B2908" s="626" t="s">
        <v>1908</v>
      </c>
      <c r="C2908" s="638" t="s">
        <v>104</v>
      </c>
      <c r="D2908" s="626" t="s">
        <v>6227</v>
      </c>
      <c r="E2908" s="636">
        <v>2500</v>
      </c>
      <c r="F2908" s="637" t="s">
        <v>6553</v>
      </c>
      <c r="G2908" s="626" t="s">
        <v>6554</v>
      </c>
      <c r="H2908" s="626" t="s">
        <v>5790</v>
      </c>
      <c r="I2908" s="638" t="s">
        <v>6095</v>
      </c>
      <c r="J2908" s="625" t="s">
        <v>6096</v>
      </c>
      <c r="K2908" s="626">
        <v>1</v>
      </c>
      <c r="L2908" s="638">
        <v>12</v>
      </c>
      <c r="M2908" s="712">
        <v>30000</v>
      </c>
      <c r="N2908" s="638">
        <v>1</v>
      </c>
      <c r="O2908" s="626">
        <v>5</v>
      </c>
      <c r="P2908" s="712">
        <f t="shared" si="27"/>
        <v>12500</v>
      </c>
    </row>
    <row r="2909" spans="1:16" s="619" customFormat="1" ht="36" x14ac:dyDescent="0.2">
      <c r="A2909" s="626" t="s">
        <v>6091</v>
      </c>
      <c r="B2909" s="626" t="s">
        <v>1908</v>
      </c>
      <c r="C2909" s="638" t="s">
        <v>104</v>
      </c>
      <c r="D2909" s="626" t="s">
        <v>3606</v>
      </c>
      <c r="E2909" s="636">
        <v>2000</v>
      </c>
      <c r="F2909" s="637" t="s">
        <v>6555</v>
      </c>
      <c r="G2909" s="626" t="s">
        <v>6556</v>
      </c>
      <c r="H2909" s="626" t="s">
        <v>6557</v>
      </c>
      <c r="I2909" s="638" t="s">
        <v>6099</v>
      </c>
      <c r="J2909" s="625" t="s">
        <v>6100</v>
      </c>
      <c r="K2909" s="626">
        <v>1</v>
      </c>
      <c r="L2909" s="638">
        <v>12</v>
      </c>
      <c r="M2909" s="712">
        <v>24000</v>
      </c>
      <c r="N2909" s="638">
        <v>1</v>
      </c>
      <c r="O2909" s="626">
        <v>6</v>
      </c>
      <c r="P2909" s="712">
        <f t="shared" si="27"/>
        <v>12000</v>
      </c>
    </row>
    <row r="2910" spans="1:16" s="619" customFormat="1" ht="36" x14ac:dyDescent="0.2">
      <c r="A2910" s="626" t="s">
        <v>6091</v>
      </c>
      <c r="B2910" s="626" t="s">
        <v>1908</v>
      </c>
      <c r="C2910" s="638" t="s">
        <v>104</v>
      </c>
      <c r="D2910" s="626" t="s">
        <v>6558</v>
      </c>
      <c r="E2910" s="636">
        <v>2500</v>
      </c>
      <c r="F2910" s="637" t="s">
        <v>6559</v>
      </c>
      <c r="G2910" s="626" t="s">
        <v>6560</v>
      </c>
      <c r="H2910" s="626" t="s">
        <v>6561</v>
      </c>
      <c r="I2910" s="638" t="s">
        <v>6095</v>
      </c>
      <c r="J2910" s="625" t="s">
        <v>6096</v>
      </c>
      <c r="K2910" s="626">
        <v>1</v>
      </c>
      <c r="L2910" s="638">
        <v>12</v>
      </c>
      <c r="M2910" s="712">
        <v>30000</v>
      </c>
      <c r="N2910" s="638">
        <v>1</v>
      </c>
      <c r="O2910" s="626">
        <v>6</v>
      </c>
      <c r="P2910" s="712">
        <f t="shared" si="27"/>
        <v>15000</v>
      </c>
    </row>
    <row r="2911" spans="1:16" s="619" customFormat="1" ht="36" x14ac:dyDescent="0.2">
      <c r="A2911" s="626" t="s">
        <v>6091</v>
      </c>
      <c r="B2911" s="626" t="s">
        <v>1908</v>
      </c>
      <c r="C2911" s="638" t="s">
        <v>104</v>
      </c>
      <c r="D2911" s="626" t="s">
        <v>6240</v>
      </c>
      <c r="E2911" s="636">
        <v>1800</v>
      </c>
      <c r="F2911" s="637" t="s">
        <v>6562</v>
      </c>
      <c r="G2911" s="626" t="s">
        <v>6563</v>
      </c>
      <c r="H2911" s="626" t="s">
        <v>6240</v>
      </c>
      <c r="I2911" s="638" t="s">
        <v>6099</v>
      </c>
      <c r="J2911" s="625" t="s">
        <v>6100</v>
      </c>
      <c r="K2911" s="626">
        <v>1</v>
      </c>
      <c r="L2911" s="638">
        <v>12</v>
      </c>
      <c r="M2911" s="712">
        <v>21600</v>
      </c>
      <c r="N2911" s="638">
        <v>1</v>
      </c>
      <c r="O2911" s="626">
        <v>6</v>
      </c>
      <c r="P2911" s="712">
        <f t="shared" si="27"/>
        <v>10800</v>
      </c>
    </row>
    <row r="2912" spans="1:16" s="619" customFormat="1" ht="36" x14ac:dyDescent="0.2">
      <c r="A2912" s="626" t="s">
        <v>6091</v>
      </c>
      <c r="B2912" s="626" t="s">
        <v>1908</v>
      </c>
      <c r="C2912" s="638" t="s">
        <v>104</v>
      </c>
      <c r="D2912" s="626" t="s">
        <v>6227</v>
      </c>
      <c r="E2912" s="636">
        <v>2500</v>
      </c>
      <c r="F2912" s="637" t="s">
        <v>6564</v>
      </c>
      <c r="G2912" s="626" t="s">
        <v>6565</v>
      </c>
      <c r="H2912" s="626" t="s">
        <v>5790</v>
      </c>
      <c r="I2912" s="638" t="s">
        <v>6095</v>
      </c>
      <c r="J2912" s="625" t="s">
        <v>6096</v>
      </c>
      <c r="K2912" s="626">
        <v>1</v>
      </c>
      <c r="L2912" s="638">
        <v>12</v>
      </c>
      <c r="M2912" s="712">
        <v>30000</v>
      </c>
      <c r="N2912" s="638">
        <v>1</v>
      </c>
      <c r="O2912" s="626">
        <v>6</v>
      </c>
      <c r="P2912" s="712">
        <f t="shared" si="27"/>
        <v>15000</v>
      </c>
    </row>
    <row r="2913" spans="1:16" s="619" customFormat="1" ht="24" x14ac:dyDescent="0.2">
      <c r="A2913" s="626" t="s">
        <v>6091</v>
      </c>
      <c r="B2913" s="626" t="s">
        <v>1908</v>
      </c>
      <c r="C2913" s="638" t="s">
        <v>104</v>
      </c>
      <c r="D2913" s="626" t="s">
        <v>6092</v>
      </c>
      <c r="E2913" s="636">
        <v>2500</v>
      </c>
      <c r="F2913" s="637" t="s">
        <v>6566</v>
      </c>
      <c r="G2913" s="626" t="s">
        <v>6567</v>
      </c>
      <c r="H2913" s="626" t="s">
        <v>6092</v>
      </c>
      <c r="I2913" s="638" t="s">
        <v>6095</v>
      </c>
      <c r="J2913" s="625" t="s">
        <v>6096</v>
      </c>
      <c r="K2913" s="626">
        <v>1</v>
      </c>
      <c r="L2913" s="638">
        <v>12</v>
      </c>
      <c r="M2913" s="712">
        <v>30000</v>
      </c>
      <c r="N2913" s="638">
        <v>1</v>
      </c>
      <c r="O2913" s="626">
        <v>6</v>
      </c>
      <c r="P2913" s="712">
        <f t="shared" si="27"/>
        <v>15000</v>
      </c>
    </row>
    <row r="2914" spans="1:16" s="619" customFormat="1" ht="24" x14ac:dyDescent="0.2">
      <c r="A2914" s="626" t="s">
        <v>6091</v>
      </c>
      <c r="B2914" s="626" t="s">
        <v>1908</v>
      </c>
      <c r="C2914" s="638" t="s">
        <v>104</v>
      </c>
      <c r="D2914" s="626" t="s">
        <v>6092</v>
      </c>
      <c r="E2914" s="636">
        <v>2500</v>
      </c>
      <c r="F2914" s="637" t="s">
        <v>6568</v>
      </c>
      <c r="G2914" s="626" t="s">
        <v>6569</v>
      </c>
      <c r="H2914" s="626" t="s">
        <v>6092</v>
      </c>
      <c r="I2914" s="638" t="s">
        <v>6095</v>
      </c>
      <c r="J2914" s="625" t="s">
        <v>6096</v>
      </c>
      <c r="K2914" s="626">
        <v>1</v>
      </c>
      <c r="L2914" s="638">
        <v>12</v>
      </c>
      <c r="M2914" s="712">
        <v>30000</v>
      </c>
      <c r="N2914" s="638">
        <v>1</v>
      </c>
      <c r="O2914" s="626">
        <v>6</v>
      </c>
      <c r="P2914" s="712">
        <f t="shared" si="27"/>
        <v>15000</v>
      </c>
    </row>
    <row r="2915" spans="1:16" s="619" customFormat="1" ht="60" x14ac:dyDescent="0.2">
      <c r="A2915" s="626" t="s">
        <v>6091</v>
      </c>
      <c r="B2915" s="626" t="s">
        <v>1908</v>
      </c>
      <c r="C2915" s="638" t="s">
        <v>104</v>
      </c>
      <c r="D2915" s="626" t="s">
        <v>6570</v>
      </c>
      <c r="E2915" s="636">
        <v>2500</v>
      </c>
      <c r="F2915" s="637" t="s">
        <v>6571</v>
      </c>
      <c r="G2915" s="626" t="s">
        <v>6572</v>
      </c>
      <c r="H2915" s="626" t="s">
        <v>6573</v>
      </c>
      <c r="I2915" s="638" t="s">
        <v>6099</v>
      </c>
      <c r="J2915" s="625" t="s">
        <v>6100</v>
      </c>
      <c r="K2915" s="626">
        <v>1</v>
      </c>
      <c r="L2915" s="638">
        <v>12</v>
      </c>
      <c r="M2915" s="712">
        <v>30000</v>
      </c>
      <c r="N2915" s="638"/>
      <c r="O2915" s="626"/>
      <c r="P2915" s="712">
        <f t="shared" si="27"/>
        <v>0</v>
      </c>
    </row>
    <row r="2916" spans="1:16" s="619" customFormat="1" ht="36" x14ac:dyDescent="0.2">
      <c r="A2916" s="626" t="s">
        <v>6091</v>
      </c>
      <c r="B2916" s="626" t="s">
        <v>1908</v>
      </c>
      <c r="C2916" s="638" t="s">
        <v>104</v>
      </c>
      <c r="D2916" s="626" t="s">
        <v>3545</v>
      </c>
      <c r="E2916" s="636">
        <v>1200</v>
      </c>
      <c r="F2916" s="637" t="s">
        <v>6574</v>
      </c>
      <c r="G2916" s="626" t="s">
        <v>6575</v>
      </c>
      <c r="H2916" s="626" t="s">
        <v>3545</v>
      </c>
      <c r="I2916" s="638" t="s">
        <v>6099</v>
      </c>
      <c r="J2916" s="625" t="s">
        <v>6100</v>
      </c>
      <c r="K2916" s="626">
        <v>1</v>
      </c>
      <c r="L2916" s="638">
        <v>10</v>
      </c>
      <c r="M2916" s="712">
        <v>12000</v>
      </c>
      <c r="N2916" s="638">
        <v>1</v>
      </c>
      <c r="O2916" s="626">
        <v>3</v>
      </c>
      <c r="P2916" s="712">
        <f t="shared" si="27"/>
        <v>3600</v>
      </c>
    </row>
    <row r="2917" spans="1:16" s="619" customFormat="1" ht="48" x14ac:dyDescent="0.2">
      <c r="A2917" s="626" t="s">
        <v>6091</v>
      </c>
      <c r="B2917" s="626" t="s">
        <v>1908</v>
      </c>
      <c r="C2917" s="638" t="s">
        <v>104</v>
      </c>
      <c r="D2917" s="626" t="s">
        <v>6114</v>
      </c>
      <c r="E2917" s="636">
        <v>1200</v>
      </c>
      <c r="F2917" s="637" t="s">
        <v>6576</v>
      </c>
      <c r="G2917" s="626" t="s">
        <v>6577</v>
      </c>
      <c r="H2917" s="626" t="s">
        <v>6123</v>
      </c>
      <c r="I2917" s="638" t="s">
        <v>6099</v>
      </c>
      <c r="J2917" s="625" t="s">
        <v>6100</v>
      </c>
      <c r="K2917" s="626">
        <v>1</v>
      </c>
      <c r="L2917" s="638">
        <v>12</v>
      </c>
      <c r="M2917" s="712">
        <v>14400</v>
      </c>
      <c r="N2917" s="638">
        <v>1</v>
      </c>
      <c r="O2917" s="626">
        <v>6</v>
      </c>
      <c r="P2917" s="712">
        <f t="shared" si="27"/>
        <v>7200</v>
      </c>
    </row>
    <row r="2918" spans="1:16" s="619" customFormat="1" ht="48" x14ac:dyDescent="0.2">
      <c r="A2918" s="626" t="s">
        <v>6091</v>
      </c>
      <c r="B2918" s="626" t="s">
        <v>1908</v>
      </c>
      <c r="C2918" s="638" t="s">
        <v>104</v>
      </c>
      <c r="D2918" s="626" t="s">
        <v>3548</v>
      </c>
      <c r="E2918" s="636">
        <v>1500</v>
      </c>
      <c r="F2918" s="637" t="s">
        <v>6578</v>
      </c>
      <c r="G2918" s="626" t="s">
        <v>6579</v>
      </c>
      <c r="H2918" s="626"/>
      <c r="I2918" s="638" t="s">
        <v>1919</v>
      </c>
      <c r="J2918" s="625" t="s">
        <v>6128</v>
      </c>
      <c r="K2918" s="626">
        <v>1</v>
      </c>
      <c r="L2918" s="638">
        <v>12</v>
      </c>
      <c r="M2918" s="712">
        <v>18000</v>
      </c>
      <c r="N2918" s="638">
        <v>1</v>
      </c>
      <c r="O2918" s="626">
        <v>6</v>
      </c>
      <c r="P2918" s="712">
        <f t="shared" si="27"/>
        <v>9000</v>
      </c>
    </row>
    <row r="2919" spans="1:16" s="619" customFormat="1" ht="36" x14ac:dyDescent="0.2">
      <c r="A2919" s="626" t="s">
        <v>6091</v>
      </c>
      <c r="B2919" s="626" t="s">
        <v>1908</v>
      </c>
      <c r="C2919" s="638" t="s">
        <v>104</v>
      </c>
      <c r="D2919" s="626" t="s">
        <v>6198</v>
      </c>
      <c r="E2919" s="636">
        <v>2000</v>
      </c>
      <c r="F2919" s="637" t="s">
        <v>6580</v>
      </c>
      <c r="G2919" s="626" t="s">
        <v>6581</v>
      </c>
      <c r="H2919" s="626" t="s">
        <v>6198</v>
      </c>
      <c r="I2919" s="638" t="s">
        <v>6095</v>
      </c>
      <c r="J2919" s="625" t="s">
        <v>6096</v>
      </c>
      <c r="K2919" s="626">
        <v>1</v>
      </c>
      <c r="L2919" s="638">
        <v>5</v>
      </c>
      <c r="M2919" s="712">
        <v>10000</v>
      </c>
      <c r="N2919" s="638"/>
      <c r="O2919" s="626"/>
      <c r="P2919" s="712">
        <f t="shared" si="27"/>
        <v>0</v>
      </c>
    </row>
    <row r="2920" spans="1:16" s="619" customFormat="1" ht="48" x14ac:dyDescent="0.2">
      <c r="A2920" s="626" t="s">
        <v>6091</v>
      </c>
      <c r="B2920" s="626" t="s">
        <v>1908</v>
      </c>
      <c r="C2920" s="638" t="s">
        <v>104</v>
      </c>
      <c r="D2920" s="626" t="s">
        <v>6179</v>
      </c>
      <c r="E2920" s="636">
        <v>3300</v>
      </c>
      <c r="F2920" s="637" t="s">
        <v>6582</v>
      </c>
      <c r="G2920" s="626" t="s">
        <v>6583</v>
      </c>
      <c r="H2920" s="626" t="s">
        <v>6182</v>
      </c>
      <c r="I2920" s="638" t="s">
        <v>6095</v>
      </c>
      <c r="J2920" s="625" t="s">
        <v>6096</v>
      </c>
      <c r="K2920" s="626">
        <v>1</v>
      </c>
      <c r="L2920" s="638">
        <v>12</v>
      </c>
      <c r="M2920" s="712">
        <v>39600</v>
      </c>
      <c r="N2920" s="638">
        <v>1</v>
      </c>
      <c r="O2920" s="626">
        <v>1</v>
      </c>
      <c r="P2920" s="712">
        <f t="shared" si="27"/>
        <v>3300</v>
      </c>
    </row>
    <row r="2921" spans="1:16" s="619" customFormat="1" ht="36" x14ac:dyDescent="0.2">
      <c r="A2921" s="626" t="s">
        <v>6091</v>
      </c>
      <c r="B2921" s="626" t="s">
        <v>1908</v>
      </c>
      <c r="C2921" s="638" t="s">
        <v>104</v>
      </c>
      <c r="D2921" s="626" t="s">
        <v>6092</v>
      </c>
      <c r="E2921" s="636">
        <v>2000</v>
      </c>
      <c r="F2921" s="637" t="s">
        <v>6584</v>
      </c>
      <c r="G2921" s="626" t="s">
        <v>6585</v>
      </c>
      <c r="H2921" s="626" t="s">
        <v>6092</v>
      </c>
      <c r="I2921" s="638" t="s">
        <v>6095</v>
      </c>
      <c r="J2921" s="625" t="s">
        <v>6096</v>
      </c>
      <c r="K2921" s="626">
        <v>1</v>
      </c>
      <c r="L2921" s="638">
        <v>6</v>
      </c>
      <c r="M2921" s="712">
        <v>12000</v>
      </c>
      <c r="N2921" s="638">
        <v>1</v>
      </c>
      <c r="O2921" s="626">
        <v>2</v>
      </c>
      <c r="P2921" s="712">
        <f t="shared" si="27"/>
        <v>4000</v>
      </c>
    </row>
    <row r="2922" spans="1:16" s="619" customFormat="1" ht="36" x14ac:dyDescent="0.2">
      <c r="A2922" s="626" t="s">
        <v>6091</v>
      </c>
      <c r="B2922" s="626" t="s">
        <v>1908</v>
      </c>
      <c r="C2922" s="638" t="s">
        <v>104</v>
      </c>
      <c r="D2922" s="626" t="s">
        <v>6198</v>
      </c>
      <c r="E2922" s="636">
        <v>2000</v>
      </c>
      <c r="F2922" s="637" t="s">
        <v>6586</v>
      </c>
      <c r="G2922" s="626" t="s">
        <v>6587</v>
      </c>
      <c r="H2922" s="626" t="s">
        <v>6198</v>
      </c>
      <c r="I2922" s="638" t="s">
        <v>6095</v>
      </c>
      <c r="J2922" s="625" t="s">
        <v>6096</v>
      </c>
      <c r="K2922" s="626">
        <v>1</v>
      </c>
      <c r="L2922" s="638">
        <v>12</v>
      </c>
      <c r="M2922" s="712">
        <v>24000</v>
      </c>
      <c r="N2922" s="638">
        <v>1</v>
      </c>
      <c r="O2922" s="626">
        <v>6</v>
      </c>
      <c r="P2922" s="712">
        <f t="shared" si="27"/>
        <v>12000</v>
      </c>
    </row>
    <row r="2923" spans="1:16" s="619" customFormat="1" ht="24" x14ac:dyDescent="0.2">
      <c r="A2923" s="626" t="s">
        <v>6091</v>
      </c>
      <c r="B2923" s="626" t="s">
        <v>1908</v>
      </c>
      <c r="C2923" s="638" t="s">
        <v>104</v>
      </c>
      <c r="D2923" s="626" t="s">
        <v>6092</v>
      </c>
      <c r="E2923" s="636">
        <v>2000</v>
      </c>
      <c r="F2923" s="637" t="s">
        <v>6588</v>
      </c>
      <c r="G2923" s="626" t="s">
        <v>6589</v>
      </c>
      <c r="H2923" s="626" t="s">
        <v>6092</v>
      </c>
      <c r="I2923" s="638" t="s">
        <v>6095</v>
      </c>
      <c r="J2923" s="625" t="s">
        <v>6096</v>
      </c>
      <c r="K2923" s="626">
        <v>1</v>
      </c>
      <c r="L2923" s="638">
        <v>11</v>
      </c>
      <c r="M2923" s="712">
        <v>22000</v>
      </c>
      <c r="N2923" s="638">
        <v>1</v>
      </c>
      <c r="O2923" s="626">
        <v>2</v>
      </c>
      <c r="P2923" s="712">
        <f t="shared" si="27"/>
        <v>4000</v>
      </c>
    </row>
    <row r="2924" spans="1:16" s="619" customFormat="1" ht="24" x14ac:dyDescent="0.2">
      <c r="A2924" s="626" t="s">
        <v>6091</v>
      </c>
      <c r="B2924" s="626" t="s">
        <v>1908</v>
      </c>
      <c r="C2924" s="638" t="s">
        <v>104</v>
      </c>
      <c r="D2924" s="626" t="s">
        <v>1996</v>
      </c>
      <c r="E2924" s="636">
        <v>1000</v>
      </c>
      <c r="F2924" s="637" t="s">
        <v>6590</v>
      </c>
      <c r="G2924" s="626" t="s">
        <v>6591</v>
      </c>
      <c r="H2924" s="626"/>
      <c r="I2924" s="638" t="s">
        <v>1919</v>
      </c>
      <c r="J2924" s="625" t="s">
        <v>6128</v>
      </c>
      <c r="K2924" s="626">
        <v>1</v>
      </c>
      <c r="L2924" s="638">
        <v>12</v>
      </c>
      <c r="M2924" s="712">
        <v>12000</v>
      </c>
      <c r="N2924" s="638">
        <v>1</v>
      </c>
      <c r="O2924" s="626">
        <v>6</v>
      </c>
      <c r="P2924" s="712">
        <f t="shared" si="27"/>
        <v>6000</v>
      </c>
    </row>
    <row r="2925" spans="1:16" s="619" customFormat="1" ht="24" x14ac:dyDescent="0.2">
      <c r="A2925" s="626" t="s">
        <v>6091</v>
      </c>
      <c r="B2925" s="626" t="s">
        <v>1908</v>
      </c>
      <c r="C2925" s="638" t="s">
        <v>104</v>
      </c>
      <c r="D2925" s="626" t="s">
        <v>6198</v>
      </c>
      <c r="E2925" s="636">
        <v>3300</v>
      </c>
      <c r="F2925" s="637" t="s">
        <v>6592</v>
      </c>
      <c r="G2925" s="626" t="s">
        <v>6593</v>
      </c>
      <c r="H2925" s="626" t="s">
        <v>6198</v>
      </c>
      <c r="I2925" s="638" t="s">
        <v>6095</v>
      </c>
      <c r="J2925" s="625" t="s">
        <v>6096</v>
      </c>
      <c r="K2925" s="626">
        <v>1</v>
      </c>
      <c r="L2925" s="638">
        <v>12</v>
      </c>
      <c r="M2925" s="712">
        <v>39600</v>
      </c>
      <c r="N2925" s="638">
        <v>1</v>
      </c>
      <c r="O2925" s="626">
        <v>6</v>
      </c>
      <c r="P2925" s="712">
        <f t="shared" si="27"/>
        <v>19800</v>
      </c>
    </row>
    <row r="2926" spans="1:16" s="619" customFormat="1" ht="48" x14ac:dyDescent="0.2">
      <c r="A2926" s="626" t="s">
        <v>6091</v>
      </c>
      <c r="B2926" s="626" t="s">
        <v>1908</v>
      </c>
      <c r="C2926" s="638" t="s">
        <v>104</v>
      </c>
      <c r="D2926" s="626" t="s">
        <v>2177</v>
      </c>
      <c r="E2926" s="636">
        <v>1200</v>
      </c>
      <c r="F2926" s="637" t="s">
        <v>6594</v>
      </c>
      <c r="G2926" s="626" t="s">
        <v>6595</v>
      </c>
      <c r="H2926" s="626" t="s">
        <v>6123</v>
      </c>
      <c r="I2926" s="638" t="s">
        <v>6099</v>
      </c>
      <c r="J2926" s="625" t="s">
        <v>6100</v>
      </c>
      <c r="K2926" s="626">
        <v>1</v>
      </c>
      <c r="L2926" s="638">
        <v>10</v>
      </c>
      <c r="M2926" s="712">
        <v>12000</v>
      </c>
      <c r="N2926" s="638">
        <v>1</v>
      </c>
      <c r="O2926" s="626">
        <v>6</v>
      </c>
      <c r="P2926" s="712">
        <f t="shared" si="27"/>
        <v>7200</v>
      </c>
    </row>
    <row r="2927" spans="1:16" s="619" customFormat="1" ht="48" x14ac:dyDescent="0.2">
      <c r="A2927" s="626" t="s">
        <v>6091</v>
      </c>
      <c r="B2927" s="626" t="s">
        <v>1908</v>
      </c>
      <c r="C2927" s="638" t="s">
        <v>104</v>
      </c>
      <c r="D2927" s="626" t="s">
        <v>6114</v>
      </c>
      <c r="E2927" s="636">
        <v>1000</v>
      </c>
      <c r="F2927" s="637" t="s">
        <v>6596</v>
      </c>
      <c r="G2927" s="626" t="s">
        <v>6597</v>
      </c>
      <c r="H2927" s="626" t="s">
        <v>6123</v>
      </c>
      <c r="I2927" s="638" t="s">
        <v>6099</v>
      </c>
      <c r="J2927" s="625" t="s">
        <v>6100</v>
      </c>
      <c r="K2927" s="626">
        <v>1</v>
      </c>
      <c r="L2927" s="638">
        <v>2</v>
      </c>
      <c r="M2927" s="712">
        <v>2000</v>
      </c>
      <c r="N2927" s="638"/>
      <c r="O2927" s="626"/>
      <c r="P2927" s="712">
        <f t="shared" si="27"/>
        <v>0</v>
      </c>
    </row>
    <row r="2928" spans="1:16" s="619" customFormat="1" ht="36" x14ac:dyDescent="0.2">
      <c r="A2928" s="626" t="s">
        <v>6091</v>
      </c>
      <c r="B2928" s="626" t="s">
        <v>1908</v>
      </c>
      <c r="C2928" s="638" t="s">
        <v>104</v>
      </c>
      <c r="D2928" s="626" t="s">
        <v>6179</v>
      </c>
      <c r="E2928" s="636">
        <v>3300</v>
      </c>
      <c r="F2928" s="637" t="s">
        <v>6598</v>
      </c>
      <c r="G2928" s="626" t="s">
        <v>6599</v>
      </c>
      <c r="H2928" s="626" t="s">
        <v>6182</v>
      </c>
      <c r="I2928" s="638" t="s">
        <v>6095</v>
      </c>
      <c r="J2928" s="625" t="s">
        <v>6096</v>
      </c>
      <c r="K2928" s="626">
        <v>1</v>
      </c>
      <c r="L2928" s="638">
        <v>6</v>
      </c>
      <c r="M2928" s="712">
        <v>19800</v>
      </c>
      <c r="N2928" s="638"/>
      <c r="O2928" s="626"/>
      <c r="P2928" s="712">
        <f t="shared" si="27"/>
        <v>0</v>
      </c>
    </row>
    <row r="2929" spans="1:16" s="619" customFormat="1" ht="36" x14ac:dyDescent="0.2">
      <c r="A2929" s="626" t="s">
        <v>6091</v>
      </c>
      <c r="B2929" s="626" t="s">
        <v>1908</v>
      </c>
      <c r="C2929" s="638" t="s">
        <v>104</v>
      </c>
      <c r="D2929" s="626" t="s">
        <v>6198</v>
      </c>
      <c r="E2929" s="636">
        <v>2000</v>
      </c>
      <c r="F2929" s="637" t="s">
        <v>6600</v>
      </c>
      <c r="G2929" s="626" t="s">
        <v>6601</v>
      </c>
      <c r="H2929" s="626" t="s">
        <v>6198</v>
      </c>
      <c r="I2929" s="638" t="s">
        <v>6095</v>
      </c>
      <c r="J2929" s="625" t="s">
        <v>6096</v>
      </c>
      <c r="K2929" s="626">
        <v>1</v>
      </c>
      <c r="L2929" s="638">
        <v>12</v>
      </c>
      <c r="M2929" s="712">
        <v>24000</v>
      </c>
      <c r="N2929" s="638">
        <v>1</v>
      </c>
      <c r="O2929" s="626">
        <v>6</v>
      </c>
      <c r="P2929" s="712">
        <f t="shared" si="27"/>
        <v>12000</v>
      </c>
    </row>
    <row r="2930" spans="1:16" s="619" customFormat="1" ht="24" x14ac:dyDescent="0.2">
      <c r="A2930" s="626" t="s">
        <v>6091</v>
      </c>
      <c r="B2930" s="626" t="s">
        <v>1908</v>
      </c>
      <c r="C2930" s="638" t="s">
        <v>104</v>
      </c>
      <c r="D2930" s="626" t="s">
        <v>6198</v>
      </c>
      <c r="E2930" s="636">
        <v>2000</v>
      </c>
      <c r="F2930" s="637" t="s">
        <v>6602</v>
      </c>
      <c r="G2930" s="626" t="s">
        <v>6603</v>
      </c>
      <c r="H2930" s="626" t="s">
        <v>6198</v>
      </c>
      <c r="I2930" s="638" t="s">
        <v>6095</v>
      </c>
      <c r="J2930" s="625" t="s">
        <v>6096</v>
      </c>
      <c r="K2930" s="626">
        <v>1</v>
      </c>
      <c r="L2930" s="638">
        <v>12</v>
      </c>
      <c r="M2930" s="712">
        <v>24000</v>
      </c>
      <c r="N2930" s="638">
        <v>1</v>
      </c>
      <c r="O2930" s="626">
        <v>6</v>
      </c>
      <c r="P2930" s="712">
        <f t="shared" si="27"/>
        <v>12000</v>
      </c>
    </row>
    <row r="2931" spans="1:16" s="619" customFormat="1" ht="24" x14ac:dyDescent="0.2">
      <c r="A2931" s="626" t="s">
        <v>6091</v>
      </c>
      <c r="B2931" s="626" t="s">
        <v>1908</v>
      </c>
      <c r="C2931" s="638" t="s">
        <v>104</v>
      </c>
      <c r="D2931" s="626" t="s">
        <v>1996</v>
      </c>
      <c r="E2931" s="636">
        <v>1000</v>
      </c>
      <c r="F2931" s="637" t="s">
        <v>6604</v>
      </c>
      <c r="G2931" s="626" t="s">
        <v>6605</v>
      </c>
      <c r="H2931" s="626"/>
      <c r="I2931" s="638" t="s">
        <v>1919</v>
      </c>
      <c r="J2931" s="625" t="s">
        <v>6128</v>
      </c>
      <c r="K2931" s="626">
        <v>1</v>
      </c>
      <c r="L2931" s="638">
        <v>12</v>
      </c>
      <c r="M2931" s="712">
        <v>12000</v>
      </c>
      <c r="N2931" s="638">
        <v>1</v>
      </c>
      <c r="O2931" s="626">
        <v>6</v>
      </c>
      <c r="P2931" s="712">
        <f t="shared" si="27"/>
        <v>6000</v>
      </c>
    </row>
    <row r="2932" spans="1:16" s="619" customFormat="1" ht="36" x14ac:dyDescent="0.2">
      <c r="A2932" s="626" t="s">
        <v>6091</v>
      </c>
      <c r="B2932" s="626" t="s">
        <v>1908</v>
      </c>
      <c r="C2932" s="638" t="s">
        <v>104</v>
      </c>
      <c r="D2932" s="626" t="s">
        <v>6198</v>
      </c>
      <c r="E2932" s="636">
        <v>2000</v>
      </c>
      <c r="F2932" s="637" t="s">
        <v>6606</v>
      </c>
      <c r="G2932" s="626" t="s">
        <v>6607</v>
      </c>
      <c r="H2932" s="626" t="s">
        <v>6198</v>
      </c>
      <c r="I2932" s="638" t="s">
        <v>6095</v>
      </c>
      <c r="J2932" s="625" t="s">
        <v>6096</v>
      </c>
      <c r="K2932" s="626">
        <v>1</v>
      </c>
      <c r="L2932" s="638">
        <v>12</v>
      </c>
      <c r="M2932" s="712">
        <v>24000</v>
      </c>
      <c r="N2932" s="638"/>
      <c r="O2932" s="626"/>
      <c r="P2932" s="712">
        <f t="shared" si="27"/>
        <v>0</v>
      </c>
    </row>
    <row r="2933" spans="1:16" s="619" customFormat="1" ht="36" x14ac:dyDescent="0.2">
      <c r="A2933" s="626" t="s">
        <v>6091</v>
      </c>
      <c r="B2933" s="626" t="s">
        <v>1908</v>
      </c>
      <c r="C2933" s="638" t="s">
        <v>104</v>
      </c>
      <c r="D2933" s="626" t="s">
        <v>6101</v>
      </c>
      <c r="E2933" s="636">
        <v>2000</v>
      </c>
      <c r="F2933" s="637" t="s">
        <v>6608</v>
      </c>
      <c r="G2933" s="626" t="s">
        <v>6609</v>
      </c>
      <c r="H2933" s="626" t="s">
        <v>6101</v>
      </c>
      <c r="I2933" s="638" t="s">
        <v>6095</v>
      </c>
      <c r="J2933" s="625" t="s">
        <v>6096</v>
      </c>
      <c r="K2933" s="626">
        <v>1</v>
      </c>
      <c r="L2933" s="638">
        <v>12</v>
      </c>
      <c r="M2933" s="712">
        <v>24000</v>
      </c>
      <c r="N2933" s="638">
        <v>1</v>
      </c>
      <c r="O2933" s="626">
        <v>6</v>
      </c>
      <c r="P2933" s="712">
        <f t="shared" si="27"/>
        <v>12000</v>
      </c>
    </row>
    <row r="2934" spans="1:16" s="619" customFormat="1" ht="36" x14ac:dyDescent="0.2">
      <c r="A2934" s="626" t="s">
        <v>6091</v>
      </c>
      <c r="B2934" s="626" t="s">
        <v>1908</v>
      </c>
      <c r="C2934" s="638" t="s">
        <v>104</v>
      </c>
      <c r="D2934" s="626" t="s">
        <v>6179</v>
      </c>
      <c r="E2934" s="636">
        <v>6500</v>
      </c>
      <c r="F2934" s="637" t="s">
        <v>6610</v>
      </c>
      <c r="G2934" s="626" t="s">
        <v>6611</v>
      </c>
      <c r="H2934" s="626" t="s">
        <v>6182</v>
      </c>
      <c r="I2934" s="638" t="s">
        <v>6095</v>
      </c>
      <c r="J2934" s="625" t="s">
        <v>6096</v>
      </c>
      <c r="K2934" s="626">
        <v>1</v>
      </c>
      <c r="L2934" s="638">
        <v>12</v>
      </c>
      <c r="M2934" s="712">
        <v>78000</v>
      </c>
      <c r="N2934" s="638">
        <v>1</v>
      </c>
      <c r="O2934" s="626">
        <v>6</v>
      </c>
      <c r="P2934" s="712">
        <f t="shared" si="27"/>
        <v>39000</v>
      </c>
    </row>
    <row r="2935" spans="1:16" s="619" customFormat="1" ht="36" x14ac:dyDescent="0.2">
      <c r="A2935" s="626" t="s">
        <v>6091</v>
      </c>
      <c r="B2935" s="626" t="s">
        <v>1908</v>
      </c>
      <c r="C2935" s="638" t="s">
        <v>104</v>
      </c>
      <c r="D2935" s="626" t="s">
        <v>4503</v>
      </c>
      <c r="E2935" s="636">
        <v>6000</v>
      </c>
      <c r="F2935" s="637" t="s">
        <v>6612</v>
      </c>
      <c r="G2935" s="626" t="s">
        <v>6613</v>
      </c>
      <c r="H2935" s="626" t="s">
        <v>4670</v>
      </c>
      <c r="I2935" s="638" t="s">
        <v>6095</v>
      </c>
      <c r="J2935" s="625" t="s">
        <v>6096</v>
      </c>
      <c r="K2935" s="626">
        <v>1</v>
      </c>
      <c r="L2935" s="638">
        <v>6</v>
      </c>
      <c r="M2935" s="712">
        <v>36000</v>
      </c>
      <c r="N2935" s="638"/>
      <c r="O2935" s="626"/>
      <c r="P2935" s="712">
        <f t="shared" si="27"/>
        <v>0</v>
      </c>
    </row>
    <row r="2936" spans="1:16" s="619" customFormat="1" ht="24" x14ac:dyDescent="0.2">
      <c r="A2936" s="626" t="s">
        <v>6091</v>
      </c>
      <c r="B2936" s="626" t="s">
        <v>1908</v>
      </c>
      <c r="C2936" s="638" t="s">
        <v>104</v>
      </c>
      <c r="D2936" s="626" t="s">
        <v>6092</v>
      </c>
      <c r="E2936" s="636">
        <v>2500</v>
      </c>
      <c r="F2936" s="637" t="s">
        <v>6614</v>
      </c>
      <c r="G2936" s="626" t="s">
        <v>6615</v>
      </c>
      <c r="H2936" s="626" t="s">
        <v>6092</v>
      </c>
      <c r="I2936" s="638" t="s">
        <v>6095</v>
      </c>
      <c r="J2936" s="625" t="s">
        <v>6096</v>
      </c>
      <c r="K2936" s="626">
        <v>1</v>
      </c>
      <c r="L2936" s="638">
        <v>12</v>
      </c>
      <c r="M2936" s="712">
        <v>30000</v>
      </c>
      <c r="N2936" s="638">
        <v>1</v>
      </c>
      <c r="O2936" s="626">
        <v>6</v>
      </c>
      <c r="P2936" s="712">
        <f t="shared" si="27"/>
        <v>15000</v>
      </c>
    </row>
    <row r="2937" spans="1:16" s="619" customFormat="1" ht="24" x14ac:dyDescent="0.2">
      <c r="A2937" s="626" t="s">
        <v>6091</v>
      </c>
      <c r="B2937" s="626" t="s">
        <v>1908</v>
      </c>
      <c r="C2937" s="638" t="s">
        <v>104</v>
      </c>
      <c r="D2937" s="626" t="s">
        <v>6158</v>
      </c>
      <c r="E2937" s="636">
        <v>1500</v>
      </c>
      <c r="F2937" s="637" t="s">
        <v>6616</v>
      </c>
      <c r="G2937" s="626" t="s">
        <v>6617</v>
      </c>
      <c r="H2937" s="626"/>
      <c r="I2937" s="638" t="s">
        <v>1919</v>
      </c>
      <c r="J2937" s="625" t="s">
        <v>6128</v>
      </c>
      <c r="K2937" s="626">
        <v>1</v>
      </c>
      <c r="L2937" s="638">
        <v>12</v>
      </c>
      <c r="M2937" s="712">
        <v>18000</v>
      </c>
      <c r="N2937" s="638">
        <v>1</v>
      </c>
      <c r="O2937" s="626">
        <v>6</v>
      </c>
      <c r="P2937" s="712">
        <f t="shared" si="27"/>
        <v>9000</v>
      </c>
    </row>
    <row r="2938" spans="1:16" s="619" customFormat="1" ht="36" x14ac:dyDescent="0.2">
      <c r="A2938" s="626" t="s">
        <v>6091</v>
      </c>
      <c r="B2938" s="626" t="s">
        <v>1908</v>
      </c>
      <c r="C2938" s="638" t="s">
        <v>104</v>
      </c>
      <c r="D2938" s="626" t="s">
        <v>3548</v>
      </c>
      <c r="E2938" s="636">
        <v>1500</v>
      </c>
      <c r="F2938" s="637" t="s">
        <v>6618</v>
      </c>
      <c r="G2938" s="626" t="s">
        <v>6619</v>
      </c>
      <c r="H2938" s="626"/>
      <c r="I2938" s="638" t="s">
        <v>1919</v>
      </c>
      <c r="J2938" s="625" t="s">
        <v>6128</v>
      </c>
      <c r="K2938" s="626">
        <v>1</v>
      </c>
      <c r="L2938" s="638">
        <v>12</v>
      </c>
      <c r="M2938" s="712">
        <v>18000</v>
      </c>
      <c r="N2938" s="638">
        <v>1</v>
      </c>
      <c r="O2938" s="626">
        <v>6</v>
      </c>
      <c r="P2938" s="712">
        <f t="shared" si="27"/>
        <v>9000</v>
      </c>
    </row>
    <row r="2939" spans="1:16" s="619" customFormat="1" ht="36" x14ac:dyDescent="0.2">
      <c r="A2939" s="626" t="s">
        <v>6091</v>
      </c>
      <c r="B2939" s="626" t="s">
        <v>1908</v>
      </c>
      <c r="C2939" s="638" t="s">
        <v>104</v>
      </c>
      <c r="D2939" s="626" t="s">
        <v>3548</v>
      </c>
      <c r="E2939" s="636">
        <v>1500</v>
      </c>
      <c r="F2939" s="637" t="s">
        <v>6620</v>
      </c>
      <c r="G2939" s="626" t="s">
        <v>6621</v>
      </c>
      <c r="H2939" s="626" t="s">
        <v>2558</v>
      </c>
      <c r="I2939" s="638" t="s">
        <v>6099</v>
      </c>
      <c r="J2939" s="625" t="s">
        <v>6100</v>
      </c>
      <c r="K2939" s="626">
        <v>1</v>
      </c>
      <c r="L2939" s="638">
        <v>12</v>
      </c>
      <c r="M2939" s="712">
        <v>18000</v>
      </c>
      <c r="N2939" s="638">
        <v>1</v>
      </c>
      <c r="O2939" s="626">
        <v>6</v>
      </c>
      <c r="P2939" s="712">
        <f t="shared" si="27"/>
        <v>9000</v>
      </c>
    </row>
    <row r="2940" spans="1:16" s="619" customFormat="1" ht="36" x14ac:dyDescent="0.2">
      <c r="A2940" s="626" t="s">
        <v>6091</v>
      </c>
      <c r="B2940" s="626" t="s">
        <v>1908</v>
      </c>
      <c r="C2940" s="638" t="s">
        <v>104</v>
      </c>
      <c r="D2940" s="626" t="s">
        <v>2660</v>
      </c>
      <c r="E2940" s="636">
        <v>1800</v>
      </c>
      <c r="F2940" s="637" t="s">
        <v>6622</v>
      </c>
      <c r="G2940" s="626" t="s">
        <v>6623</v>
      </c>
      <c r="H2940" s="626" t="s">
        <v>2660</v>
      </c>
      <c r="I2940" s="638" t="s">
        <v>6099</v>
      </c>
      <c r="J2940" s="625" t="s">
        <v>6100</v>
      </c>
      <c r="K2940" s="626">
        <v>1</v>
      </c>
      <c r="L2940" s="638">
        <v>12</v>
      </c>
      <c r="M2940" s="712">
        <v>21600</v>
      </c>
      <c r="N2940" s="638">
        <v>1</v>
      </c>
      <c r="O2940" s="626">
        <v>6</v>
      </c>
      <c r="P2940" s="712">
        <f t="shared" si="27"/>
        <v>10800</v>
      </c>
    </row>
    <row r="2941" spans="1:16" s="619" customFormat="1" ht="36" x14ac:dyDescent="0.2">
      <c r="A2941" s="626" t="s">
        <v>6091</v>
      </c>
      <c r="B2941" s="626" t="s">
        <v>1908</v>
      </c>
      <c r="C2941" s="638" t="s">
        <v>104</v>
      </c>
      <c r="D2941" s="626" t="s">
        <v>6179</v>
      </c>
      <c r="E2941" s="636">
        <v>10000</v>
      </c>
      <c r="F2941" s="637" t="s">
        <v>6624</v>
      </c>
      <c r="G2941" s="626" t="s">
        <v>6625</v>
      </c>
      <c r="H2941" s="626" t="s">
        <v>6182</v>
      </c>
      <c r="I2941" s="638" t="s">
        <v>6095</v>
      </c>
      <c r="J2941" s="625" t="s">
        <v>6096</v>
      </c>
      <c r="K2941" s="626">
        <v>1</v>
      </c>
      <c r="L2941" s="638">
        <v>4</v>
      </c>
      <c r="M2941" s="712">
        <v>40000</v>
      </c>
      <c r="N2941" s="638"/>
      <c r="O2941" s="626"/>
      <c r="P2941" s="712">
        <f t="shared" si="27"/>
        <v>0</v>
      </c>
    </row>
    <row r="2942" spans="1:16" s="619" customFormat="1" ht="24" x14ac:dyDescent="0.2">
      <c r="A2942" s="626" t="s">
        <v>6091</v>
      </c>
      <c r="B2942" s="626" t="s">
        <v>1908</v>
      </c>
      <c r="C2942" s="638" t="s">
        <v>104</v>
      </c>
      <c r="D2942" s="626" t="s">
        <v>6179</v>
      </c>
      <c r="E2942" s="636">
        <v>3300</v>
      </c>
      <c r="F2942" s="637" t="s">
        <v>6626</v>
      </c>
      <c r="G2942" s="626" t="s">
        <v>6627</v>
      </c>
      <c r="H2942" s="626" t="s">
        <v>6182</v>
      </c>
      <c r="I2942" s="638" t="s">
        <v>6095</v>
      </c>
      <c r="J2942" s="625" t="s">
        <v>6096</v>
      </c>
      <c r="K2942" s="626">
        <v>1</v>
      </c>
      <c r="L2942" s="638">
        <v>3</v>
      </c>
      <c r="M2942" s="712">
        <v>9900</v>
      </c>
      <c r="N2942" s="638"/>
      <c r="O2942" s="626"/>
      <c r="P2942" s="712">
        <f t="shared" si="27"/>
        <v>0</v>
      </c>
    </row>
    <row r="2943" spans="1:16" s="619" customFormat="1" ht="24" x14ac:dyDescent="0.2">
      <c r="A2943" s="626" t="s">
        <v>6091</v>
      </c>
      <c r="B2943" s="626" t="s">
        <v>1908</v>
      </c>
      <c r="C2943" s="638" t="s">
        <v>104</v>
      </c>
      <c r="D2943" s="626" t="s">
        <v>6198</v>
      </c>
      <c r="E2943" s="636">
        <v>2000</v>
      </c>
      <c r="F2943" s="637" t="s">
        <v>6628</v>
      </c>
      <c r="G2943" s="626" t="s">
        <v>6629</v>
      </c>
      <c r="H2943" s="626" t="s">
        <v>6198</v>
      </c>
      <c r="I2943" s="638" t="s">
        <v>6095</v>
      </c>
      <c r="J2943" s="625" t="s">
        <v>6096</v>
      </c>
      <c r="K2943" s="626">
        <v>1</v>
      </c>
      <c r="L2943" s="638">
        <v>12</v>
      </c>
      <c r="M2943" s="712">
        <v>24000</v>
      </c>
      <c r="N2943" s="638">
        <v>1</v>
      </c>
      <c r="O2943" s="626">
        <v>4</v>
      </c>
      <c r="P2943" s="712">
        <f t="shared" si="27"/>
        <v>8000</v>
      </c>
    </row>
    <row r="2944" spans="1:16" s="619" customFormat="1" ht="24" x14ac:dyDescent="0.2">
      <c r="A2944" s="626" t="s">
        <v>6091</v>
      </c>
      <c r="B2944" s="626" t="s">
        <v>1908</v>
      </c>
      <c r="C2944" s="638" t="s">
        <v>104</v>
      </c>
      <c r="D2944" s="626" t="s">
        <v>6227</v>
      </c>
      <c r="E2944" s="636">
        <v>2500</v>
      </c>
      <c r="F2944" s="637" t="s">
        <v>6630</v>
      </c>
      <c r="G2944" s="626" t="s">
        <v>6631</v>
      </c>
      <c r="H2944" s="626" t="s">
        <v>5790</v>
      </c>
      <c r="I2944" s="638" t="s">
        <v>6095</v>
      </c>
      <c r="J2944" s="625" t="s">
        <v>6096</v>
      </c>
      <c r="K2944" s="626">
        <v>1</v>
      </c>
      <c r="L2944" s="638">
        <v>12</v>
      </c>
      <c r="M2944" s="712">
        <v>30000</v>
      </c>
      <c r="N2944" s="638">
        <v>1</v>
      </c>
      <c r="O2944" s="626">
        <v>6</v>
      </c>
      <c r="P2944" s="712">
        <f t="shared" si="27"/>
        <v>15000</v>
      </c>
    </row>
    <row r="2945" spans="1:16" s="619" customFormat="1" ht="36" x14ac:dyDescent="0.2">
      <c r="A2945" s="626" t="s">
        <v>6091</v>
      </c>
      <c r="B2945" s="626" t="s">
        <v>1908</v>
      </c>
      <c r="C2945" s="638" t="s">
        <v>104</v>
      </c>
      <c r="D2945" s="626" t="s">
        <v>6198</v>
      </c>
      <c r="E2945" s="636">
        <v>2400</v>
      </c>
      <c r="F2945" s="637" t="s">
        <v>6632</v>
      </c>
      <c r="G2945" s="626" t="s">
        <v>6633</v>
      </c>
      <c r="H2945" s="626" t="s">
        <v>6198</v>
      </c>
      <c r="I2945" s="638" t="s">
        <v>6095</v>
      </c>
      <c r="J2945" s="625" t="s">
        <v>6096</v>
      </c>
      <c r="K2945" s="626">
        <v>1</v>
      </c>
      <c r="L2945" s="638">
        <v>12</v>
      </c>
      <c r="M2945" s="712">
        <v>28800</v>
      </c>
      <c r="N2945" s="638">
        <v>1</v>
      </c>
      <c r="O2945" s="626">
        <v>6</v>
      </c>
      <c r="P2945" s="712">
        <f t="shared" si="27"/>
        <v>14400</v>
      </c>
    </row>
    <row r="2946" spans="1:16" s="619" customFormat="1" ht="24" x14ac:dyDescent="0.2">
      <c r="A2946" s="626" t="s">
        <v>6091</v>
      </c>
      <c r="B2946" s="626" t="s">
        <v>1908</v>
      </c>
      <c r="C2946" s="638" t="s">
        <v>104</v>
      </c>
      <c r="D2946" s="626" t="s">
        <v>6092</v>
      </c>
      <c r="E2946" s="636">
        <v>2500</v>
      </c>
      <c r="F2946" s="637" t="s">
        <v>6634</v>
      </c>
      <c r="G2946" s="626" t="s">
        <v>6635</v>
      </c>
      <c r="H2946" s="626" t="s">
        <v>6092</v>
      </c>
      <c r="I2946" s="638" t="s">
        <v>6095</v>
      </c>
      <c r="J2946" s="625" t="s">
        <v>6096</v>
      </c>
      <c r="K2946" s="626">
        <v>1</v>
      </c>
      <c r="L2946" s="638">
        <v>12</v>
      </c>
      <c r="M2946" s="712">
        <v>30000</v>
      </c>
      <c r="N2946" s="638"/>
      <c r="O2946" s="626"/>
      <c r="P2946" s="712">
        <f t="shared" si="27"/>
        <v>0</v>
      </c>
    </row>
    <row r="2947" spans="1:16" s="619" customFormat="1" ht="36" x14ac:dyDescent="0.2">
      <c r="A2947" s="626" t="s">
        <v>6091</v>
      </c>
      <c r="B2947" s="626" t="s">
        <v>1908</v>
      </c>
      <c r="C2947" s="638" t="s">
        <v>104</v>
      </c>
      <c r="D2947" s="626" t="s">
        <v>6198</v>
      </c>
      <c r="E2947" s="636">
        <v>2300</v>
      </c>
      <c r="F2947" s="637" t="s">
        <v>6636</v>
      </c>
      <c r="G2947" s="626" t="s">
        <v>6637</v>
      </c>
      <c r="H2947" s="626" t="s">
        <v>6198</v>
      </c>
      <c r="I2947" s="638" t="s">
        <v>6095</v>
      </c>
      <c r="J2947" s="625" t="s">
        <v>6096</v>
      </c>
      <c r="K2947" s="626">
        <v>1</v>
      </c>
      <c r="L2947" s="638">
        <v>2</v>
      </c>
      <c r="M2947" s="712">
        <v>4600</v>
      </c>
      <c r="N2947" s="638"/>
      <c r="O2947" s="626"/>
      <c r="P2947" s="712">
        <f t="shared" si="27"/>
        <v>0</v>
      </c>
    </row>
    <row r="2948" spans="1:16" s="619" customFormat="1" ht="36" x14ac:dyDescent="0.2">
      <c r="A2948" s="626" t="s">
        <v>6091</v>
      </c>
      <c r="B2948" s="626" t="s">
        <v>1908</v>
      </c>
      <c r="C2948" s="638" t="s">
        <v>104</v>
      </c>
      <c r="D2948" s="626" t="s">
        <v>6101</v>
      </c>
      <c r="E2948" s="636">
        <v>2700</v>
      </c>
      <c r="F2948" s="637" t="s">
        <v>6638</v>
      </c>
      <c r="G2948" s="626" t="s">
        <v>6639</v>
      </c>
      <c r="H2948" s="626" t="s">
        <v>6101</v>
      </c>
      <c r="I2948" s="638" t="s">
        <v>6095</v>
      </c>
      <c r="J2948" s="625" t="s">
        <v>6096</v>
      </c>
      <c r="K2948" s="626">
        <v>1</v>
      </c>
      <c r="L2948" s="638">
        <v>12</v>
      </c>
      <c r="M2948" s="712">
        <v>32400</v>
      </c>
      <c r="N2948" s="638">
        <v>1</v>
      </c>
      <c r="O2948" s="626">
        <v>6</v>
      </c>
      <c r="P2948" s="712">
        <f t="shared" si="27"/>
        <v>16200</v>
      </c>
    </row>
    <row r="2949" spans="1:16" s="619" customFormat="1" ht="36" x14ac:dyDescent="0.2">
      <c r="A2949" s="626" t="s">
        <v>6091</v>
      </c>
      <c r="B2949" s="626" t="s">
        <v>1908</v>
      </c>
      <c r="C2949" s="638" t="s">
        <v>104</v>
      </c>
      <c r="D2949" s="626" t="s">
        <v>6227</v>
      </c>
      <c r="E2949" s="636">
        <v>2500</v>
      </c>
      <c r="F2949" s="637" t="s">
        <v>6640</v>
      </c>
      <c r="G2949" s="626" t="s">
        <v>6641</v>
      </c>
      <c r="H2949" s="626" t="s">
        <v>5790</v>
      </c>
      <c r="I2949" s="638" t="s">
        <v>6095</v>
      </c>
      <c r="J2949" s="625" t="s">
        <v>6096</v>
      </c>
      <c r="K2949" s="626">
        <v>1</v>
      </c>
      <c r="L2949" s="638">
        <v>12</v>
      </c>
      <c r="M2949" s="712">
        <v>30000</v>
      </c>
      <c r="N2949" s="638">
        <v>1</v>
      </c>
      <c r="O2949" s="626">
        <v>6</v>
      </c>
      <c r="P2949" s="712">
        <f t="shared" ref="P2949:P3012" si="28">O2949*E2949</f>
        <v>15000</v>
      </c>
    </row>
    <row r="2950" spans="1:16" s="619" customFormat="1" ht="48" x14ac:dyDescent="0.2">
      <c r="A2950" s="626" t="s">
        <v>6091</v>
      </c>
      <c r="B2950" s="626" t="s">
        <v>1908</v>
      </c>
      <c r="C2950" s="638" t="s">
        <v>104</v>
      </c>
      <c r="D2950" s="626" t="s">
        <v>6114</v>
      </c>
      <c r="E2950" s="636">
        <v>1200</v>
      </c>
      <c r="F2950" s="637" t="s">
        <v>6642</v>
      </c>
      <c r="G2950" s="626" t="s">
        <v>6643</v>
      </c>
      <c r="H2950" s="626" t="s">
        <v>6123</v>
      </c>
      <c r="I2950" s="638" t="s">
        <v>6099</v>
      </c>
      <c r="J2950" s="625" t="s">
        <v>6100</v>
      </c>
      <c r="K2950" s="626">
        <v>1</v>
      </c>
      <c r="L2950" s="638">
        <v>2</v>
      </c>
      <c r="M2950" s="712">
        <v>2400</v>
      </c>
      <c r="N2950" s="638"/>
      <c r="O2950" s="626"/>
      <c r="P2950" s="712">
        <f t="shared" si="28"/>
        <v>0</v>
      </c>
    </row>
    <row r="2951" spans="1:16" s="619" customFormat="1" ht="24" x14ac:dyDescent="0.2">
      <c r="A2951" s="626" t="s">
        <v>6091</v>
      </c>
      <c r="B2951" s="626" t="s">
        <v>1908</v>
      </c>
      <c r="C2951" s="638" t="s">
        <v>104</v>
      </c>
      <c r="D2951" s="626" t="s">
        <v>3529</v>
      </c>
      <c r="E2951" s="636">
        <v>3500</v>
      </c>
      <c r="F2951" s="637" t="s">
        <v>6644</v>
      </c>
      <c r="G2951" s="626" t="s">
        <v>6645</v>
      </c>
      <c r="H2951" s="626" t="s">
        <v>4337</v>
      </c>
      <c r="I2951" s="638" t="s">
        <v>6095</v>
      </c>
      <c r="J2951" s="625" t="s">
        <v>6096</v>
      </c>
      <c r="K2951" s="626">
        <v>1</v>
      </c>
      <c r="L2951" s="638">
        <v>5</v>
      </c>
      <c r="M2951" s="712">
        <v>17500</v>
      </c>
      <c r="N2951" s="638"/>
      <c r="O2951" s="626"/>
      <c r="P2951" s="712">
        <f t="shared" si="28"/>
        <v>0</v>
      </c>
    </row>
    <row r="2952" spans="1:16" s="619" customFormat="1" ht="36" x14ac:dyDescent="0.2">
      <c r="A2952" s="626" t="s">
        <v>6091</v>
      </c>
      <c r="B2952" s="626" t="s">
        <v>1908</v>
      </c>
      <c r="C2952" s="638" t="s">
        <v>104</v>
      </c>
      <c r="D2952" s="626" t="s">
        <v>6158</v>
      </c>
      <c r="E2952" s="636">
        <v>1500</v>
      </c>
      <c r="F2952" s="637" t="s">
        <v>6646</v>
      </c>
      <c r="G2952" s="626" t="s">
        <v>6647</v>
      </c>
      <c r="H2952" s="626" t="s">
        <v>6273</v>
      </c>
      <c r="I2952" s="638" t="s">
        <v>6099</v>
      </c>
      <c r="J2952" s="625" t="s">
        <v>6100</v>
      </c>
      <c r="K2952" s="626">
        <v>1</v>
      </c>
      <c r="L2952" s="638">
        <v>12</v>
      </c>
      <c r="M2952" s="712">
        <v>18000</v>
      </c>
      <c r="N2952" s="638">
        <v>1</v>
      </c>
      <c r="O2952" s="626">
        <v>6</v>
      </c>
      <c r="P2952" s="712">
        <f t="shared" si="28"/>
        <v>9000</v>
      </c>
    </row>
    <row r="2953" spans="1:16" s="619" customFormat="1" ht="36" x14ac:dyDescent="0.2">
      <c r="A2953" s="626" t="s">
        <v>6091</v>
      </c>
      <c r="B2953" s="626" t="s">
        <v>1908</v>
      </c>
      <c r="C2953" s="638" t="s">
        <v>104</v>
      </c>
      <c r="D2953" s="626" t="s">
        <v>6648</v>
      </c>
      <c r="E2953" s="636">
        <v>1600</v>
      </c>
      <c r="F2953" s="637" t="s">
        <v>6649</v>
      </c>
      <c r="G2953" s="626" t="s">
        <v>6650</v>
      </c>
      <c r="H2953" s="626" t="s">
        <v>6142</v>
      </c>
      <c r="I2953" s="638" t="s">
        <v>6095</v>
      </c>
      <c r="J2953" s="625" t="s">
        <v>6096</v>
      </c>
      <c r="K2953" s="626">
        <v>1</v>
      </c>
      <c r="L2953" s="638">
        <v>2</v>
      </c>
      <c r="M2953" s="712">
        <v>3200</v>
      </c>
      <c r="N2953" s="638"/>
      <c r="O2953" s="626"/>
      <c r="P2953" s="712">
        <f t="shared" si="28"/>
        <v>0</v>
      </c>
    </row>
    <row r="2954" spans="1:16" s="619" customFormat="1" ht="36" x14ac:dyDescent="0.2">
      <c r="A2954" s="626" t="s">
        <v>6091</v>
      </c>
      <c r="B2954" s="626" t="s">
        <v>1908</v>
      </c>
      <c r="C2954" s="638" t="s">
        <v>104</v>
      </c>
      <c r="D2954" s="626" t="s">
        <v>2660</v>
      </c>
      <c r="E2954" s="636">
        <v>1000</v>
      </c>
      <c r="F2954" s="637" t="s">
        <v>6651</v>
      </c>
      <c r="G2954" s="626" t="s">
        <v>6652</v>
      </c>
      <c r="H2954" s="626" t="s">
        <v>2660</v>
      </c>
      <c r="I2954" s="638" t="s">
        <v>6099</v>
      </c>
      <c r="J2954" s="625" t="s">
        <v>6100</v>
      </c>
      <c r="K2954" s="626">
        <v>1</v>
      </c>
      <c r="L2954" s="638">
        <v>1</v>
      </c>
      <c r="M2954" s="712">
        <v>1000</v>
      </c>
      <c r="N2954" s="638"/>
      <c r="O2954" s="626"/>
      <c r="P2954" s="712">
        <f t="shared" si="28"/>
        <v>0</v>
      </c>
    </row>
    <row r="2955" spans="1:16" s="619" customFormat="1" ht="24" x14ac:dyDescent="0.2">
      <c r="A2955" s="626" t="s">
        <v>6091</v>
      </c>
      <c r="B2955" s="626" t="s">
        <v>1908</v>
      </c>
      <c r="C2955" s="638" t="s">
        <v>104</v>
      </c>
      <c r="D2955" s="626" t="s">
        <v>6198</v>
      </c>
      <c r="E2955" s="636">
        <v>2000</v>
      </c>
      <c r="F2955" s="637" t="s">
        <v>6653</v>
      </c>
      <c r="G2955" s="626" t="s">
        <v>6654</v>
      </c>
      <c r="H2955" s="626" t="s">
        <v>6198</v>
      </c>
      <c r="I2955" s="638" t="s">
        <v>6095</v>
      </c>
      <c r="J2955" s="625" t="s">
        <v>6096</v>
      </c>
      <c r="K2955" s="626">
        <v>1</v>
      </c>
      <c r="L2955" s="638">
        <v>1</v>
      </c>
      <c r="M2955" s="712">
        <v>2000</v>
      </c>
      <c r="N2955" s="638"/>
      <c r="O2955" s="626"/>
      <c r="P2955" s="712">
        <f t="shared" si="28"/>
        <v>0</v>
      </c>
    </row>
    <row r="2956" spans="1:16" s="619" customFormat="1" ht="36" x14ac:dyDescent="0.2">
      <c r="A2956" s="626" t="s">
        <v>6091</v>
      </c>
      <c r="B2956" s="626" t="s">
        <v>1908</v>
      </c>
      <c r="C2956" s="638" t="s">
        <v>104</v>
      </c>
      <c r="D2956" s="626" t="s">
        <v>6198</v>
      </c>
      <c r="E2956" s="636">
        <v>2800</v>
      </c>
      <c r="F2956" s="637" t="s">
        <v>6655</v>
      </c>
      <c r="G2956" s="626" t="s">
        <v>6656</v>
      </c>
      <c r="H2956" s="626" t="s">
        <v>6198</v>
      </c>
      <c r="I2956" s="638" t="s">
        <v>6095</v>
      </c>
      <c r="J2956" s="625" t="s">
        <v>6096</v>
      </c>
      <c r="K2956" s="626">
        <v>1</v>
      </c>
      <c r="L2956" s="638">
        <v>1</v>
      </c>
      <c r="M2956" s="712">
        <v>2800</v>
      </c>
      <c r="N2956" s="638"/>
      <c r="O2956" s="626"/>
      <c r="P2956" s="712">
        <f t="shared" si="28"/>
        <v>0</v>
      </c>
    </row>
    <row r="2957" spans="1:16" s="619" customFormat="1" ht="36" x14ac:dyDescent="0.2">
      <c r="A2957" s="626" t="s">
        <v>6091</v>
      </c>
      <c r="B2957" s="626" t="s">
        <v>1908</v>
      </c>
      <c r="C2957" s="638" t="s">
        <v>104</v>
      </c>
      <c r="D2957" s="626" t="s">
        <v>6179</v>
      </c>
      <c r="E2957" s="636">
        <v>3300</v>
      </c>
      <c r="F2957" s="637" t="s">
        <v>6657</v>
      </c>
      <c r="G2957" s="626" t="s">
        <v>6658</v>
      </c>
      <c r="H2957" s="626" t="s">
        <v>6182</v>
      </c>
      <c r="I2957" s="638" t="s">
        <v>6095</v>
      </c>
      <c r="J2957" s="625" t="s">
        <v>6096</v>
      </c>
      <c r="K2957" s="626">
        <v>1</v>
      </c>
      <c r="L2957" s="638">
        <v>1</v>
      </c>
      <c r="M2957" s="712">
        <v>3300</v>
      </c>
      <c r="N2957" s="638"/>
      <c r="O2957" s="626"/>
      <c r="P2957" s="712">
        <f t="shared" si="28"/>
        <v>0</v>
      </c>
    </row>
    <row r="2958" spans="1:16" s="619" customFormat="1" ht="36" x14ac:dyDescent="0.2">
      <c r="A2958" s="626" t="s">
        <v>6091</v>
      </c>
      <c r="B2958" s="626" t="s">
        <v>1908</v>
      </c>
      <c r="C2958" s="638" t="s">
        <v>104</v>
      </c>
      <c r="D2958" s="626" t="s">
        <v>6227</v>
      </c>
      <c r="E2958" s="636">
        <v>2500</v>
      </c>
      <c r="F2958" s="637" t="s">
        <v>6659</v>
      </c>
      <c r="G2958" s="626" t="s">
        <v>6660</v>
      </c>
      <c r="H2958" s="626" t="s">
        <v>5790</v>
      </c>
      <c r="I2958" s="638" t="s">
        <v>6095</v>
      </c>
      <c r="J2958" s="625" t="s">
        <v>6096</v>
      </c>
      <c r="K2958" s="626">
        <v>1</v>
      </c>
      <c r="L2958" s="638">
        <v>11</v>
      </c>
      <c r="M2958" s="712">
        <v>27500</v>
      </c>
      <c r="N2958" s="638"/>
      <c r="O2958" s="626"/>
      <c r="P2958" s="712">
        <f t="shared" si="28"/>
        <v>0</v>
      </c>
    </row>
    <row r="2959" spans="1:16" s="619" customFormat="1" ht="24" x14ac:dyDescent="0.2">
      <c r="A2959" s="626" t="s">
        <v>6091</v>
      </c>
      <c r="B2959" s="626" t="s">
        <v>1908</v>
      </c>
      <c r="C2959" s="638" t="s">
        <v>104</v>
      </c>
      <c r="D2959" s="626" t="s">
        <v>6548</v>
      </c>
      <c r="E2959" s="636">
        <v>2800</v>
      </c>
      <c r="F2959" s="637" t="s">
        <v>6661</v>
      </c>
      <c r="G2959" s="626" t="s">
        <v>6662</v>
      </c>
      <c r="H2959" s="626" t="s">
        <v>6548</v>
      </c>
      <c r="I2959" s="638" t="s">
        <v>6095</v>
      </c>
      <c r="J2959" s="625" t="s">
        <v>6096</v>
      </c>
      <c r="K2959" s="626">
        <v>1</v>
      </c>
      <c r="L2959" s="638">
        <v>2</v>
      </c>
      <c r="M2959" s="712">
        <v>5600</v>
      </c>
      <c r="N2959" s="638">
        <v>1</v>
      </c>
      <c r="O2959" s="626">
        <v>6</v>
      </c>
      <c r="P2959" s="712">
        <f t="shared" si="28"/>
        <v>16800</v>
      </c>
    </row>
    <row r="2960" spans="1:16" s="619" customFormat="1" ht="36" x14ac:dyDescent="0.2">
      <c r="A2960" s="626" t="s">
        <v>6091</v>
      </c>
      <c r="B2960" s="626" t="s">
        <v>1908</v>
      </c>
      <c r="C2960" s="638" t="s">
        <v>104</v>
      </c>
      <c r="D2960" s="626" t="s">
        <v>2660</v>
      </c>
      <c r="E2960" s="636">
        <v>1000</v>
      </c>
      <c r="F2960" s="637" t="s">
        <v>6663</v>
      </c>
      <c r="G2960" s="626" t="s">
        <v>6664</v>
      </c>
      <c r="H2960" s="626" t="s">
        <v>2660</v>
      </c>
      <c r="I2960" s="638" t="s">
        <v>6099</v>
      </c>
      <c r="J2960" s="625" t="s">
        <v>6100</v>
      </c>
      <c r="K2960" s="626">
        <v>1</v>
      </c>
      <c r="L2960" s="638">
        <v>11</v>
      </c>
      <c r="M2960" s="712">
        <v>11000</v>
      </c>
      <c r="N2960" s="638">
        <v>1</v>
      </c>
      <c r="O2960" s="626">
        <v>6</v>
      </c>
      <c r="P2960" s="712">
        <f t="shared" si="28"/>
        <v>6000</v>
      </c>
    </row>
    <row r="2961" spans="1:16" s="619" customFormat="1" ht="36" x14ac:dyDescent="0.2">
      <c r="A2961" s="626" t="s">
        <v>6091</v>
      </c>
      <c r="B2961" s="626" t="s">
        <v>1908</v>
      </c>
      <c r="C2961" s="638" t="s">
        <v>104</v>
      </c>
      <c r="D2961" s="626" t="s">
        <v>2660</v>
      </c>
      <c r="E2961" s="636">
        <v>1200</v>
      </c>
      <c r="F2961" s="637" t="s">
        <v>6665</v>
      </c>
      <c r="G2961" s="626" t="s">
        <v>6666</v>
      </c>
      <c r="H2961" s="626" t="s">
        <v>2660</v>
      </c>
      <c r="I2961" s="638" t="s">
        <v>6099</v>
      </c>
      <c r="J2961" s="625" t="s">
        <v>6100</v>
      </c>
      <c r="K2961" s="626">
        <v>1</v>
      </c>
      <c r="L2961" s="638">
        <v>1</v>
      </c>
      <c r="M2961" s="712">
        <v>1200</v>
      </c>
      <c r="N2961" s="638"/>
      <c r="O2961" s="626"/>
      <c r="P2961" s="712">
        <f t="shared" si="28"/>
        <v>0</v>
      </c>
    </row>
    <row r="2962" spans="1:16" s="619" customFormat="1" ht="36" x14ac:dyDescent="0.2">
      <c r="A2962" s="626" t="s">
        <v>6091</v>
      </c>
      <c r="B2962" s="626" t="s">
        <v>1908</v>
      </c>
      <c r="C2962" s="638" t="s">
        <v>104</v>
      </c>
      <c r="D2962" s="626" t="s">
        <v>6227</v>
      </c>
      <c r="E2962" s="636">
        <v>2500</v>
      </c>
      <c r="F2962" s="637" t="s">
        <v>6667</v>
      </c>
      <c r="G2962" s="626" t="s">
        <v>6668</v>
      </c>
      <c r="H2962" s="626" t="s">
        <v>5790</v>
      </c>
      <c r="I2962" s="638" t="s">
        <v>6095</v>
      </c>
      <c r="J2962" s="625" t="s">
        <v>6096</v>
      </c>
      <c r="K2962" s="626">
        <v>1</v>
      </c>
      <c r="L2962" s="638">
        <v>11</v>
      </c>
      <c r="M2962" s="712">
        <v>27500</v>
      </c>
      <c r="N2962" s="638">
        <v>1</v>
      </c>
      <c r="O2962" s="626">
        <v>1</v>
      </c>
      <c r="P2962" s="712">
        <f t="shared" si="28"/>
        <v>2500</v>
      </c>
    </row>
    <row r="2963" spans="1:16" s="619" customFormat="1" ht="24" x14ac:dyDescent="0.2">
      <c r="A2963" s="626" t="s">
        <v>6091</v>
      </c>
      <c r="B2963" s="626" t="s">
        <v>1908</v>
      </c>
      <c r="C2963" s="638" t="s">
        <v>104</v>
      </c>
      <c r="D2963" s="626" t="s">
        <v>6198</v>
      </c>
      <c r="E2963" s="636">
        <v>2300</v>
      </c>
      <c r="F2963" s="637" t="s">
        <v>6669</v>
      </c>
      <c r="G2963" s="626" t="s">
        <v>6670</v>
      </c>
      <c r="H2963" s="626" t="s">
        <v>6198</v>
      </c>
      <c r="I2963" s="638" t="s">
        <v>6095</v>
      </c>
      <c r="J2963" s="625" t="s">
        <v>6096</v>
      </c>
      <c r="K2963" s="626">
        <v>1</v>
      </c>
      <c r="L2963" s="638">
        <v>11</v>
      </c>
      <c r="M2963" s="712">
        <v>25300</v>
      </c>
      <c r="N2963" s="638">
        <v>1</v>
      </c>
      <c r="O2963" s="626">
        <v>6</v>
      </c>
      <c r="P2963" s="712">
        <f t="shared" si="28"/>
        <v>13800</v>
      </c>
    </row>
    <row r="2964" spans="1:16" s="619" customFormat="1" ht="36" x14ac:dyDescent="0.2">
      <c r="A2964" s="626" t="s">
        <v>6091</v>
      </c>
      <c r="B2964" s="626" t="s">
        <v>1908</v>
      </c>
      <c r="C2964" s="638" t="s">
        <v>104</v>
      </c>
      <c r="D2964" s="626" t="s">
        <v>2660</v>
      </c>
      <c r="E2964" s="636">
        <v>1200</v>
      </c>
      <c r="F2964" s="637" t="s">
        <v>6671</v>
      </c>
      <c r="G2964" s="626" t="s">
        <v>6672</v>
      </c>
      <c r="H2964" s="626" t="s">
        <v>2660</v>
      </c>
      <c r="I2964" s="638" t="s">
        <v>6099</v>
      </c>
      <c r="J2964" s="625" t="s">
        <v>6100</v>
      </c>
      <c r="K2964" s="626">
        <v>1</v>
      </c>
      <c r="L2964" s="638">
        <v>1</v>
      </c>
      <c r="M2964" s="712">
        <v>1200</v>
      </c>
      <c r="N2964" s="638"/>
      <c r="O2964" s="626"/>
      <c r="P2964" s="712">
        <f t="shared" si="28"/>
        <v>0</v>
      </c>
    </row>
    <row r="2965" spans="1:16" s="619" customFormat="1" ht="36" x14ac:dyDescent="0.2">
      <c r="A2965" s="626" t="s">
        <v>6091</v>
      </c>
      <c r="B2965" s="626" t="s">
        <v>1908</v>
      </c>
      <c r="C2965" s="638" t="s">
        <v>104</v>
      </c>
      <c r="D2965" s="626" t="s">
        <v>2660</v>
      </c>
      <c r="E2965" s="636">
        <v>1200</v>
      </c>
      <c r="F2965" s="637" t="s">
        <v>6673</v>
      </c>
      <c r="G2965" s="626" t="s">
        <v>6674</v>
      </c>
      <c r="H2965" s="626" t="s">
        <v>2660</v>
      </c>
      <c r="I2965" s="638" t="s">
        <v>6099</v>
      </c>
      <c r="J2965" s="625" t="s">
        <v>6100</v>
      </c>
      <c r="K2965" s="626">
        <v>1</v>
      </c>
      <c r="L2965" s="638">
        <v>10</v>
      </c>
      <c r="M2965" s="712">
        <v>12000</v>
      </c>
      <c r="N2965" s="638">
        <v>1</v>
      </c>
      <c r="O2965" s="626">
        <v>6</v>
      </c>
      <c r="P2965" s="712">
        <f t="shared" si="28"/>
        <v>7200</v>
      </c>
    </row>
    <row r="2966" spans="1:16" s="619" customFormat="1" ht="36" x14ac:dyDescent="0.2">
      <c r="A2966" s="626" t="s">
        <v>6091</v>
      </c>
      <c r="B2966" s="626" t="s">
        <v>1908</v>
      </c>
      <c r="C2966" s="638" t="s">
        <v>104</v>
      </c>
      <c r="D2966" s="626" t="s">
        <v>6198</v>
      </c>
      <c r="E2966" s="636">
        <v>2500</v>
      </c>
      <c r="F2966" s="637" t="s">
        <v>6675</v>
      </c>
      <c r="G2966" s="626" t="s">
        <v>6676</v>
      </c>
      <c r="H2966" s="626" t="s">
        <v>6198</v>
      </c>
      <c r="I2966" s="638" t="s">
        <v>6095</v>
      </c>
      <c r="J2966" s="625" t="s">
        <v>6096</v>
      </c>
      <c r="K2966" s="626">
        <v>1</v>
      </c>
      <c r="L2966" s="638">
        <v>1</v>
      </c>
      <c r="M2966" s="712">
        <v>2500</v>
      </c>
      <c r="N2966" s="638"/>
      <c r="O2966" s="626"/>
      <c r="P2966" s="712">
        <f t="shared" si="28"/>
        <v>0</v>
      </c>
    </row>
    <row r="2967" spans="1:16" s="619" customFormat="1" ht="48" x14ac:dyDescent="0.2">
      <c r="A2967" s="626" t="s">
        <v>6091</v>
      </c>
      <c r="B2967" s="626" t="s">
        <v>1908</v>
      </c>
      <c r="C2967" s="638" t="s">
        <v>104</v>
      </c>
      <c r="D2967" s="626" t="s">
        <v>6114</v>
      </c>
      <c r="E2967" s="636">
        <v>1000</v>
      </c>
      <c r="F2967" s="637" t="s">
        <v>6677</v>
      </c>
      <c r="G2967" s="626" t="s">
        <v>6678</v>
      </c>
      <c r="H2967" s="626" t="s">
        <v>6123</v>
      </c>
      <c r="I2967" s="638" t="s">
        <v>6099</v>
      </c>
      <c r="J2967" s="625" t="s">
        <v>6100</v>
      </c>
      <c r="K2967" s="626">
        <v>1</v>
      </c>
      <c r="L2967" s="638">
        <v>10</v>
      </c>
      <c r="M2967" s="712">
        <v>10000</v>
      </c>
      <c r="N2967" s="638">
        <v>1</v>
      </c>
      <c r="O2967" s="626">
        <v>1</v>
      </c>
      <c r="P2967" s="712">
        <f t="shared" si="28"/>
        <v>1000</v>
      </c>
    </row>
    <row r="2968" spans="1:16" s="619" customFormat="1" ht="36" x14ac:dyDescent="0.2">
      <c r="A2968" s="626" t="s">
        <v>6091</v>
      </c>
      <c r="B2968" s="626" t="s">
        <v>1908</v>
      </c>
      <c r="C2968" s="638" t="s">
        <v>104</v>
      </c>
      <c r="D2968" s="626" t="s">
        <v>6509</v>
      </c>
      <c r="E2968" s="636">
        <v>2800</v>
      </c>
      <c r="F2968" s="637" t="s">
        <v>6679</v>
      </c>
      <c r="G2968" s="626" t="s">
        <v>6680</v>
      </c>
      <c r="H2968" s="626" t="s">
        <v>6142</v>
      </c>
      <c r="I2968" s="638" t="s">
        <v>6095</v>
      </c>
      <c r="J2968" s="625" t="s">
        <v>6096</v>
      </c>
      <c r="K2968" s="626">
        <v>1</v>
      </c>
      <c r="L2968" s="638">
        <v>10</v>
      </c>
      <c r="M2968" s="712">
        <v>28000</v>
      </c>
      <c r="N2968" s="638">
        <v>1</v>
      </c>
      <c r="O2968" s="626">
        <v>6</v>
      </c>
      <c r="P2968" s="712">
        <f t="shared" si="28"/>
        <v>16800</v>
      </c>
    </row>
    <row r="2969" spans="1:16" s="619" customFormat="1" ht="36" x14ac:dyDescent="0.2">
      <c r="A2969" s="626" t="s">
        <v>6091</v>
      </c>
      <c r="B2969" s="626" t="s">
        <v>1908</v>
      </c>
      <c r="C2969" s="638" t="s">
        <v>104</v>
      </c>
      <c r="D2969" s="626" t="s">
        <v>2660</v>
      </c>
      <c r="E2969" s="636">
        <v>1000</v>
      </c>
      <c r="F2969" s="637" t="s">
        <v>6681</v>
      </c>
      <c r="G2969" s="626" t="s">
        <v>6682</v>
      </c>
      <c r="H2969" s="626" t="s">
        <v>2660</v>
      </c>
      <c r="I2969" s="638" t="s">
        <v>6099</v>
      </c>
      <c r="J2969" s="625" t="s">
        <v>6100</v>
      </c>
      <c r="K2969" s="626">
        <v>1</v>
      </c>
      <c r="L2969" s="638">
        <v>10</v>
      </c>
      <c r="M2969" s="712">
        <v>10000</v>
      </c>
      <c r="N2969" s="638"/>
      <c r="O2969" s="626"/>
      <c r="P2969" s="712">
        <f t="shared" si="28"/>
        <v>0</v>
      </c>
    </row>
    <row r="2970" spans="1:16" s="619" customFormat="1" ht="48" x14ac:dyDescent="0.2">
      <c r="A2970" s="626" t="s">
        <v>6091</v>
      </c>
      <c r="B2970" s="626" t="s">
        <v>1908</v>
      </c>
      <c r="C2970" s="638" t="s">
        <v>104</v>
      </c>
      <c r="D2970" s="626" t="s">
        <v>6114</v>
      </c>
      <c r="E2970" s="636">
        <v>1200</v>
      </c>
      <c r="F2970" s="637" t="s">
        <v>6683</v>
      </c>
      <c r="G2970" s="626" t="s">
        <v>6684</v>
      </c>
      <c r="H2970" s="626" t="s">
        <v>6123</v>
      </c>
      <c r="I2970" s="638" t="s">
        <v>6099</v>
      </c>
      <c r="J2970" s="625" t="s">
        <v>6100</v>
      </c>
      <c r="K2970" s="626">
        <v>1</v>
      </c>
      <c r="L2970" s="638">
        <v>1</v>
      </c>
      <c r="M2970" s="712">
        <v>1200</v>
      </c>
      <c r="N2970" s="638"/>
      <c r="O2970" s="626"/>
      <c r="P2970" s="712">
        <f t="shared" si="28"/>
        <v>0</v>
      </c>
    </row>
    <row r="2971" spans="1:16" s="619" customFormat="1" ht="36" x14ac:dyDescent="0.2">
      <c r="A2971" s="626" t="s">
        <v>6091</v>
      </c>
      <c r="B2971" s="626" t="s">
        <v>1908</v>
      </c>
      <c r="C2971" s="638" t="s">
        <v>104</v>
      </c>
      <c r="D2971" s="626" t="s">
        <v>6227</v>
      </c>
      <c r="E2971" s="636">
        <v>2000</v>
      </c>
      <c r="F2971" s="637" t="s">
        <v>6685</v>
      </c>
      <c r="G2971" s="626" t="s">
        <v>6686</v>
      </c>
      <c r="H2971" s="626" t="s">
        <v>5790</v>
      </c>
      <c r="I2971" s="638" t="s">
        <v>6095</v>
      </c>
      <c r="J2971" s="625" t="s">
        <v>6096</v>
      </c>
      <c r="K2971" s="626">
        <v>1</v>
      </c>
      <c r="L2971" s="638">
        <v>10</v>
      </c>
      <c r="M2971" s="712">
        <v>20000</v>
      </c>
      <c r="N2971" s="638"/>
      <c r="O2971" s="626"/>
      <c r="P2971" s="712">
        <f t="shared" si="28"/>
        <v>0</v>
      </c>
    </row>
    <row r="2972" spans="1:16" s="619" customFormat="1" ht="36" x14ac:dyDescent="0.2">
      <c r="A2972" s="626" t="s">
        <v>6091</v>
      </c>
      <c r="B2972" s="626" t="s">
        <v>1908</v>
      </c>
      <c r="C2972" s="638" t="s">
        <v>104</v>
      </c>
      <c r="D2972" s="626" t="s">
        <v>2660</v>
      </c>
      <c r="E2972" s="636">
        <v>1200</v>
      </c>
      <c r="F2972" s="637" t="s">
        <v>6687</v>
      </c>
      <c r="G2972" s="626" t="s">
        <v>6688</v>
      </c>
      <c r="H2972" s="626" t="s">
        <v>2660</v>
      </c>
      <c r="I2972" s="638" t="s">
        <v>6099</v>
      </c>
      <c r="J2972" s="625" t="s">
        <v>6100</v>
      </c>
      <c r="K2972" s="626">
        <v>1</v>
      </c>
      <c r="L2972" s="638">
        <v>10</v>
      </c>
      <c r="M2972" s="712">
        <v>12000</v>
      </c>
      <c r="N2972" s="638">
        <v>1</v>
      </c>
      <c r="O2972" s="626">
        <v>6</v>
      </c>
      <c r="P2972" s="712">
        <f t="shared" si="28"/>
        <v>7200</v>
      </c>
    </row>
    <row r="2973" spans="1:16" s="619" customFormat="1" ht="36" x14ac:dyDescent="0.2">
      <c r="A2973" s="626" t="s">
        <v>6091</v>
      </c>
      <c r="B2973" s="626" t="s">
        <v>1908</v>
      </c>
      <c r="C2973" s="638" t="s">
        <v>104</v>
      </c>
      <c r="D2973" s="626" t="s">
        <v>6198</v>
      </c>
      <c r="E2973" s="636">
        <v>2700</v>
      </c>
      <c r="F2973" s="637" t="s">
        <v>6689</v>
      </c>
      <c r="G2973" s="626" t="s">
        <v>6690</v>
      </c>
      <c r="H2973" s="626" t="s">
        <v>6198</v>
      </c>
      <c r="I2973" s="638" t="s">
        <v>6095</v>
      </c>
      <c r="J2973" s="625" t="s">
        <v>6096</v>
      </c>
      <c r="K2973" s="626">
        <v>1</v>
      </c>
      <c r="L2973" s="638">
        <v>10</v>
      </c>
      <c r="M2973" s="712">
        <v>27000</v>
      </c>
      <c r="N2973" s="638"/>
      <c r="O2973" s="626"/>
      <c r="P2973" s="712">
        <f t="shared" si="28"/>
        <v>0</v>
      </c>
    </row>
    <row r="2974" spans="1:16" s="619" customFormat="1" ht="36" x14ac:dyDescent="0.2">
      <c r="A2974" s="626" t="s">
        <v>6091</v>
      </c>
      <c r="B2974" s="626" t="s">
        <v>1908</v>
      </c>
      <c r="C2974" s="638" t="s">
        <v>104</v>
      </c>
      <c r="D2974" s="626" t="s">
        <v>6691</v>
      </c>
      <c r="E2974" s="636">
        <v>2000</v>
      </c>
      <c r="F2974" s="637" t="s">
        <v>6692</v>
      </c>
      <c r="G2974" s="626" t="s">
        <v>6693</v>
      </c>
      <c r="H2974" s="626" t="s">
        <v>1911</v>
      </c>
      <c r="I2974" s="638" t="s">
        <v>6095</v>
      </c>
      <c r="J2974" s="625" t="s">
        <v>6096</v>
      </c>
      <c r="K2974" s="626">
        <v>1</v>
      </c>
      <c r="L2974" s="638">
        <v>9</v>
      </c>
      <c r="M2974" s="712">
        <v>18000</v>
      </c>
      <c r="N2974" s="638">
        <v>1</v>
      </c>
      <c r="O2974" s="626">
        <v>6</v>
      </c>
      <c r="P2974" s="712">
        <f t="shared" si="28"/>
        <v>12000</v>
      </c>
    </row>
    <row r="2975" spans="1:16" s="619" customFormat="1" ht="36" x14ac:dyDescent="0.2">
      <c r="A2975" s="626" t="s">
        <v>6091</v>
      </c>
      <c r="B2975" s="626" t="s">
        <v>1908</v>
      </c>
      <c r="C2975" s="638" t="s">
        <v>104</v>
      </c>
      <c r="D2975" s="626" t="s">
        <v>2660</v>
      </c>
      <c r="E2975" s="636">
        <v>1200</v>
      </c>
      <c r="F2975" s="637" t="s">
        <v>6694</v>
      </c>
      <c r="G2975" s="626" t="s">
        <v>6695</v>
      </c>
      <c r="H2975" s="626" t="s">
        <v>2660</v>
      </c>
      <c r="I2975" s="638" t="s">
        <v>6099</v>
      </c>
      <c r="J2975" s="625" t="s">
        <v>6100</v>
      </c>
      <c r="K2975" s="626">
        <v>1</v>
      </c>
      <c r="L2975" s="638">
        <v>3</v>
      </c>
      <c r="M2975" s="712">
        <v>3600</v>
      </c>
      <c r="N2975" s="638"/>
      <c r="O2975" s="626"/>
      <c r="P2975" s="712">
        <f t="shared" si="28"/>
        <v>0</v>
      </c>
    </row>
    <row r="2976" spans="1:16" s="619" customFormat="1" ht="36" x14ac:dyDescent="0.2">
      <c r="A2976" s="626" t="s">
        <v>6091</v>
      </c>
      <c r="B2976" s="626" t="s">
        <v>1908</v>
      </c>
      <c r="C2976" s="638" t="s">
        <v>104</v>
      </c>
      <c r="D2976" s="626" t="s">
        <v>6198</v>
      </c>
      <c r="E2976" s="636">
        <v>2000</v>
      </c>
      <c r="F2976" s="637" t="s">
        <v>6696</v>
      </c>
      <c r="G2976" s="626" t="s">
        <v>6697</v>
      </c>
      <c r="H2976" s="626" t="s">
        <v>6198</v>
      </c>
      <c r="I2976" s="638" t="s">
        <v>6095</v>
      </c>
      <c r="J2976" s="625" t="s">
        <v>6096</v>
      </c>
      <c r="K2976" s="626">
        <v>1</v>
      </c>
      <c r="L2976" s="638">
        <v>3</v>
      </c>
      <c r="M2976" s="712">
        <v>6000</v>
      </c>
      <c r="N2976" s="638"/>
      <c r="O2976" s="626"/>
      <c r="P2976" s="712">
        <f t="shared" si="28"/>
        <v>0</v>
      </c>
    </row>
    <row r="2977" spans="1:16" s="619" customFormat="1" ht="36" x14ac:dyDescent="0.2">
      <c r="A2977" s="626" t="s">
        <v>6091</v>
      </c>
      <c r="B2977" s="626" t="s">
        <v>1908</v>
      </c>
      <c r="C2977" s="638" t="s">
        <v>104</v>
      </c>
      <c r="D2977" s="626" t="s">
        <v>6198</v>
      </c>
      <c r="E2977" s="636">
        <v>2000</v>
      </c>
      <c r="F2977" s="637" t="s">
        <v>6698</v>
      </c>
      <c r="G2977" s="626" t="s">
        <v>6699</v>
      </c>
      <c r="H2977" s="626" t="s">
        <v>6198</v>
      </c>
      <c r="I2977" s="638" t="s">
        <v>6095</v>
      </c>
      <c r="J2977" s="625" t="s">
        <v>6096</v>
      </c>
      <c r="K2977" s="626">
        <v>1</v>
      </c>
      <c r="L2977" s="638">
        <v>9</v>
      </c>
      <c r="M2977" s="712">
        <v>18000</v>
      </c>
      <c r="N2977" s="638">
        <v>1</v>
      </c>
      <c r="O2977" s="626">
        <v>6</v>
      </c>
      <c r="P2977" s="712">
        <f t="shared" si="28"/>
        <v>12000</v>
      </c>
    </row>
    <row r="2978" spans="1:16" s="619" customFormat="1" ht="24" x14ac:dyDescent="0.2">
      <c r="A2978" s="626" t="s">
        <v>6091</v>
      </c>
      <c r="B2978" s="626" t="s">
        <v>1908</v>
      </c>
      <c r="C2978" s="638" t="s">
        <v>104</v>
      </c>
      <c r="D2978" s="626" t="s">
        <v>6092</v>
      </c>
      <c r="E2978" s="636">
        <v>2500</v>
      </c>
      <c r="F2978" s="637" t="s">
        <v>6700</v>
      </c>
      <c r="G2978" s="626" t="s">
        <v>6701</v>
      </c>
      <c r="H2978" s="626" t="s">
        <v>6092</v>
      </c>
      <c r="I2978" s="638" t="s">
        <v>6095</v>
      </c>
      <c r="J2978" s="625" t="s">
        <v>6096</v>
      </c>
      <c r="K2978" s="626">
        <v>1</v>
      </c>
      <c r="L2978" s="638">
        <v>9</v>
      </c>
      <c r="M2978" s="712">
        <v>22500</v>
      </c>
      <c r="N2978" s="638">
        <v>1</v>
      </c>
      <c r="O2978" s="626">
        <v>6</v>
      </c>
      <c r="P2978" s="712">
        <f t="shared" si="28"/>
        <v>15000</v>
      </c>
    </row>
    <row r="2979" spans="1:16" s="619" customFormat="1" ht="48" x14ac:dyDescent="0.2">
      <c r="A2979" s="626" t="s">
        <v>6091</v>
      </c>
      <c r="B2979" s="626" t="s">
        <v>1908</v>
      </c>
      <c r="C2979" s="638" t="s">
        <v>104</v>
      </c>
      <c r="D2979" s="626" t="s">
        <v>6702</v>
      </c>
      <c r="E2979" s="636">
        <v>5000</v>
      </c>
      <c r="F2979" s="637" t="s">
        <v>6703</v>
      </c>
      <c r="G2979" s="626" t="s">
        <v>6704</v>
      </c>
      <c r="H2979" s="626" t="s">
        <v>4337</v>
      </c>
      <c r="I2979" s="638" t="s">
        <v>6095</v>
      </c>
      <c r="J2979" s="625" t="s">
        <v>6096</v>
      </c>
      <c r="K2979" s="626">
        <v>1</v>
      </c>
      <c r="L2979" s="638">
        <v>1</v>
      </c>
      <c r="M2979" s="712">
        <v>5000</v>
      </c>
      <c r="N2979" s="638"/>
      <c r="O2979" s="626"/>
      <c r="P2979" s="712">
        <f t="shared" si="28"/>
        <v>0</v>
      </c>
    </row>
    <row r="2980" spans="1:16" s="619" customFormat="1" ht="48" x14ac:dyDescent="0.2">
      <c r="A2980" s="626" t="s">
        <v>6091</v>
      </c>
      <c r="B2980" s="626" t="s">
        <v>1908</v>
      </c>
      <c r="C2980" s="638" t="s">
        <v>104</v>
      </c>
      <c r="D2980" s="626" t="s">
        <v>6705</v>
      </c>
      <c r="E2980" s="636">
        <v>3000</v>
      </c>
      <c r="F2980" s="637" t="s">
        <v>6706</v>
      </c>
      <c r="G2980" s="626" t="s">
        <v>2852</v>
      </c>
      <c r="H2980" s="626" t="s">
        <v>6707</v>
      </c>
      <c r="I2980" s="638" t="s">
        <v>6095</v>
      </c>
      <c r="J2980" s="625" t="s">
        <v>6096</v>
      </c>
      <c r="K2980" s="626">
        <v>1</v>
      </c>
      <c r="L2980" s="638">
        <v>3</v>
      </c>
      <c r="M2980" s="712">
        <v>9000</v>
      </c>
      <c r="N2980" s="638"/>
      <c r="O2980" s="626"/>
      <c r="P2980" s="712">
        <f t="shared" si="28"/>
        <v>0</v>
      </c>
    </row>
    <row r="2981" spans="1:16" s="619" customFormat="1" ht="36" x14ac:dyDescent="0.2">
      <c r="A2981" s="626" t="s">
        <v>6091</v>
      </c>
      <c r="B2981" s="626" t="s">
        <v>1908</v>
      </c>
      <c r="C2981" s="638" t="s">
        <v>104</v>
      </c>
      <c r="D2981" s="626" t="s">
        <v>6708</v>
      </c>
      <c r="E2981" s="636">
        <v>10000</v>
      </c>
      <c r="F2981" s="637" t="s">
        <v>6709</v>
      </c>
      <c r="G2981" s="626" t="s">
        <v>6710</v>
      </c>
      <c r="H2981" s="626" t="s">
        <v>6182</v>
      </c>
      <c r="I2981" s="638" t="s">
        <v>6095</v>
      </c>
      <c r="J2981" s="625" t="s">
        <v>6096</v>
      </c>
      <c r="K2981" s="626">
        <v>1</v>
      </c>
      <c r="L2981" s="638">
        <v>1</v>
      </c>
      <c r="M2981" s="712">
        <v>10000</v>
      </c>
      <c r="N2981" s="638"/>
      <c r="O2981" s="626"/>
      <c r="P2981" s="712">
        <f t="shared" si="28"/>
        <v>0</v>
      </c>
    </row>
    <row r="2982" spans="1:16" s="619" customFormat="1" ht="36" x14ac:dyDescent="0.2">
      <c r="A2982" s="626" t="s">
        <v>6091</v>
      </c>
      <c r="B2982" s="626" t="s">
        <v>1908</v>
      </c>
      <c r="C2982" s="638" t="s">
        <v>104</v>
      </c>
      <c r="D2982" s="626" t="s">
        <v>3545</v>
      </c>
      <c r="E2982" s="636">
        <v>1200</v>
      </c>
      <c r="F2982" s="637" t="s">
        <v>6711</v>
      </c>
      <c r="G2982" s="626" t="s">
        <v>6712</v>
      </c>
      <c r="H2982" s="626" t="s">
        <v>4589</v>
      </c>
      <c r="I2982" s="638" t="s">
        <v>6099</v>
      </c>
      <c r="J2982" s="625" t="s">
        <v>6100</v>
      </c>
      <c r="K2982" s="626">
        <v>1</v>
      </c>
      <c r="L2982" s="638">
        <v>8</v>
      </c>
      <c r="M2982" s="712">
        <v>9600</v>
      </c>
      <c r="N2982" s="638">
        <v>1</v>
      </c>
      <c r="O2982" s="626">
        <v>6</v>
      </c>
      <c r="P2982" s="712">
        <f t="shared" si="28"/>
        <v>7200</v>
      </c>
    </row>
    <row r="2983" spans="1:16" s="619" customFormat="1" ht="36" x14ac:dyDescent="0.2">
      <c r="A2983" s="626" t="s">
        <v>6091</v>
      </c>
      <c r="B2983" s="626" t="s">
        <v>1908</v>
      </c>
      <c r="C2983" s="638" t="s">
        <v>104</v>
      </c>
      <c r="D2983" s="626" t="s">
        <v>2660</v>
      </c>
      <c r="E2983" s="636">
        <v>1200</v>
      </c>
      <c r="F2983" s="637" t="s">
        <v>6713</v>
      </c>
      <c r="G2983" s="626" t="s">
        <v>6714</v>
      </c>
      <c r="H2983" s="626" t="s">
        <v>2660</v>
      </c>
      <c r="I2983" s="638" t="s">
        <v>6099</v>
      </c>
      <c r="J2983" s="625" t="s">
        <v>6100</v>
      </c>
      <c r="K2983" s="626">
        <v>1</v>
      </c>
      <c r="L2983" s="638">
        <v>1</v>
      </c>
      <c r="M2983" s="712">
        <v>1200</v>
      </c>
      <c r="N2983" s="638"/>
      <c r="O2983" s="626"/>
      <c r="P2983" s="712">
        <f t="shared" si="28"/>
        <v>0</v>
      </c>
    </row>
    <row r="2984" spans="1:16" s="619" customFormat="1" ht="24" x14ac:dyDescent="0.2">
      <c r="A2984" s="626" t="s">
        <v>6091</v>
      </c>
      <c r="B2984" s="626" t="s">
        <v>1908</v>
      </c>
      <c r="C2984" s="638" t="s">
        <v>104</v>
      </c>
      <c r="D2984" s="626" t="s">
        <v>6158</v>
      </c>
      <c r="E2984" s="636">
        <v>1000</v>
      </c>
      <c r="F2984" s="637" t="s">
        <v>6715</v>
      </c>
      <c r="G2984" s="626" t="s">
        <v>6716</v>
      </c>
      <c r="H2984" s="626"/>
      <c r="I2984" s="638" t="s">
        <v>1919</v>
      </c>
      <c r="J2984" s="625" t="s">
        <v>6128</v>
      </c>
      <c r="K2984" s="626">
        <v>1</v>
      </c>
      <c r="L2984" s="638">
        <v>8</v>
      </c>
      <c r="M2984" s="712">
        <v>8000</v>
      </c>
      <c r="N2984" s="638">
        <v>1</v>
      </c>
      <c r="O2984" s="626">
        <v>6</v>
      </c>
      <c r="P2984" s="712">
        <f t="shared" si="28"/>
        <v>6000</v>
      </c>
    </row>
    <row r="2985" spans="1:16" s="619" customFormat="1" ht="36" x14ac:dyDescent="0.2">
      <c r="A2985" s="626" t="s">
        <v>6091</v>
      </c>
      <c r="B2985" s="626" t="s">
        <v>1908</v>
      </c>
      <c r="C2985" s="638" t="s">
        <v>104</v>
      </c>
      <c r="D2985" s="626" t="s">
        <v>2660</v>
      </c>
      <c r="E2985" s="636">
        <v>1000</v>
      </c>
      <c r="F2985" s="637" t="s">
        <v>6717</v>
      </c>
      <c r="G2985" s="626" t="s">
        <v>6718</v>
      </c>
      <c r="H2985" s="626" t="s">
        <v>2660</v>
      </c>
      <c r="I2985" s="638" t="s">
        <v>6099</v>
      </c>
      <c r="J2985" s="625" t="s">
        <v>6100</v>
      </c>
      <c r="K2985" s="626">
        <v>1</v>
      </c>
      <c r="L2985" s="638">
        <v>8</v>
      </c>
      <c r="M2985" s="712">
        <v>8000</v>
      </c>
      <c r="N2985" s="638">
        <v>1</v>
      </c>
      <c r="O2985" s="626">
        <v>6</v>
      </c>
      <c r="P2985" s="712">
        <f t="shared" si="28"/>
        <v>6000</v>
      </c>
    </row>
    <row r="2986" spans="1:16" s="619" customFormat="1" ht="36" x14ac:dyDescent="0.2">
      <c r="A2986" s="626" t="s">
        <v>6091</v>
      </c>
      <c r="B2986" s="626" t="s">
        <v>1908</v>
      </c>
      <c r="C2986" s="638" t="s">
        <v>104</v>
      </c>
      <c r="D2986" s="626" t="s">
        <v>6149</v>
      </c>
      <c r="E2986" s="636">
        <v>5300</v>
      </c>
      <c r="F2986" s="637" t="s">
        <v>6719</v>
      </c>
      <c r="G2986" s="626" t="s">
        <v>6720</v>
      </c>
      <c r="H2986" s="626" t="s">
        <v>6152</v>
      </c>
      <c r="I2986" s="638" t="s">
        <v>6095</v>
      </c>
      <c r="J2986" s="625" t="s">
        <v>6096</v>
      </c>
      <c r="K2986" s="626">
        <v>1</v>
      </c>
      <c r="L2986" s="638">
        <v>2</v>
      </c>
      <c r="M2986" s="712">
        <v>10600</v>
      </c>
      <c r="N2986" s="638"/>
      <c r="O2986" s="626"/>
      <c r="P2986" s="712">
        <f t="shared" si="28"/>
        <v>0</v>
      </c>
    </row>
    <row r="2987" spans="1:16" s="619" customFormat="1" ht="48" x14ac:dyDescent="0.2">
      <c r="A2987" s="626" t="s">
        <v>6091</v>
      </c>
      <c r="B2987" s="626" t="s">
        <v>1908</v>
      </c>
      <c r="C2987" s="638" t="s">
        <v>104</v>
      </c>
      <c r="D2987" s="626" t="s">
        <v>6179</v>
      </c>
      <c r="E2987" s="636">
        <v>8000</v>
      </c>
      <c r="F2987" s="637" t="s">
        <v>6721</v>
      </c>
      <c r="G2987" s="626" t="s">
        <v>6722</v>
      </c>
      <c r="H2987" s="626" t="s">
        <v>6182</v>
      </c>
      <c r="I2987" s="638" t="s">
        <v>6095</v>
      </c>
      <c r="J2987" s="625" t="s">
        <v>6096</v>
      </c>
      <c r="K2987" s="626">
        <v>1</v>
      </c>
      <c r="L2987" s="638">
        <v>2</v>
      </c>
      <c r="M2987" s="712">
        <v>16000</v>
      </c>
      <c r="N2987" s="638"/>
      <c r="O2987" s="626"/>
      <c r="P2987" s="712">
        <f t="shared" si="28"/>
        <v>0</v>
      </c>
    </row>
    <row r="2988" spans="1:16" s="619" customFormat="1" ht="36" x14ac:dyDescent="0.2">
      <c r="A2988" s="626" t="s">
        <v>6091</v>
      </c>
      <c r="B2988" s="626" t="s">
        <v>1908</v>
      </c>
      <c r="C2988" s="638" t="s">
        <v>104</v>
      </c>
      <c r="D2988" s="626" t="s">
        <v>6158</v>
      </c>
      <c r="E2988" s="636">
        <v>1544</v>
      </c>
      <c r="F2988" s="637" t="s">
        <v>6723</v>
      </c>
      <c r="G2988" s="626" t="s">
        <v>6724</v>
      </c>
      <c r="H2988" s="626"/>
      <c r="I2988" s="638" t="s">
        <v>1919</v>
      </c>
      <c r="J2988" s="625" t="s">
        <v>6128</v>
      </c>
      <c r="K2988" s="626">
        <v>1</v>
      </c>
      <c r="L2988" s="638">
        <v>3</v>
      </c>
      <c r="M2988" s="712">
        <v>4632</v>
      </c>
      <c r="N2988" s="638">
        <v>1</v>
      </c>
      <c r="O2988" s="626">
        <v>6</v>
      </c>
      <c r="P2988" s="712">
        <f t="shared" si="28"/>
        <v>9264</v>
      </c>
    </row>
    <row r="2989" spans="1:16" s="619" customFormat="1" ht="48" x14ac:dyDescent="0.2">
      <c r="A2989" s="626" t="s">
        <v>6091</v>
      </c>
      <c r="B2989" s="626" t="s">
        <v>1908</v>
      </c>
      <c r="C2989" s="638" t="s">
        <v>104</v>
      </c>
      <c r="D2989" s="626" t="s">
        <v>6179</v>
      </c>
      <c r="E2989" s="636">
        <v>8000</v>
      </c>
      <c r="F2989" s="637" t="s">
        <v>6725</v>
      </c>
      <c r="G2989" s="626" t="s">
        <v>6726</v>
      </c>
      <c r="H2989" s="626" t="s">
        <v>6182</v>
      </c>
      <c r="I2989" s="638" t="s">
        <v>6095</v>
      </c>
      <c r="J2989" s="625" t="s">
        <v>6096</v>
      </c>
      <c r="K2989" s="626">
        <v>1</v>
      </c>
      <c r="L2989" s="638">
        <v>2</v>
      </c>
      <c r="M2989" s="712">
        <v>16000</v>
      </c>
      <c r="N2989" s="638"/>
      <c r="O2989" s="626"/>
      <c r="P2989" s="712">
        <f t="shared" si="28"/>
        <v>0</v>
      </c>
    </row>
    <row r="2990" spans="1:16" s="619" customFormat="1" ht="24" x14ac:dyDescent="0.2">
      <c r="A2990" s="626" t="s">
        <v>6091</v>
      </c>
      <c r="B2990" s="626" t="s">
        <v>1908</v>
      </c>
      <c r="C2990" s="638" t="s">
        <v>104</v>
      </c>
      <c r="D2990" s="626" t="s">
        <v>4503</v>
      </c>
      <c r="E2990" s="636">
        <v>6000</v>
      </c>
      <c r="F2990" s="637" t="s">
        <v>6727</v>
      </c>
      <c r="G2990" s="626" t="s">
        <v>6728</v>
      </c>
      <c r="H2990" s="626" t="s">
        <v>1965</v>
      </c>
      <c r="I2990" s="638" t="s">
        <v>6095</v>
      </c>
      <c r="J2990" s="625" t="s">
        <v>6096</v>
      </c>
      <c r="K2990" s="626">
        <v>1</v>
      </c>
      <c r="L2990" s="638">
        <v>1</v>
      </c>
      <c r="M2990" s="712">
        <v>6000</v>
      </c>
      <c r="N2990" s="638"/>
      <c r="O2990" s="626"/>
      <c r="P2990" s="712">
        <f t="shared" si="28"/>
        <v>0</v>
      </c>
    </row>
    <row r="2991" spans="1:16" s="619" customFormat="1" ht="24" x14ac:dyDescent="0.2">
      <c r="A2991" s="626" t="s">
        <v>6091</v>
      </c>
      <c r="B2991" s="626" t="s">
        <v>1908</v>
      </c>
      <c r="C2991" s="638" t="s">
        <v>104</v>
      </c>
      <c r="D2991" s="626" t="s">
        <v>6702</v>
      </c>
      <c r="E2991" s="636">
        <v>2500</v>
      </c>
      <c r="F2991" s="637" t="s">
        <v>6729</v>
      </c>
      <c r="G2991" s="626" t="s">
        <v>2792</v>
      </c>
      <c r="H2991" s="626" t="s">
        <v>1965</v>
      </c>
      <c r="I2991" s="638" t="s">
        <v>6095</v>
      </c>
      <c r="J2991" s="625" t="s">
        <v>6096</v>
      </c>
      <c r="K2991" s="626">
        <v>1</v>
      </c>
      <c r="L2991" s="638">
        <v>2</v>
      </c>
      <c r="M2991" s="712">
        <v>5000</v>
      </c>
      <c r="N2991" s="638"/>
      <c r="O2991" s="626"/>
      <c r="P2991" s="712">
        <f t="shared" si="28"/>
        <v>0</v>
      </c>
    </row>
    <row r="2992" spans="1:16" s="619" customFormat="1" ht="36" x14ac:dyDescent="0.2">
      <c r="A2992" s="626" t="s">
        <v>6091</v>
      </c>
      <c r="B2992" s="626" t="s">
        <v>1908</v>
      </c>
      <c r="C2992" s="638" t="s">
        <v>104</v>
      </c>
      <c r="D2992" s="626" t="s">
        <v>6418</v>
      </c>
      <c r="E2992" s="636">
        <v>2100</v>
      </c>
      <c r="F2992" s="637" t="s">
        <v>6730</v>
      </c>
      <c r="G2992" s="626" t="s">
        <v>2115</v>
      </c>
      <c r="H2992" s="626" t="s">
        <v>1911</v>
      </c>
      <c r="I2992" s="638" t="s">
        <v>6095</v>
      </c>
      <c r="J2992" s="625" t="s">
        <v>6096</v>
      </c>
      <c r="K2992" s="626">
        <v>1</v>
      </c>
      <c r="L2992" s="638">
        <v>3</v>
      </c>
      <c r="M2992" s="712">
        <v>6300</v>
      </c>
      <c r="N2992" s="638"/>
      <c r="O2992" s="626"/>
      <c r="P2992" s="712">
        <f t="shared" si="28"/>
        <v>0</v>
      </c>
    </row>
    <row r="2993" spans="1:16" s="619" customFormat="1" ht="36" x14ac:dyDescent="0.2">
      <c r="A2993" s="626" t="s">
        <v>6091</v>
      </c>
      <c r="B2993" s="626" t="s">
        <v>1908</v>
      </c>
      <c r="C2993" s="638" t="s">
        <v>104</v>
      </c>
      <c r="D2993" s="626" t="s">
        <v>3545</v>
      </c>
      <c r="E2993" s="636">
        <v>1200</v>
      </c>
      <c r="F2993" s="637" t="s">
        <v>6731</v>
      </c>
      <c r="G2993" s="626" t="s">
        <v>6732</v>
      </c>
      <c r="H2993" s="626" t="s">
        <v>3545</v>
      </c>
      <c r="I2993" s="638" t="s">
        <v>6099</v>
      </c>
      <c r="J2993" s="625" t="s">
        <v>6100</v>
      </c>
      <c r="K2993" s="626">
        <v>1</v>
      </c>
      <c r="L2993" s="638">
        <v>7</v>
      </c>
      <c r="M2993" s="712">
        <v>8400</v>
      </c>
      <c r="N2993" s="638">
        <v>1</v>
      </c>
      <c r="O2993" s="626">
        <v>6</v>
      </c>
      <c r="P2993" s="712">
        <f t="shared" si="28"/>
        <v>7200</v>
      </c>
    </row>
    <row r="2994" spans="1:16" s="619" customFormat="1" ht="24" x14ac:dyDescent="0.2">
      <c r="A2994" s="626" t="s">
        <v>6091</v>
      </c>
      <c r="B2994" s="626" t="s">
        <v>1908</v>
      </c>
      <c r="C2994" s="638" t="s">
        <v>104</v>
      </c>
      <c r="D2994" s="626" t="s">
        <v>3529</v>
      </c>
      <c r="E2994" s="636">
        <v>1800</v>
      </c>
      <c r="F2994" s="637" t="s">
        <v>6733</v>
      </c>
      <c r="G2994" s="626" t="s">
        <v>2608</v>
      </c>
      <c r="H2994" s="626" t="s">
        <v>4337</v>
      </c>
      <c r="I2994" s="638" t="s">
        <v>6095</v>
      </c>
      <c r="J2994" s="625" t="s">
        <v>6096</v>
      </c>
      <c r="K2994" s="626">
        <v>1</v>
      </c>
      <c r="L2994" s="638">
        <v>7</v>
      </c>
      <c r="M2994" s="712">
        <v>12600</v>
      </c>
      <c r="N2994" s="638">
        <v>1</v>
      </c>
      <c r="O2994" s="626">
        <v>1</v>
      </c>
      <c r="P2994" s="712">
        <f t="shared" si="28"/>
        <v>1800</v>
      </c>
    </row>
    <row r="2995" spans="1:16" s="619" customFormat="1" ht="36" x14ac:dyDescent="0.2">
      <c r="A2995" s="626" t="s">
        <v>6091</v>
      </c>
      <c r="B2995" s="626" t="s">
        <v>1908</v>
      </c>
      <c r="C2995" s="638" t="s">
        <v>104</v>
      </c>
      <c r="D2995" s="626" t="s">
        <v>6092</v>
      </c>
      <c r="E2995" s="636">
        <v>2000</v>
      </c>
      <c r="F2995" s="637" t="s">
        <v>6734</v>
      </c>
      <c r="G2995" s="626" t="s">
        <v>6735</v>
      </c>
      <c r="H2995" s="626" t="s">
        <v>6092</v>
      </c>
      <c r="I2995" s="638" t="s">
        <v>6095</v>
      </c>
      <c r="J2995" s="625" t="s">
        <v>6096</v>
      </c>
      <c r="K2995" s="626">
        <v>1</v>
      </c>
      <c r="L2995" s="638">
        <v>7</v>
      </c>
      <c r="M2995" s="712">
        <v>14000</v>
      </c>
      <c r="N2995" s="638">
        <v>1</v>
      </c>
      <c r="O2995" s="626">
        <v>4</v>
      </c>
      <c r="P2995" s="712">
        <f t="shared" si="28"/>
        <v>8000</v>
      </c>
    </row>
    <row r="2996" spans="1:16" s="619" customFormat="1" ht="36" x14ac:dyDescent="0.2">
      <c r="A2996" s="626" t="s">
        <v>6091</v>
      </c>
      <c r="B2996" s="626" t="s">
        <v>1908</v>
      </c>
      <c r="C2996" s="638" t="s">
        <v>104</v>
      </c>
      <c r="D2996" s="626" t="s">
        <v>6092</v>
      </c>
      <c r="E2996" s="636">
        <v>2000</v>
      </c>
      <c r="F2996" s="637" t="s">
        <v>6736</v>
      </c>
      <c r="G2996" s="626" t="s">
        <v>6737</v>
      </c>
      <c r="H2996" s="626" t="s">
        <v>6092</v>
      </c>
      <c r="I2996" s="638" t="s">
        <v>6095</v>
      </c>
      <c r="J2996" s="625" t="s">
        <v>6096</v>
      </c>
      <c r="K2996" s="626">
        <v>1</v>
      </c>
      <c r="L2996" s="638">
        <v>7</v>
      </c>
      <c r="M2996" s="712">
        <v>14000</v>
      </c>
      <c r="N2996" s="638"/>
      <c r="O2996" s="626"/>
      <c r="P2996" s="712">
        <f t="shared" si="28"/>
        <v>0</v>
      </c>
    </row>
    <row r="2997" spans="1:16" s="619" customFormat="1" ht="24" x14ac:dyDescent="0.2">
      <c r="A2997" s="626" t="s">
        <v>6091</v>
      </c>
      <c r="B2997" s="626" t="s">
        <v>1908</v>
      </c>
      <c r="C2997" s="638" t="s">
        <v>104</v>
      </c>
      <c r="D2997" s="626" t="s">
        <v>6738</v>
      </c>
      <c r="E2997" s="636">
        <v>8000</v>
      </c>
      <c r="F2997" s="637" t="s">
        <v>6739</v>
      </c>
      <c r="G2997" s="626" t="s">
        <v>6740</v>
      </c>
      <c r="H2997" s="626" t="s">
        <v>6182</v>
      </c>
      <c r="I2997" s="638" t="s">
        <v>6095</v>
      </c>
      <c r="J2997" s="625" t="s">
        <v>6096</v>
      </c>
      <c r="K2997" s="626">
        <v>1</v>
      </c>
      <c r="L2997" s="638">
        <v>7</v>
      </c>
      <c r="M2997" s="712">
        <v>56000</v>
      </c>
      <c r="N2997" s="638"/>
      <c r="O2997" s="626"/>
      <c r="P2997" s="712">
        <f t="shared" si="28"/>
        <v>0</v>
      </c>
    </row>
    <row r="2998" spans="1:16" s="619" customFormat="1" ht="36" x14ac:dyDescent="0.2">
      <c r="A2998" s="626" t="s">
        <v>6091</v>
      </c>
      <c r="B2998" s="626" t="s">
        <v>1908</v>
      </c>
      <c r="C2998" s="638" t="s">
        <v>104</v>
      </c>
      <c r="D2998" s="626" t="s">
        <v>2660</v>
      </c>
      <c r="E2998" s="636">
        <v>1200</v>
      </c>
      <c r="F2998" s="637" t="s">
        <v>6741</v>
      </c>
      <c r="G2998" s="626" t="s">
        <v>6742</v>
      </c>
      <c r="H2998" s="626" t="s">
        <v>2660</v>
      </c>
      <c r="I2998" s="638" t="s">
        <v>6099</v>
      </c>
      <c r="J2998" s="625" t="s">
        <v>6100</v>
      </c>
      <c r="K2998" s="626">
        <v>1</v>
      </c>
      <c r="L2998" s="638">
        <v>7</v>
      </c>
      <c r="M2998" s="712">
        <v>8400</v>
      </c>
      <c r="N2998" s="638">
        <v>1</v>
      </c>
      <c r="O2998" s="626">
        <v>6</v>
      </c>
      <c r="P2998" s="712">
        <f t="shared" si="28"/>
        <v>7200</v>
      </c>
    </row>
    <row r="2999" spans="1:16" s="619" customFormat="1" ht="36" x14ac:dyDescent="0.2">
      <c r="A2999" s="626" t="s">
        <v>6091</v>
      </c>
      <c r="B2999" s="626" t="s">
        <v>1908</v>
      </c>
      <c r="C2999" s="638" t="s">
        <v>104</v>
      </c>
      <c r="D2999" s="626" t="s">
        <v>2660</v>
      </c>
      <c r="E2999" s="636">
        <v>1200</v>
      </c>
      <c r="F2999" s="637" t="s">
        <v>6743</v>
      </c>
      <c r="G2999" s="626" t="s">
        <v>6744</v>
      </c>
      <c r="H2999" s="626" t="s">
        <v>2660</v>
      </c>
      <c r="I2999" s="638" t="s">
        <v>6099</v>
      </c>
      <c r="J2999" s="625" t="s">
        <v>6100</v>
      </c>
      <c r="K2999" s="626">
        <v>1</v>
      </c>
      <c r="L2999" s="638">
        <v>7</v>
      </c>
      <c r="M2999" s="712">
        <v>8400</v>
      </c>
      <c r="N2999" s="638">
        <v>1</v>
      </c>
      <c r="O2999" s="626">
        <v>6</v>
      </c>
      <c r="P2999" s="712">
        <f t="shared" si="28"/>
        <v>7200</v>
      </c>
    </row>
    <row r="3000" spans="1:16" s="619" customFormat="1" ht="24" x14ac:dyDescent="0.2">
      <c r="A3000" s="626" t="s">
        <v>6091</v>
      </c>
      <c r="B3000" s="626" t="s">
        <v>1908</v>
      </c>
      <c r="C3000" s="638" t="s">
        <v>104</v>
      </c>
      <c r="D3000" s="626" t="s">
        <v>6198</v>
      </c>
      <c r="E3000" s="636">
        <v>2000</v>
      </c>
      <c r="F3000" s="637" t="s">
        <v>6745</v>
      </c>
      <c r="G3000" s="626" t="s">
        <v>6746</v>
      </c>
      <c r="H3000" s="626" t="s">
        <v>6198</v>
      </c>
      <c r="I3000" s="638" t="s">
        <v>6095</v>
      </c>
      <c r="J3000" s="625" t="s">
        <v>6096</v>
      </c>
      <c r="K3000" s="626">
        <v>1</v>
      </c>
      <c r="L3000" s="638">
        <v>7</v>
      </c>
      <c r="M3000" s="712">
        <v>14000</v>
      </c>
      <c r="N3000" s="638">
        <v>1</v>
      </c>
      <c r="O3000" s="626">
        <v>6</v>
      </c>
      <c r="P3000" s="712">
        <f t="shared" si="28"/>
        <v>12000</v>
      </c>
    </row>
    <row r="3001" spans="1:16" s="619" customFormat="1" ht="24" x14ac:dyDescent="0.2">
      <c r="A3001" s="626" t="s">
        <v>6091</v>
      </c>
      <c r="B3001" s="626" t="s">
        <v>1908</v>
      </c>
      <c r="C3001" s="638" t="s">
        <v>104</v>
      </c>
      <c r="D3001" s="626" t="s">
        <v>6092</v>
      </c>
      <c r="E3001" s="636">
        <v>5000</v>
      </c>
      <c r="F3001" s="637" t="s">
        <v>6747</v>
      </c>
      <c r="G3001" s="626" t="s">
        <v>6748</v>
      </c>
      <c r="H3001" s="626" t="s">
        <v>6092</v>
      </c>
      <c r="I3001" s="638" t="s">
        <v>6095</v>
      </c>
      <c r="J3001" s="625" t="s">
        <v>6096</v>
      </c>
      <c r="K3001" s="626">
        <v>1</v>
      </c>
      <c r="L3001" s="638">
        <v>1</v>
      </c>
      <c r="M3001" s="712">
        <v>5000</v>
      </c>
      <c r="N3001" s="638"/>
      <c r="O3001" s="626"/>
      <c r="P3001" s="712">
        <f t="shared" si="28"/>
        <v>0</v>
      </c>
    </row>
    <row r="3002" spans="1:16" s="619" customFormat="1" ht="48" x14ac:dyDescent="0.2">
      <c r="A3002" s="626" t="s">
        <v>6091</v>
      </c>
      <c r="B3002" s="626" t="s">
        <v>1908</v>
      </c>
      <c r="C3002" s="638" t="s">
        <v>104</v>
      </c>
      <c r="D3002" s="626" t="s">
        <v>1965</v>
      </c>
      <c r="E3002" s="636">
        <v>2500</v>
      </c>
      <c r="F3002" s="637" t="s">
        <v>6749</v>
      </c>
      <c r="G3002" s="626" t="s">
        <v>2292</v>
      </c>
      <c r="H3002" s="626" t="s">
        <v>1965</v>
      </c>
      <c r="I3002" s="638" t="s">
        <v>6095</v>
      </c>
      <c r="J3002" s="625" t="s">
        <v>6096</v>
      </c>
      <c r="K3002" s="626">
        <v>1</v>
      </c>
      <c r="L3002" s="638">
        <v>7</v>
      </c>
      <c r="M3002" s="712">
        <v>17500</v>
      </c>
      <c r="N3002" s="638"/>
      <c r="O3002" s="626"/>
      <c r="P3002" s="712">
        <f t="shared" si="28"/>
        <v>0</v>
      </c>
    </row>
    <row r="3003" spans="1:16" s="619" customFormat="1" ht="48" x14ac:dyDescent="0.2">
      <c r="A3003" s="626" t="s">
        <v>6091</v>
      </c>
      <c r="B3003" s="626" t="s">
        <v>1908</v>
      </c>
      <c r="C3003" s="638" t="s">
        <v>104</v>
      </c>
      <c r="D3003" s="626" t="s">
        <v>1925</v>
      </c>
      <c r="E3003" s="636">
        <v>3000</v>
      </c>
      <c r="F3003" s="637" t="s">
        <v>6750</v>
      </c>
      <c r="G3003" s="626" t="s">
        <v>6751</v>
      </c>
      <c r="H3003" s="626" t="s">
        <v>1925</v>
      </c>
      <c r="I3003" s="638" t="s">
        <v>6095</v>
      </c>
      <c r="J3003" s="625" t="s">
        <v>6096</v>
      </c>
      <c r="K3003" s="626">
        <v>1</v>
      </c>
      <c r="L3003" s="638">
        <v>3</v>
      </c>
      <c r="M3003" s="712">
        <v>9000</v>
      </c>
      <c r="N3003" s="638"/>
      <c r="O3003" s="626"/>
      <c r="P3003" s="712">
        <f t="shared" si="28"/>
        <v>0</v>
      </c>
    </row>
    <row r="3004" spans="1:16" s="619" customFormat="1" ht="48" x14ac:dyDescent="0.2">
      <c r="A3004" s="626" t="s">
        <v>6091</v>
      </c>
      <c r="B3004" s="626" t="s">
        <v>1908</v>
      </c>
      <c r="C3004" s="638" t="s">
        <v>104</v>
      </c>
      <c r="D3004" s="626" t="s">
        <v>1965</v>
      </c>
      <c r="E3004" s="636">
        <v>2100</v>
      </c>
      <c r="F3004" s="637" t="s">
        <v>6752</v>
      </c>
      <c r="G3004" s="626" t="s">
        <v>6753</v>
      </c>
      <c r="H3004" s="626" t="s">
        <v>1965</v>
      </c>
      <c r="I3004" s="638" t="s">
        <v>6095</v>
      </c>
      <c r="J3004" s="625" t="s">
        <v>6096</v>
      </c>
      <c r="K3004" s="626">
        <v>1</v>
      </c>
      <c r="L3004" s="638">
        <v>6</v>
      </c>
      <c r="M3004" s="712">
        <v>12600</v>
      </c>
      <c r="N3004" s="638">
        <v>1</v>
      </c>
      <c r="O3004" s="626">
        <v>1</v>
      </c>
      <c r="P3004" s="712">
        <f t="shared" si="28"/>
        <v>2100</v>
      </c>
    </row>
    <row r="3005" spans="1:16" s="619" customFormat="1" ht="36" x14ac:dyDescent="0.2">
      <c r="A3005" s="626" t="s">
        <v>6091</v>
      </c>
      <c r="B3005" s="626" t="s">
        <v>1908</v>
      </c>
      <c r="C3005" s="638" t="s">
        <v>104</v>
      </c>
      <c r="D3005" s="626" t="s">
        <v>6754</v>
      </c>
      <c r="E3005" s="636">
        <v>3800</v>
      </c>
      <c r="F3005" s="637" t="s">
        <v>6755</v>
      </c>
      <c r="G3005" s="626" t="s">
        <v>6756</v>
      </c>
      <c r="H3005" s="626" t="s">
        <v>6548</v>
      </c>
      <c r="I3005" s="638" t="s">
        <v>6095</v>
      </c>
      <c r="J3005" s="625" t="s">
        <v>6096</v>
      </c>
      <c r="K3005" s="626">
        <v>1</v>
      </c>
      <c r="L3005" s="638">
        <v>6</v>
      </c>
      <c r="M3005" s="712">
        <v>22800</v>
      </c>
      <c r="N3005" s="638">
        <v>1</v>
      </c>
      <c r="O3005" s="626">
        <v>6</v>
      </c>
      <c r="P3005" s="712">
        <f t="shared" si="28"/>
        <v>22800</v>
      </c>
    </row>
    <row r="3006" spans="1:16" s="619" customFormat="1" ht="24" x14ac:dyDescent="0.2">
      <c r="A3006" s="626" t="s">
        <v>6091</v>
      </c>
      <c r="B3006" s="626" t="s">
        <v>1908</v>
      </c>
      <c r="C3006" s="638" t="s">
        <v>104</v>
      </c>
      <c r="D3006" s="626" t="s">
        <v>6708</v>
      </c>
      <c r="E3006" s="636">
        <v>10000</v>
      </c>
      <c r="F3006" s="637" t="s">
        <v>6757</v>
      </c>
      <c r="G3006" s="626" t="s">
        <v>6758</v>
      </c>
      <c r="H3006" s="626" t="s">
        <v>6182</v>
      </c>
      <c r="I3006" s="638" t="s">
        <v>6095</v>
      </c>
      <c r="J3006" s="625" t="s">
        <v>6096</v>
      </c>
      <c r="K3006" s="626">
        <v>1</v>
      </c>
      <c r="L3006" s="638">
        <v>6</v>
      </c>
      <c r="M3006" s="712">
        <v>60000</v>
      </c>
      <c r="N3006" s="638">
        <v>1</v>
      </c>
      <c r="O3006" s="626">
        <v>6</v>
      </c>
      <c r="P3006" s="712">
        <f t="shared" si="28"/>
        <v>60000</v>
      </c>
    </row>
    <row r="3007" spans="1:16" s="619" customFormat="1" ht="48" x14ac:dyDescent="0.2">
      <c r="A3007" s="626" t="s">
        <v>6091</v>
      </c>
      <c r="B3007" s="626" t="s">
        <v>1908</v>
      </c>
      <c r="C3007" s="638" t="s">
        <v>104</v>
      </c>
      <c r="D3007" s="626" t="s">
        <v>4503</v>
      </c>
      <c r="E3007" s="636">
        <v>6000</v>
      </c>
      <c r="F3007" s="637" t="s">
        <v>6759</v>
      </c>
      <c r="G3007" s="626" t="s">
        <v>6760</v>
      </c>
      <c r="H3007" s="626" t="s">
        <v>1965</v>
      </c>
      <c r="I3007" s="638" t="s">
        <v>6095</v>
      </c>
      <c r="J3007" s="625" t="s">
        <v>6096</v>
      </c>
      <c r="K3007" s="626">
        <v>1</v>
      </c>
      <c r="L3007" s="638">
        <v>6</v>
      </c>
      <c r="M3007" s="712">
        <v>36000</v>
      </c>
      <c r="N3007" s="638">
        <v>1</v>
      </c>
      <c r="O3007" s="626">
        <v>5</v>
      </c>
      <c r="P3007" s="712">
        <f t="shared" si="28"/>
        <v>30000</v>
      </c>
    </row>
    <row r="3008" spans="1:16" s="619" customFormat="1" ht="24" x14ac:dyDescent="0.2">
      <c r="A3008" s="626" t="s">
        <v>6091</v>
      </c>
      <c r="B3008" s="626" t="s">
        <v>1908</v>
      </c>
      <c r="C3008" s="638" t="s">
        <v>104</v>
      </c>
      <c r="D3008" s="626" t="s">
        <v>6092</v>
      </c>
      <c r="E3008" s="636">
        <v>2000</v>
      </c>
      <c r="F3008" s="637" t="s">
        <v>6761</v>
      </c>
      <c r="G3008" s="626" t="s">
        <v>6762</v>
      </c>
      <c r="H3008" s="626" t="s">
        <v>6092</v>
      </c>
      <c r="I3008" s="638" t="s">
        <v>6095</v>
      </c>
      <c r="J3008" s="625" t="s">
        <v>6096</v>
      </c>
      <c r="K3008" s="626">
        <v>1</v>
      </c>
      <c r="L3008" s="638">
        <v>6</v>
      </c>
      <c r="M3008" s="712">
        <v>12000</v>
      </c>
      <c r="N3008" s="638">
        <v>1</v>
      </c>
      <c r="O3008" s="626">
        <v>6</v>
      </c>
      <c r="P3008" s="712">
        <f t="shared" si="28"/>
        <v>12000</v>
      </c>
    </row>
    <row r="3009" spans="1:16" s="619" customFormat="1" ht="36" x14ac:dyDescent="0.2">
      <c r="A3009" s="626" t="s">
        <v>6091</v>
      </c>
      <c r="B3009" s="626" t="s">
        <v>1908</v>
      </c>
      <c r="C3009" s="638" t="s">
        <v>104</v>
      </c>
      <c r="D3009" s="626" t="s">
        <v>3545</v>
      </c>
      <c r="E3009" s="636">
        <v>1200</v>
      </c>
      <c r="F3009" s="637" t="s">
        <v>6763</v>
      </c>
      <c r="G3009" s="626" t="s">
        <v>6764</v>
      </c>
      <c r="H3009" s="626" t="s">
        <v>4589</v>
      </c>
      <c r="I3009" s="638" t="s">
        <v>6099</v>
      </c>
      <c r="J3009" s="625" t="s">
        <v>6100</v>
      </c>
      <c r="K3009" s="626">
        <v>1</v>
      </c>
      <c r="L3009" s="638">
        <v>6</v>
      </c>
      <c r="M3009" s="712">
        <v>7200</v>
      </c>
      <c r="N3009" s="638">
        <v>1</v>
      </c>
      <c r="O3009" s="626">
        <v>6</v>
      </c>
      <c r="P3009" s="712">
        <f t="shared" si="28"/>
        <v>7200</v>
      </c>
    </row>
    <row r="3010" spans="1:16" s="619" customFormat="1" ht="36" x14ac:dyDescent="0.2">
      <c r="A3010" s="626" t="s">
        <v>6091</v>
      </c>
      <c r="B3010" s="626" t="s">
        <v>1908</v>
      </c>
      <c r="C3010" s="638" t="s">
        <v>104</v>
      </c>
      <c r="D3010" s="626" t="s">
        <v>6179</v>
      </c>
      <c r="E3010" s="636">
        <v>3300</v>
      </c>
      <c r="F3010" s="637" t="s">
        <v>6765</v>
      </c>
      <c r="G3010" s="626" t="s">
        <v>6766</v>
      </c>
      <c r="H3010" s="626" t="s">
        <v>6182</v>
      </c>
      <c r="I3010" s="638" t="s">
        <v>6095</v>
      </c>
      <c r="J3010" s="625" t="s">
        <v>6096</v>
      </c>
      <c r="K3010" s="626">
        <v>1</v>
      </c>
      <c r="L3010" s="638">
        <v>6</v>
      </c>
      <c r="M3010" s="712">
        <v>19800</v>
      </c>
      <c r="N3010" s="638">
        <v>1</v>
      </c>
      <c r="O3010" s="626">
        <v>1</v>
      </c>
      <c r="P3010" s="712">
        <f t="shared" si="28"/>
        <v>3300</v>
      </c>
    </row>
    <row r="3011" spans="1:16" s="619" customFormat="1" ht="24" x14ac:dyDescent="0.2">
      <c r="A3011" s="626" t="s">
        <v>6091</v>
      </c>
      <c r="B3011" s="626" t="s">
        <v>1908</v>
      </c>
      <c r="C3011" s="638" t="s">
        <v>104</v>
      </c>
      <c r="D3011" s="626" t="s">
        <v>6092</v>
      </c>
      <c r="E3011" s="636">
        <v>2300</v>
      </c>
      <c r="F3011" s="637" t="s">
        <v>6767</v>
      </c>
      <c r="G3011" s="626" t="s">
        <v>6768</v>
      </c>
      <c r="H3011" s="626" t="s">
        <v>6092</v>
      </c>
      <c r="I3011" s="638" t="s">
        <v>6095</v>
      </c>
      <c r="J3011" s="625" t="s">
        <v>6096</v>
      </c>
      <c r="K3011" s="626">
        <v>1</v>
      </c>
      <c r="L3011" s="638">
        <v>6</v>
      </c>
      <c r="M3011" s="712">
        <v>13800</v>
      </c>
      <c r="N3011" s="638">
        <v>1</v>
      </c>
      <c r="O3011" s="626">
        <v>3</v>
      </c>
      <c r="P3011" s="712">
        <f t="shared" si="28"/>
        <v>6900</v>
      </c>
    </row>
    <row r="3012" spans="1:16" s="619" customFormat="1" ht="36" x14ac:dyDescent="0.2">
      <c r="A3012" s="626" t="s">
        <v>6091</v>
      </c>
      <c r="B3012" s="626" t="s">
        <v>1908</v>
      </c>
      <c r="C3012" s="638" t="s">
        <v>104</v>
      </c>
      <c r="D3012" s="626" t="s">
        <v>6299</v>
      </c>
      <c r="E3012" s="636">
        <v>1200</v>
      </c>
      <c r="F3012" s="637" t="s">
        <v>6769</v>
      </c>
      <c r="G3012" s="626" t="s">
        <v>6770</v>
      </c>
      <c r="H3012" s="626" t="s">
        <v>6273</v>
      </c>
      <c r="I3012" s="638" t="s">
        <v>6099</v>
      </c>
      <c r="J3012" s="625" t="s">
        <v>6100</v>
      </c>
      <c r="K3012" s="626">
        <v>1</v>
      </c>
      <c r="L3012" s="638">
        <v>6</v>
      </c>
      <c r="M3012" s="712">
        <v>7200</v>
      </c>
      <c r="N3012" s="638">
        <v>1</v>
      </c>
      <c r="O3012" s="626">
        <v>6</v>
      </c>
      <c r="P3012" s="712">
        <f t="shared" si="28"/>
        <v>7200</v>
      </c>
    </row>
    <row r="3013" spans="1:16" s="619" customFormat="1" ht="36" x14ac:dyDescent="0.2">
      <c r="A3013" s="626" t="s">
        <v>6091</v>
      </c>
      <c r="B3013" s="626" t="s">
        <v>1908</v>
      </c>
      <c r="C3013" s="638" t="s">
        <v>104</v>
      </c>
      <c r="D3013" s="626" t="s">
        <v>6227</v>
      </c>
      <c r="E3013" s="636">
        <v>2300</v>
      </c>
      <c r="F3013" s="637" t="s">
        <v>6771</v>
      </c>
      <c r="G3013" s="626" t="s">
        <v>6772</v>
      </c>
      <c r="H3013" s="626" t="s">
        <v>5790</v>
      </c>
      <c r="I3013" s="638" t="s">
        <v>6095</v>
      </c>
      <c r="J3013" s="625" t="s">
        <v>6096</v>
      </c>
      <c r="K3013" s="626">
        <v>1</v>
      </c>
      <c r="L3013" s="638">
        <v>6</v>
      </c>
      <c r="M3013" s="712">
        <v>13800</v>
      </c>
      <c r="N3013" s="638">
        <v>1</v>
      </c>
      <c r="O3013" s="626">
        <v>6</v>
      </c>
      <c r="P3013" s="712">
        <f t="shared" ref="P3013:P3076" si="29">O3013*E3013</f>
        <v>13800</v>
      </c>
    </row>
    <row r="3014" spans="1:16" s="619" customFormat="1" ht="36" x14ac:dyDescent="0.2">
      <c r="A3014" s="626" t="s">
        <v>6091</v>
      </c>
      <c r="B3014" s="626" t="s">
        <v>1908</v>
      </c>
      <c r="C3014" s="638" t="s">
        <v>104</v>
      </c>
      <c r="D3014" s="626" t="s">
        <v>2660</v>
      </c>
      <c r="E3014" s="636">
        <v>1200</v>
      </c>
      <c r="F3014" s="637" t="s">
        <v>6773</v>
      </c>
      <c r="G3014" s="626" t="s">
        <v>6774</v>
      </c>
      <c r="H3014" s="626" t="s">
        <v>2660</v>
      </c>
      <c r="I3014" s="638" t="s">
        <v>6099</v>
      </c>
      <c r="J3014" s="625" t="s">
        <v>6100</v>
      </c>
      <c r="K3014" s="626">
        <v>1</v>
      </c>
      <c r="L3014" s="638">
        <v>6</v>
      </c>
      <c r="M3014" s="712">
        <v>7200</v>
      </c>
      <c r="N3014" s="638">
        <v>1</v>
      </c>
      <c r="O3014" s="626">
        <v>6</v>
      </c>
      <c r="P3014" s="712">
        <f t="shared" si="29"/>
        <v>7200</v>
      </c>
    </row>
    <row r="3015" spans="1:16" s="619" customFormat="1" ht="36" x14ac:dyDescent="0.2">
      <c r="A3015" s="626" t="s">
        <v>6091</v>
      </c>
      <c r="B3015" s="626" t="s">
        <v>1908</v>
      </c>
      <c r="C3015" s="638" t="s">
        <v>104</v>
      </c>
      <c r="D3015" s="626" t="s">
        <v>2660</v>
      </c>
      <c r="E3015" s="636">
        <v>1200</v>
      </c>
      <c r="F3015" s="637" t="s">
        <v>6775</v>
      </c>
      <c r="G3015" s="626" t="s">
        <v>6776</v>
      </c>
      <c r="H3015" s="626" t="s">
        <v>2660</v>
      </c>
      <c r="I3015" s="638" t="s">
        <v>6099</v>
      </c>
      <c r="J3015" s="625" t="s">
        <v>6100</v>
      </c>
      <c r="K3015" s="626">
        <v>1</v>
      </c>
      <c r="L3015" s="638">
        <v>6</v>
      </c>
      <c r="M3015" s="712">
        <v>7200</v>
      </c>
      <c r="N3015" s="638">
        <v>1</v>
      </c>
      <c r="O3015" s="626">
        <v>6</v>
      </c>
      <c r="P3015" s="712">
        <f t="shared" si="29"/>
        <v>7200</v>
      </c>
    </row>
    <row r="3016" spans="1:16" s="619" customFormat="1" ht="36" x14ac:dyDescent="0.2">
      <c r="A3016" s="626" t="s">
        <v>6091</v>
      </c>
      <c r="B3016" s="626" t="s">
        <v>1908</v>
      </c>
      <c r="C3016" s="638" t="s">
        <v>104</v>
      </c>
      <c r="D3016" s="626" t="s">
        <v>2660</v>
      </c>
      <c r="E3016" s="636">
        <v>1200</v>
      </c>
      <c r="F3016" s="637" t="s">
        <v>6777</v>
      </c>
      <c r="G3016" s="626" t="s">
        <v>6778</v>
      </c>
      <c r="H3016" s="626" t="s">
        <v>2660</v>
      </c>
      <c r="I3016" s="638" t="s">
        <v>6099</v>
      </c>
      <c r="J3016" s="625" t="s">
        <v>6100</v>
      </c>
      <c r="K3016" s="626">
        <v>1</v>
      </c>
      <c r="L3016" s="638">
        <v>6</v>
      </c>
      <c r="M3016" s="712">
        <v>7200</v>
      </c>
      <c r="N3016" s="638">
        <v>1</v>
      </c>
      <c r="O3016" s="626">
        <v>6</v>
      </c>
      <c r="P3016" s="712">
        <f t="shared" si="29"/>
        <v>7200</v>
      </c>
    </row>
    <row r="3017" spans="1:16" s="619" customFormat="1" ht="36" x14ac:dyDescent="0.2">
      <c r="A3017" s="626" t="s">
        <v>6091</v>
      </c>
      <c r="B3017" s="626" t="s">
        <v>1908</v>
      </c>
      <c r="C3017" s="638" t="s">
        <v>104</v>
      </c>
      <c r="D3017" s="626" t="s">
        <v>6198</v>
      </c>
      <c r="E3017" s="636">
        <v>2000</v>
      </c>
      <c r="F3017" s="637" t="s">
        <v>6779</v>
      </c>
      <c r="G3017" s="626" t="s">
        <v>6780</v>
      </c>
      <c r="H3017" s="626" t="s">
        <v>6198</v>
      </c>
      <c r="I3017" s="638" t="s">
        <v>6095</v>
      </c>
      <c r="J3017" s="625" t="s">
        <v>6096</v>
      </c>
      <c r="K3017" s="626">
        <v>1</v>
      </c>
      <c r="L3017" s="638">
        <v>6</v>
      </c>
      <c r="M3017" s="712">
        <v>12000</v>
      </c>
      <c r="N3017" s="638"/>
      <c r="O3017" s="626"/>
      <c r="P3017" s="712">
        <f t="shared" si="29"/>
        <v>0</v>
      </c>
    </row>
    <row r="3018" spans="1:16" s="619" customFormat="1" ht="36" x14ac:dyDescent="0.2">
      <c r="A3018" s="626" t="s">
        <v>6091</v>
      </c>
      <c r="B3018" s="626" t="s">
        <v>1908</v>
      </c>
      <c r="C3018" s="638" t="s">
        <v>104</v>
      </c>
      <c r="D3018" s="626" t="s">
        <v>6198</v>
      </c>
      <c r="E3018" s="636">
        <v>2300</v>
      </c>
      <c r="F3018" s="637" t="s">
        <v>6781</v>
      </c>
      <c r="G3018" s="626" t="s">
        <v>6782</v>
      </c>
      <c r="H3018" s="626" t="s">
        <v>6198</v>
      </c>
      <c r="I3018" s="638" t="s">
        <v>6095</v>
      </c>
      <c r="J3018" s="625" t="s">
        <v>6096</v>
      </c>
      <c r="K3018" s="626">
        <v>1</v>
      </c>
      <c r="L3018" s="638">
        <v>6</v>
      </c>
      <c r="M3018" s="712">
        <v>13800</v>
      </c>
      <c r="N3018" s="638"/>
      <c r="O3018" s="626"/>
      <c r="P3018" s="712">
        <f t="shared" si="29"/>
        <v>0</v>
      </c>
    </row>
    <row r="3019" spans="1:16" s="619" customFormat="1" ht="48" x14ac:dyDescent="0.2">
      <c r="A3019" s="626" t="s">
        <v>6091</v>
      </c>
      <c r="B3019" s="626" t="s">
        <v>1908</v>
      </c>
      <c r="C3019" s="638" t="s">
        <v>104</v>
      </c>
      <c r="D3019" s="626" t="s">
        <v>6114</v>
      </c>
      <c r="E3019" s="636">
        <v>1000</v>
      </c>
      <c r="F3019" s="637" t="s">
        <v>6783</v>
      </c>
      <c r="G3019" s="626" t="s">
        <v>6784</v>
      </c>
      <c r="H3019" s="626" t="s">
        <v>6123</v>
      </c>
      <c r="I3019" s="638" t="s">
        <v>6099</v>
      </c>
      <c r="J3019" s="625" t="s">
        <v>6100</v>
      </c>
      <c r="K3019" s="626">
        <v>1</v>
      </c>
      <c r="L3019" s="638">
        <v>6</v>
      </c>
      <c r="M3019" s="712">
        <v>6000</v>
      </c>
      <c r="N3019" s="638">
        <v>1</v>
      </c>
      <c r="O3019" s="626">
        <v>6</v>
      </c>
      <c r="P3019" s="712">
        <f t="shared" si="29"/>
        <v>6000</v>
      </c>
    </row>
    <row r="3020" spans="1:16" s="619" customFormat="1" ht="24" x14ac:dyDescent="0.2">
      <c r="A3020" s="626" t="s">
        <v>6091</v>
      </c>
      <c r="B3020" s="626" t="s">
        <v>1908</v>
      </c>
      <c r="C3020" s="638" t="s">
        <v>104</v>
      </c>
      <c r="D3020" s="626" t="s">
        <v>1925</v>
      </c>
      <c r="E3020" s="636">
        <v>4000</v>
      </c>
      <c r="F3020" s="637" t="s">
        <v>6785</v>
      </c>
      <c r="G3020" s="626" t="s">
        <v>5103</v>
      </c>
      <c r="H3020" s="626" t="s">
        <v>1925</v>
      </c>
      <c r="I3020" s="638" t="s">
        <v>6095</v>
      </c>
      <c r="J3020" s="625" t="s">
        <v>6096</v>
      </c>
      <c r="K3020" s="626">
        <v>1</v>
      </c>
      <c r="L3020" s="638">
        <v>5</v>
      </c>
      <c r="M3020" s="712">
        <v>20000</v>
      </c>
      <c r="N3020" s="638">
        <v>1</v>
      </c>
      <c r="O3020" s="626">
        <v>6</v>
      </c>
      <c r="P3020" s="712">
        <f t="shared" si="29"/>
        <v>24000</v>
      </c>
    </row>
    <row r="3021" spans="1:16" s="619" customFormat="1" ht="24" x14ac:dyDescent="0.2">
      <c r="A3021" s="626" t="s">
        <v>6091</v>
      </c>
      <c r="B3021" s="626" t="s">
        <v>1908</v>
      </c>
      <c r="C3021" s="638" t="s">
        <v>104</v>
      </c>
      <c r="D3021" s="626" t="s">
        <v>3529</v>
      </c>
      <c r="E3021" s="636">
        <v>1500</v>
      </c>
      <c r="F3021" s="637" t="s">
        <v>6786</v>
      </c>
      <c r="G3021" s="626" t="s">
        <v>6787</v>
      </c>
      <c r="H3021" s="626" t="s">
        <v>4337</v>
      </c>
      <c r="I3021" s="638" t="s">
        <v>6095</v>
      </c>
      <c r="J3021" s="625" t="s">
        <v>6096</v>
      </c>
      <c r="K3021" s="626">
        <v>1</v>
      </c>
      <c r="L3021" s="638">
        <v>5</v>
      </c>
      <c r="M3021" s="712">
        <v>7500</v>
      </c>
      <c r="N3021" s="638">
        <v>1</v>
      </c>
      <c r="O3021" s="626">
        <v>1</v>
      </c>
      <c r="P3021" s="712">
        <f t="shared" si="29"/>
        <v>1500</v>
      </c>
    </row>
    <row r="3022" spans="1:16" s="619" customFormat="1" ht="24" x14ac:dyDescent="0.2">
      <c r="A3022" s="626" t="s">
        <v>6091</v>
      </c>
      <c r="B3022" s="626" t="s">
        <v>1908</v>
      </c>
      <c r="C3022" s="638" t="s">
        <v>104</v>
      </c>
      <c r="D3022" s="626" t="s">
        <v>6418</v>
      </c>
      <c r="E3022" s="636">
        <v>2000</v>
      </c>
      <c r="F3022" s="637" t="s">
        <v>6788</v>
      </c>
      <c r="G3022" s="626" t="s">
        <v>6789</v>
      </c>
      <c r="H3022" s="626" t="s">
        <v>1911</v>
      </c>
      <c r="I3022" s="638" t="s">
        <v>6095</v>
      </c>
      <c r="J3022" s="625" t="s">
        <v>6096</v>
      </c>
      <c r="K3022" s="626">
        <v>1</v>
      </c>
      <c r="L3022" s="638">
        <v>1</v>
      </c>
      <c r="M3022" s="712">
        <v>2000</v>
      </c>
      <c r="N3022" s="638"/>
      <c r="O3022" s="626"/>
      <c r="P3022" s="712">
        <f t="shared" si="29"/>
        <v>0</v>
      </c>
    </row>
    <row r="3023" spans="1:16" s="619" customFormat="1" ht="24" x14ac:dyDescent="0.2">
      <c r="A3023" s="626" t="s">
        <v>6091</v>
      </c>
      <c r="B3023" s="626" t="s">
        <v>1908</v>
      </c>
      <c r="C3023" s="638" t="s">
        <v>104</v>
      </c>
      <c r="D3023" s="626" t="s">
        <v>1965</v>
      </c>
      <c r="E3023" s="636">
        <v>2000</v>
      </c>
      <c r="F3023" s="637" t="s">
        <v>6790</v>
      </c>
      <c r="G3023" s="626" t="s">
        <v>6791</v>
      </c>
      <c r="H3023" s="626" t="s">
        <v>1965</v>
      </c>
      <c r="I3023" s="638" t="s">
        <v>6095</v>
      </c>
      <c r="J3023" s="625" t="s">
        <v>6096</v>
      </c>
      <c r="K3023" s="626">
        <v>1</v>
      </c>
      <c r="L3023" s="638">
        <v>5</v>
      </c>
      <c r="M3023" s="712">
        <v>10000</v>
      </c>
      <c r="N3023" s="638">
        <v>1</v>
      </c>
      <c r="O3023" s="626">
        <v>5</v>
      </c>
      <c r="P3023" s="712">
        <f t="shared" si="29"/>
        <v>10000</v>
      </c>
    </row>
    <row r="3024" spans="1:16" s="619" customFormat="1" ht="48" x14ac:dyDescent="0.2">
      <c r="A3024" s="626" t="s">
        <v>6091</v>
      </c>
      <c r="B3024" s="626" t="s">
        <v>1908</v>
      </c>
      <c r="C3024" s="638" t="s">
        <v>104</v>
      </c>
      <c r="D3024" s="626" t="s">
        <v>6114</v>
      </c>
      <c r="E3024" s="636">
        <v>1200</v>
      </c>
      <c r="F3024" s="637" t="s">
        <v>6792</v>
      </c>
      <c r="G3024" s="626" t="s">
        <v>6793</v>
      </c>
      <c r="H3024" s="626" t="s">
        <v>6123</v>
      </c>
      <c r="I3024" s="638" t="s">
        <v>6099</v>
      </c>
      <c r="J3024" s="625" t="s">
        <v>6100</v>
      </c>
      <c r="K3024" s="626">
        <v>1</v>
      </c>
      <c r="L3024" s="638">
        <v>5</v>
      </c>
      <c r="M3024" s="712">
        <v>6000</v>
      </c>
      <c r="N3024" s="638">
        <v>1</v>
      </c>
      <c r="O3024" s="626">
        <v>6</v>
      </c>
      <c r="P3024" s="712">
        <f t="shared" si="29"/>
        <v>7200</v>
      </c>
    </row>
    <row r="3025" spans="1:16" s="619" customFormat="1" ht="48" x14ac:dyDescent="0.2">
      <c r="A3025" s="626" t="s">
        <v>6091</v>
      </c>
      <c r="B3025" s="626" t="s">
        <v>1908</v>
      </c>
      <c r="C3025" s="638" t="s">
        <v>104</v>
      </c>
      <c r="D3025" s="626" t="s">
        <v>6114</v>
      </c>
      <c r="E3025" s="636">
        <v>1200</v>
      </c>
      <c r="F3025" s="637" t="s">
        <v>6794</v>
      </c>
      <c r="G3025" s="626" t="s">
        <v>6795</v>
      </c>
      <c r="H3025" s="626" t="s">
        <v>6123</v>
      </c>
      <c r="I3025" s="638" t="s">
        <v>6099</v>
      </c>
      <c r="J3025" s="625" t="s">
        <v>6100</v>
      </c>
      <c r="K3025" s="626">
        <v>1</v>
      </c>
      <c r="L3025" s="638">
        <v>5</v>
      </c>
      <c r="M3025" s="712">
        <v>6000</v>
      </c>
      <c r="N3025" s="638">
        <v>1</v>
      </c>
      <c r="O3025" s="626">
        <v>5</v>
      </c>
      <c r="P3025" s="712">
        <f t="shared" si="29"/>
        <v>6000</v>
      </c>
    </row>
    <row r="3026" spans="1:16" s="619" customFormat="1" ht="48" x14ac:dyDescent="0.2">
      <c r="A3026" s="626" t="s">
        <v>6091</v>
      </c>
      <c r="B3026" s="626" t="s">
        <v>1908</v>
      </c>
      <c r="C3026" s="638" t="s">
        <v>104</v>
      </c>
      <c r="D3026" s="626" t="s">
        <v>6114</v>
      </c>
      <c r="E3026" s="636">
        <v>1200</v>
      </c>
      <c r="F3026" s="637" t="s">
        <v>6796</v>
      </c>
      <c r="G3026" s="626" t="s">
        <v>6797</v>
      </c>
      <c r="H3026" s="626" t="s">
        <v>6123</v>
      </c>
      <c r="I3026" s="638" t="s">
        <v>6099</v>
      </c>
      <c r="J3026" s="625" t="s">
        <v>6100</v>
      </c>
      <c r="K3026" s="626">
        <v>1</v>
      </c>
      <c r="L3026" s="638">
        <v>5</v>
      </c>
      <c r="M3026" s="712">
        <v>6000</v>
      </c>
      <c r="N3026" s="638">
        <v>1</v>
      </c>
      <c r="O3026" s="626">
        <v>6</v>
      </c>
      <c r="P3026" s="712">
        <f t="shared" si="29"/>
        <v>7200</v>
      </c>
    </row>
    <row r="3027" spans="1:16" s="619" customFormat="1" ht="24" x14ac:dyDescent="0.2">
      <c r="A3027" s="626" t="s">
        <v>6091</v>
      </c>
      <c r="B3027" s="626" t="s">
        <v>1908</v>
      </c>
      <c r="C3027" s="638" t="s">
        <v>104</v>
      </c>
      <c r="D3027" s="626" t="s">
        <v>6092</v>
      </c>
      <c r="E3027" s="636">
        <v>2000</v>
      </c>
      <c r="F3027" s="637" t="s">
        <v>6798</v>
      </c>
      <c r="G3027" s="626" t="s">
        <v>6799</v>
      </c>
      <c r="H3027" s="626" t="s">
        <v>6092</v>
      </c>
      <c r="I3027" s="638" t="s">
        <v>6095</v>
      </c>
      <c r="J3027" s="625" t="s">
        <v>6096</v>
      </c>
      <c r="K3027" s="626">
        <v>1</v>
      </c>
      <c r="L3027" s="638">
        <v>1</v>
      </c>
      <c r="M3027" s="712">
        <v>2000</v>
      </c>
      <c r="N3027" s="638">
        <v>1</v>
      </c>
      <c r="O3027" s="626">
        <v>6</v>
      </c>
      <c r="P3027" s="712">
        <f t="shared" si="29"/>
        <v>12000</v>
      </c>
    </row>
    <row r="3028" spans="1:16" s="619" customFormat="1" ht="24" x14ac:dyDescent="0.2">
      <c r="A3028" s="626" t="s">
        <v>6091</v>
      </c>
      <c r="B3028" s="626" t="s">
        <v>1908</v>
      </c>
      <c r="C3028" s="638" t="s">
        <v>104</v>
      </c>
      <c r="D3028" s="626" t="s">
        <v>6418</v>
      </c>
      <c r="E3028" s="636">
        <v>2500</v>
      </c>
      <c r="F3028" s="637" t="s">
        <v>6800</v>
      </c>
      <c r="G3028" s="626" t="s">
        <v>6801</v>
      </c>
      <c r="H3028" s="626" t="s">
        <v>1911</v>
      </c>
      <c r="I3028" s="638" t="s">
        <v>6095</v>
      </c>
      <c r="J3028" s="625" t="s">
        <v>6096</v>
      </c>
      <c r="K3028" s="626">
        <v>1</v>
      </c>
      <c r="L3028" s="638">
        <v>4</v>
      </c>
      <c r="M3028" s="712">
        <v>10000</v>
      </c>
      <c r="N3028" s="638">
        <v>1</v>
      </c>
      <c r="O3028" s="626">
        <v>6</v>
      </c>
      <c r="P3028" s="712">
        <f t="shared" si="29"/>
        <v>15000</v>
      </c>
    </row>
    <row r="3029" spans="1:16" s="619" customFormat="1" ht="36" x14ac:dyDescent="0.2">
      <c r="A3029" s="626" t="s">
        <v>6091</v>
      </c>
      <c r="B3029" s="626" t="s">
        <v>1908</v>
      </c>
      <c r="C3029" s="638" t="s">
        <v>104</v>
      </c>
      <c r="D3029" s="626" t="s">
        <v>6158</v>
      </c>
      <c r="E3029" s="636">
        <v>930</v>
      </c>
      <c r="F3029" s="637" t="s">
        <v>6802</v>
      </c>
      <c r="G3029" s="626" t="s">
        <v>6803</v>
      </c>
      <c r="H3029" s="626" t="s">
        <v>2558</v>
      </c>
      <c r="I3029" s="638" t="s">
        <v>6099</v>
      </c>
      <c r="J3029" s="625" t="s">
        <v>6100</v>
      </c>
      <c r="K3029" s="626">
        <v>1</v>
      </c>
      <c r="L3029" s="638">
        <v>4</v>
      </c>
      <c r="M3029" s="712">
        <v>3720</v>
      </c>
      <c r="N3029" s="638">
        <v>1</v>
      </c>
      <c r="O3029" s="626">
        <v>6</v>
      </c>
      <c r="P3029" s="712">
        <f t="shared" si="29"/>
        <v>5580</v>
      </c>
    </row>
    <row r="3030" spans="1:16" s="619" customFormat="1" ht="36" x14ac:dyDescent="0.2">
      <c r="A3030" s="626" t="s">
        <v>6091</v>
      </c>
      <c r="B3030" s="626" t="s">
        <v>1908</v>
      </c>
      <c r="C3030" s="638" t="s">
        <v>104</v>
      </c>
      <c r="D3030" s="626" t="s">
        <v>4782</v>
      </c>
      <c r="E3030" s="636">
        <v>1200</v>
      </c>
      <c r="F3030" s="637" t="s">
        <v>6804</v>
      </c>
      <c r="G3030" s="626" t="s">
        <v>6805</v>
      </c>
      <c r="H3030" s="626" t="s">
        <v>6806</v>
      </c>
      <c r="I3030" s="638" t="s">
        <v>6099</v>
      </c>
      <c r="J3030" s="625" t="s">
        <v>6100</v>
      </c>
      <c r="K3030" s="626">
        <v>1</v>
      </c>
      <c r="L3030" s="638">
        <v>4</v>
      </c>
      <c r="M3030" s="712">
        <v>4800</v>
      </c>
      <c r="N3030" s="638">
        <v>1</v>
      </c>
      <c r="O3030" s="626">
        <v>4</v>
      </c>
      <c r="P3030" s="712">
        <f t="shared" si="29"/>
        <v>4800</v>
      </c>
    </row>
    <row r="3031" spans="1:16" s="619" customFormat="1" ht="24" x14ac:dyDescent="0.2">
      <c r="A3031" s="626" t="s">
        <v>6091</v>
      </c>
      <c r="B3031" s="626" t="s">
        <v>1908</v>
      </c>
      <c r="C3031" s="638" t="s">
        <v>104</v>
      </c>
      <c r="D3031" s="626" t="s">
        <v>4782</v>
      </c>
      <c r="E3031" s="636">
        <v>1200</v>
      </c>
      <c r="F3031" s="637" t="s">
        <v>6807</v>
      </c>
      <c r="G3031" s="626" t="s">
        <v>6808</v>
      </c>
      <c r="H3031" s="626" t="s">
        <v>2232</v>
      </c>
      <c r="I3031" s="638" t="s">
        <v>6095</v>
      </c>
      <c r="J3031" s="625" t="s">
        <v>6096</v>
      </c>
      <c r="K3031" s="626">
        <v>1</v>
      </c>
      <c r="L3031" s="638">
        <v>4</v>
      </c>
      <c r="M3031" s="712">
        <v>4800</v>
      </c>
      <c r="N3031" s="638">
        <v>1</v>
      </c>
      <c r="O3031" s="626">
        <v>6</v>
      </c>
      <c r="P3031" s="712">
        <f t="shared" si="29"/>
        <v>7200</v>
      </c>
    </row>
    <row r="3032" spans="1:16" s="619" customFormat="1" ht="36" x14ac:dyDescent="0.2">
      <c r="A3032" s="626" t="s">
        <v>6091</v>
      </c>
      <c r="B3032" s="626" t="s">
        <v>1908</v>
      </c>
      <c r="C3032" s="638" t="s">
        <v>104</v>
      </c>
      <c r="D3032" s="626" t="s">
        <v>6092</v>
      </c>
      <c r="E3032" s="636">
        <v>1400</v>
      </c>
      <c r="F3032" s="637" t="s">
        <v>6809</v>
      </c>
      <c r="G3032" s="626" t="s">
        <v>6810</v>
      </c>
      <c r="H3032" s="626" t="s">
        <v>6092</v>
      </c>
      <c r="I3032" s="638" t="s">
        <v>6095</v>
      </c>
      <c r="J3032" s="625" t="s">
        <v>6096</v>
      </c>
      <c r="K3032" s="626">
        <v>1</v>
      </c>
      <c r="L3032" s="638">
        <v>4</v>
      </c>
      <c r="M3032" s="712">
        <v>5600</v>
      </c>
      <c r="N3032" s="638">
        <v>1</v>
      </c>
      <c r="O3032" s="626">
        <v>6</v>
      </c>
      <c r="P3032" s="712">
        <f t="shared" si="29"/>
        <v>8400</v>
      </c>
    </row>
    <row r="3033" spans="1:16" s="619" customFormat="1" ht="48" x14ac:dyDescent="0.2">
      <c r="A3033" s="626" t="s">
        <v>6091</v>
      </c>
      <c r="B3033" s="626" t="s">
        <v>1908</v>
      </c>
      <c r="C3033" s="638" t="s">
        <v>104</v>
      </c>
      <c r="D3033" s="626" t="s">
        <v>2660</v>
      </c>
      <c r="E3033" s="636">
        <v>1200</v>
      </c>
      <c r="F3033" s="637" t="s">
        <v>6811</v>
      </c>
      <c r="G3033" s="626" t="s">
        <v>6812</v>
      </c>
      <c r="H3033" s="626" t="s">
        <v>2660</v>
      </c>
      <c r="I3033" s="638" t="s">
        <v>6099</v>
      </c>
      <c r="J3033" s="625" t="s">
        <v>6100</v>
      </c>
      <c r="K3033" s="626">
        <v>1</v>
      </c>
      <c r="L3033" s="638">
        <v>4</v>
      </c>
      <c r="M3033" s="712">
        <v>4800</v>
      </c>
      <c r="N3033" s="638">
        <v>1</v>
      </c>
      <c r="O3033" s="626">
        <v>5</v>
      </c>
      <c r="P3033" s="712">
        <f t="shared" si="29"/>
        <v>6000</v>
      </c>
    </row>
    <row r="3034" spans="1:16" s="619" customFormat="1" ht="24" x14ac:dyDescent="0.2">
      <c r="A3034" s="626" t="s">
        <v>6091</v>
      </c>
      <c r="B3034" s="626" t="s">
        <v>1908</v>
      </c>
      <c r="C3034" s="638" t="s">
        <v>104</v>
      </c>
      <c r="D3034" s="626" t="s">
        <v>6813</v>
      </c>
      <c r="E3034" s="636">
        <v>1500</v>
      </c>
      <c r="F3034" s="637" t="s">
        <v>6814</v>
      </c>
      <c r="G3034" s="626" t="s">
        <v>6815</v>
      </c>
      <c r="H3034" s="626" t="s">
        <v>6816</v>
      </c>
      <c r="I3034" s="638" t="s">
        <v>6095</v>
      </c>
      <c r="J3034" s="625" t="s">
        <v>6096</v>
      </c>
      <c r="K3034" s="626">
        <v>1</v>
      </c>
      <c r="L3034" s="638">
        <v>11</v>
      </c>
      <c r="M3034" s="712">
        <v>16500</v>
      </c>
      <c r="N3034" s="638">
        <v>1</v>
      </c>
      <c r="O3034" s="626">
        <v>6</v>
      </c>
      <c r="P3034" s="712">
        <f t="shared" si="29"/>
        <v>9000</v>
      </c>
    </row>
    <row r="3035" spans="1:16" s="619" customFormat="1" ht="36" x14ac:dyDescent="0.2">
      <c r="A3035" s="626" t="s">
        <v>6091</v>
      </c>
      <c r="B3035" s="626" t="s">
        <v>1908</v>
      </c>
      <c r="C3035" s="638" t="s">
        <v>104</v>
      </c>
      <c r="D3035" s="626" t="s">
        <v>4838</v>
      </c>
      <c r="E3035" s="636">
        <v>2000</v>
      </c>
      <c r="F3035" s="637" t="s">
        <v>6817</v>
      </c>
      <c r="G3035" s="626" t="s">
        <v>6818</v>
      </c>
      <c r="H3035" s="626" t="s">
        <v>4838</v>
      </c>
      <c r="I3035" s="638" t="s">
        <v>6095</v>
      </c>
      <c r="J3035" s="625" t="s">
        <v>6096</v>
      </c>
      <c r="K3035" s="626">
        <v>1</v>
      </c>
      <c r="L3035" s="638">
        <v>12</v>
      </c>
      <c r="M3035" s="712">
        <v>24000</v>
      </c>
      <c r="N3035" s="638">
        <v>1</v>
      </c>
      <c r="O3035" s="626">
        <v>6</v>
      </c>
      <c r="P3035" s="712">
        <f t="shared" si="29"/>
        <v>12000</v>
      </c>
    </row>
    <row r="3036" spans="1:16" s="619" customFormat="1" ht="24" x14ac:dyDescent="0.2">
      <c r="A3036" s="626" t="s">
        <v>6091</v>
      </c>
      <c r="B3036" s="626" t="s">
        <v>1908</v>
      </c>
      <c r="C3036" s="638" t="s">
        <v>104</v>
      </c>
      <c r="D3036" s="626" t="s">
        <v>6819</v>
      </c>
      <c r="E3036" s="636">
        <v>1800</v>
      </c>
      <c r="F3036" s="637" t="s">
        <v>6820</v>
      </c>
      <c r="G3036" s="626" t="s">
        <v>6821</v>
      </c>
      <c r="H3036" s="626" t="s">
        <v>4337</v>
      </c>
      <c r="I3036" s="638" t="s">
        <v>6095</v>
      </c>
      <c r="J3036" s="625" t="s">
        <v>6096</v>
      </c>
      <c r="K3036" s="626">
        <v>1</v>
      </c>
      <c r="L3036" s="638">
        <v>12</v>
      </c>
      <c r="M3036" s="712">
        <v>21600</v>
      </c>
      <c r="N3036" s="638">
        <v>1</v>
      </c>
      <c r="O3036" s="626">
        <v>6</v>
      </c>
      <c r="P3036" s="712">
        <f t="shared" si="29"/>
        <v>10800</v>
      </c>
    </row>
    <row r="3037" spans="1:16" s="619" customFormat="1" ht="24" x14ac:dyDescent="0.2">
      <c r="A3037" s="626" t="s">
        <v>6091</v>
      </c>
      <c r="B3037" s="626" t="s">
        <v>1908</v>
      </c>
      <c r="C3037" s="638" t="s">
        <v>104</v>
      </c>
      <c r="D3037" s="626" t="s">
        <v>1965</v>
      </c>
      <c r="E3037" s="636">
        <v>1800</v>
      </c>
      <c r="F3037" s="637" t="s">
        <v>6822</v>
      </c>
      <c r="G3037" s="626" t="s">
        <v>6823</v>
      </c>
      <c r="H3037" s="626" t="s">
        <v>1965</v>
      </c>
      <c r="I3037" s="638" t="s">
        <v>6095</v>
      </c>
      <c r="J3037" s="625" t="s">
        <v>6096</v>
      </c>
      <c r="K3037" s="626">
        <v>1</v>
      </c>
      <c r="L3037" s="638">
        <v>12</v>
      </c>
      <c r="M3037" s="712">
        <v>21600</v>
      </c>
      <c r="N3037" s="638">
        <v>1</v>
      </c>
      <c r="O3037" s="626">
        <v>6</v>
      </c>
      <c r="P3037" s="712">
        <f t="shared" si="29"/>
        <v>10800</v>
      </c>
    </row>
    <row r="3038" spans="1:16" s="619" customFormat="1" ht="36" x14ac:dyDescent="0.2">
      <c r="A3038" s="626" t="s">
        <v>6091</v>
      </c>
      <c r="B3038" s="626" t="s">
        <v>1908</v>
      </c>
      <c r="C3038" s="638" t="s">
        <v>104</v>
      </c>
      <c r="D3038" s="626" t="s">
        <v>3545</v>
      </c>
      <c r="E3038" s="636">
        <v>1200</v>
      </c>
      <c r="F3038" s="637" t="s">
        <v>6824</v>
      </c>
      <c r="G3038" s="626" t="s">
        <v>6825</v>
      </c>
      <c r="H3038" s="626" t="s">
        <v>3545</v>
      </c>
      <c r="I3038" s="638" t="s">
        <v>6099</v>
      </c>
      <c r="J3038" s="625" t="s">
        <v>6100</v>
      </c>
      <c r="K3038" s="626">
        <v>1</v>
      </c>
      <c r="L3038" s="638">
        <v>9</v>
      </c>
      <c r="M3038" s="712">
        <v>10800</v>
      </c>
      <c r="N3038" s="638">
        <v>1</v>
      </c>
      <c r="O3038" s="626">
        <v>6</v>
      </c>
      <c r="P3038" s="712">
        <f t="shared" si="29"/>
        <v>7200</v>
      </c>
    </row>
    <row r="3039" spans="1:16" s="619" customFormat="1" ht="48" x14ac:dyDescent="0.2">
      <c r="A3039" s="626" t="s">
        <v>6091</v>
      </c>
      <c r="B3039" s="626" t="s">
        <v>1908</v>
      </c>
      <c r="C3039" s="638" t="s">
        <v>104</v>
      </c>
      <c r="D3039" s="626" t="s">
        <v>6114</v>
      </c>
      <c r="E3039" s="636">
        <v>1200</v>
      </c>
      <c r="F3039" s="637" t="s">
        <v>6826</v>
      </c>
      <c r="G3039" s="626" t="s">
        <v>6827</v>
      </c>
      <c r="H3039" s="626" t="s">
        <v>6123</v>
      </c>
      <c r="I3039" s="638" t="s">
        <v>6099</v>
      </c>
      <c r="J3039" s="625" t="s">
        <v>6100</v>
      </c>
      <c r="K3039" s="626">
        <v>1</v>
      </c>
      <c r="L3039" s="638">
        <v>9</v>
      </c>
      <c r="M3039" s="712">
        <v>10800</v>
      </c>
      <c r="N3039" s="638">
        <v>1</v>
      </c>
      <c r="O3039" s="626">
        <v>6</v>
      </c>
      <c r="P3039" s="712">
        <f t="shared" si="29"/>
        <v>7200</v>
      </c>
    </row>
    <row r="3040" spans="1:16" s="619" customFormat="1" ht="36" x14ac:dyDescent="0.2">
      <c r="A3040" s="626" t="s">
        <v>6091</v>
      </c>
      <c r="B3040" s="626" t="s">
        <v>1908</v>
      </c>
      <c r="C3040" s="638" t="s">
        <v>104</v>
      </c>
      <c r="D3040" s="626" t="s">
        <v>6828</v>
      </c>
      <c r="E3040" s="636">
        <v>1800</v>
      </c>
      <c r="F3040" s="637" t="s">
        <v>6829</v>
      </c>
      <c r="G3040" s="626" t="s">
        <v>6830</v>
      </c>
      <c r="H3040" s="626" t="s">
        <v>6831</v>
      </c>
      <c r="I3040" s="638" t="s">
        <v>6095</v>
      </c>
      <c r="J3040" s="625" t="s">
        <v>6096</v>
      </c>
      <c r="K3040" s="626">
        <v>1</v>
      </c>
      <c r="L3040" s="638">
        <v>9</v>
      </c>
      <c r="M3040" s="712">
        <v>16200</v>
      </c>
      <c r="N3040" s="638">
        <v>1</v>
      </c>
      <c r="O3040" s="626">
        <v>6</v>
      </c>
      <c r="P3040" s="712">
        <f t="shared" si="29"/>
        <v>10800</v>
      </c>
    </row>
    <row r="3041" spans="1:16" s="619" customFormat="1" ht="24" x14ac:dyDescent="0.2">
      <c r="A3041" s="626" t="s">
        <v>6091</v>
      </c>
      <c r="B3041" s="626" t="s">
        <v>1908</v>
      </c>
      <c r="C3041" s="638" t="s">
        <v>104</v>
      </c>
      <c r="D3041" s="626" t="s">
        <v>3583</v>
      </c>
      <c r="E3041" s="636">
        <v>2000</v>
      </c>
      <c r="F3041" s="637" t="s">
        <v>6832</v>
      </c>
      <c r="G3041" s="626" t="s">
        <v>6833</v>
      </c>
      <c r="H3041" s="626" t="s">
        <v>4337</v>
      </c>
      <c r="I3041" s="638" t="s">
        <v>6095</v>
      </c>
      <c r="J3041" s="625" t="s">
        <v>6096</v>
      </c>
      <c r="K3041" s="626">
        <v>1</v>
      </c>
      <c r="L3041" s="638">
        <v>12</v>
      </c>
      <c r="M3041" s="712">
        <v>24000</v>
      </c>
      <c r="N3041" s="638">
        <v>1</v>
      </c>
      <c r="O3041" s="626">
        <v>6</v>
      </c>
      <c r="P3041" s="712">
        <f t="shared" si="29"/>
        <v>12000</v>
      </c>
    </row>
    <row r="3042" spans="1:16" s="619" customFormat="1" ht="36" x14ac:dyDescent="0.2">
      <c r="A3042" s="626" t="s">
        <v>6091</v>
      </c>
      <c r="B3042" s="626" t="s">
        <v>1908</v>
      </c>
      <c r="C3042" s="638" t="s">
        <v>104</v>
      </c>
      <c r="D3042" s="626" t="s">
        <v>3545</v>
      </c>
      <c r="E3042" s="636">
        <v>1200</v>
      </c>
      <c r="F3042" s="637" t="s">
        <v>6834</v>
      </c>
      <c r="G3042" s="626" t="s">
        <v>6835</v>
      </c>
      <c r="H3042" s="626" t="s">
        <v>4589</v>
      </c>
      <c r="I3042" s="638" t="s">
        <v>6099</v>
      </c>
      <c r="J3042" s="625" t="s">
        <v>6100</v>
      </c>
      <c r="K3042" s="626">
        <v>1</v>
      </c>
      <c r="L3042" s="638">
        <v>11</v>
      </c>
      <c r="M3042" s="712">
        <v>13200</v>
      </c>
      <c r="N3042" s="638">
        <v>1</v>
      </c>
      <c r="O3042" s="626">
        <v>6</v>
      </c>
      <c r="P3042" s="712">
        <f t="shared" si="29"/>
        <v>7200</v>
      </c>
    </row>
    <row r="3043" spans="1:16" s="619" customFormat="1" ht="36" x14ac:dyDescent="0.2">
      <c r="A3043" s="626" t="s">
        <v>6091</v>
      </c>
      <c r="B3043" s="626" t="s">
        <v>1908</v>
      </c>
      <c r="C3043" s="638" t="s">
        <v>104</v>
      </c>
      <c r="D3043" s="626" t="s">
        <v>2660</v>
      </c>
      <c r="E3043" s="636">
        <v>1000</v>
      </c>
      <c r="F3043" s="637" t="s">
        <v>6836</v>
      </c>
      <c r="G3043" s="626" t="s">
        <v>6837</v>
      </c>
      <c r="H3043" s="626" t="s">
        <v>2660</v>
      </c>
      <c r="I3043" s="638" t="s">
        <v>6099</v>
      </c>
      <c r="J3043" s="625" t="s">
        <v>6100</v>
      </c>
      <c r="K3043" s="626">
        <v>1</v>
      </c>
      <c r="L3043" s="638">
        <v>12</v>
      </c>
      <c r="M3043" s="712">
        <v>12000</v>
      </c>
      <c r="N3043" s="638">
        <v>1</v>
      </c>
      <c r="O3043" s="626">
        <v>6</v>
      </c>
      <c r="P3043" s="712">
        <f t="shared" si="29"/>
        <v>6000</v>
      </c>
    </row>
    <row r="3044" spans="1:16" s="619" customFormat="1" ht="24" x14ac:dyDescent="0.2">
      <c r="A3044" s="626" t="s">
        <v>6091</v>
      </c>
      <c r="B3044" s="626" t="s">
        <v>1908</v>
      </c>
      <c r="C3044" s="638" t="s">
        <v>104</v>
      </c>
      <c r="D3044" s="626" t="s">
        <v>6092</v>
      </c>
      <c r="E3044" s="636">
        <v>2300</v>
      </c>
      <c r="F3044" s="637" t="s">
        <v>6838</v>
      </c>
      <c r="G3044" s="626" t="s">
        <v>6839</v>
      </c>
      <c r="H3044" s="626" t="s">
        <v>6092</v>
      </c>
      <c r="I3044" s="638" t="s">
        <v>6095</v>
      </c>
      <c r="J3044" s="625" t="s">
        <v>6096</v>
      </c>
      <c r="K3044" s="626">
        <v>1</v>
      </c>
      <c r="L3044" s="638">
        <v>12</v>
      </c>
      <c r="M3044" s="712">
        <v>27600</v>
      </c>
      <c r="N3044" s="638">
        <v>1</v>
      </c>
      <c r="O3044" s="626">
        <v>1</v>
      </c>
      <c r="P3044" s="712">
        <f t="shared" si="29"/>
        <v>2300</v>
      </c>
    </row>
    <row r="3045" spans="1:16" s="619" customFormat="1" ht="48" x14ac:dyDescent="0.2">
      <c r="A3045" s="626" t="s">
        <v>6091</v>
      </c>
      <c r="B3045" s="626" t="s">
        <v>1908</v>
      </c>
      <c r="C3045" s="638" t="s">
        <v>104</v>
      </c>
      <c r="D3045" s="626" t="s">
        <v>6187</v>
      </c>
      <c r="E3045" s="636">
        <v>1000</v>
      </c>
      <c r="F3045" s="637" t="s">
        <v>6840</v>
      </c>
      <c r="G3045" s="626" t="s">
        <v>6841</v>
      </c>
      <c r="H3045" s="626" t="s">
        <v>6123</v>
      </c>
      <c r="I3045" s="638" t="s">
        <v>6099</v>
      </c>
      <c r="J3045" s="625" t="s">
        <v>6100</v>
      </c>
      <c r="K3045" s="626">
        <v>1</v>
      </c>
      <c r="L3045" s="638">
        <v>6</v>
      </c>
      <c r="M3045" s="712">
        <v>6000</v>
      </c>
      <c r="N3045" s="638">
        <v>1</v>
      </c>
      <c r="O3045" s="626">
        <v>6</v>
      </c>
      <c r="P3045" s="712">
        <f t="shared" si="29"/>
        <v>6000</v>
      </c>
    </row>
    <row r="3046" spans="1:16" s="619" customFormat="1" ht="36" x14ac:dyDescent="0.2">
      <c r="A3046" s="626" t="s">
        <v>6091</v>
      </c>
      <c r="B3046" s="626" t="s">
        <v>1908</v>
      </c>
      <c r="C3046" s="638" t="s">
        <v>104</v>
      </c>
      <c r="D3046" s="626" t="s">
        <v>6227</v>
      </c>
      <c r="E3046" s="636">
        <v>2200</v>
      </c>
      <c r="F3046" s="637" t="s">
        <v>6842</v>
      </c>
      <c r="G3046" s="626" t="s">
        <v>6843</v>
      </c>
      <c r="H3046" s="626" t="s">
        <v>5790</v>
      </c>
      <c r="I3046" s="638" t="s">
        <v>6095</v>
      </c>
      <c r="J3046" s="625" t="s">
        <v>6096</v>
      </c>
      <c r="K3046" s="626">
        <v>1</v>
      </c>
      <c r="L3046" s="638">
        <v>2</v>
      </c>
      <c r="M3046" s="712">
        <v>4400</v>
      </c>
      <c r="N3046" s="638">
        <v>1</v>
      </c>
      <c r="O3046" s="626">
        <v>6</v>
      </c>
      <c r="P3046" s="712">
        <f t="shared" si="29"/>
        <v>13200</v>
      </c>
    </row>
    <row r="3047" spans="1:16" s="619" customFormat="1" ht="36" x14ac:dyDescent="0.2">
      <c r="A3047" s="626" t="s">
        <v>6091</v>
      </c>
      <c r="B3047" s="626" t="s">
        <v>1908</v>
      </c>
      <c r="C3047" s="638" t="s">
        <v>104</v>
      </c>
      <c r="D3047" s="626" t="s">
        <v>3545</v>
      </c>
      <c r="E3047" s="636">
        <v>1200</v>
      </c>
      <c r="F3047" s="637" t="s">
        <v>6844</v>
      </c>
      <c r="G3047" s="626" t="s">
        <v>6845</v>
      </c>
      <c r="H3047" s="626" t="s">
        <v>3545</v>
      </c>
      <c r="I3047" s="638" t="s">
        <v>6099</v>
      </c>
      <c r="J3047" s="625" t="s">
        <v>6100</v>
      </c>
      <c r="K3047" s="626">
        <v>1</v>
      </c>
      <c r="L3047" s="638">
        <v>9</v>
      </c>
      <c r="M3047" s="712">
        <v>10800</v>
      </c>
      <c r="N3047" s="638">
        <v>1</v>
      </c>
      <c r="O3047" s="626">
        <v>6</v>
      </c>
      <c r="P3047" s="712">
        <f t="shared" si="29"/>
        <v>7200</v>
      </c>
    </row>
    <row r="3048" spans="1:16" s="619" customFormat="1" ht="36" x14ac:dyDescent="0.2">
      <c r="A3048" s="626" t="s">
        <v>6091</v>
      </c>
      <c r="B3048" s="626" t="s">
        <v>1908</v>
      </c>
      <c r="C3048" s="638" t="s">
        <v>104</v>
      </c>
      <c r="D3048" s="626" t="s">
        <v>6158</v>
      </c>
      <c r="E3048" s="636">
        <v>900</v>
      </c>
      <c r="F3048" s="637" t="s">
        <v>6846</v>
      </c>
      <c r="G3048" s="626" t="s">
        <v>6847</v>
      </c>
      <c r="H3048" s="626" t="s">
        <v>2558</v>
      </c>
      <c r="I3048" s="638" t="s">
        <v>6099</v>
      </c>
      <c r="J3048" s="625" t="s">
        <v>6100</v>
      </c>
      <c r="K3048" s="626">
        <v>1</v>
      </c>
      <c r="L3048" s="638">
        <v>12</v>
      </c>
      <c r="M3048" s="712">
        <v>10800</v>
      </c>
      <c r="N3048" s="638">
        <v>1</v>
      </c>
      <c r="O3048" s="626">
        <v>6</v>
      </c>
      <c r="P3048" s="712">
        <f t="shared" si="29"/>
        <v>5400</v>
      </c>
    </row>
    <row r="3049" spans="1:16" s="619" customFormat="1" ht="24" x14ac:dyDescent="0.2">
      <c r="A3049" s="626" t="s">
        <v>6091</v>
      </c>
      <c r="B3049" s="626" t="s">
        <v>1908</v>
      </c>
      <c r="C3049" s="638" t="s">
        <v>104</v>
      </c>
      <c r="D3049" s="626" t="s">
        <v>6227</v>
      </c>
      <c r="E3049" s="636">
        <v>2000</v>
      </c>
      <c r="F3049" s="637" t="s">
        <v>6848</v>
      </c>
      <c r="G3049" s="626" t="s">
        <v>6849</v>
      </c>
      <c r="H3049" s="626" t="s">
        <v>5790</v>
      </c>
      <c r="I3049" s="638" t="s">
        <v>6095</v>
      </c>
      <c r="J3049" s="625" t="s">
        <v>6096</v>
      </c>
      <c r="K3049" s="626">
        <v>1</v>
      </c>
      <c r="L3049" s="638">
        <v>1</v>
      </c>
      <c r="M3049" s="712">
        <v>2000</v>
      </c>
      <c r="N3049" s="638">
        <v>1</v>
      </c>
      <c r="O3049" s="626">
        <v>5</v>
      </c>
      <c r="P3049" s="712">
        <f t="shared" si="29"/>
        <v>10000</v>
      </c>
    </row>
    <row r="3050" spans="1:16" s="619" customFormat="1" ht="48" x14ac:dyDescent="0.2">
      <c r="A3050" s="626" t="s">
        <v>6091</v>
      </c>
      <c r="B3050" s="626" t="s">
        <v>1908</v>
      </c>
      <c r="C3050" s="638" t="s">
        <v>104</v>
      </c>
      <c r="D3050" s="626" t="s">
        <v>6198</v>
      </c>
      <c r="E3050" s="636">
        <v>2000</v>
      </c>
      <c r="F3050" s="637" t="s">
        <v>6850</v>
      </c>
      <c r="G3050" s="626" t="s">
        <v>6851</v>
      </c>
      <c r="H3050" s="626" t="s">
        <v>6198</v>
      </c>
      <c r="I3050" s="638" t="s">
        <v>6095</v>
      </c>
      <c r="J3050" s="625" t="s">
        <v>6096</v>
      </c>
      <c r="K3050" s="626">
        <v>1</v>
      </c>
      <c r="L3050" s="638">
        <v>3</v>
      </c>
      <c r="M3050" s="712">
        <v>6000</v>
      </c>
      <c r="N3050" s="638"/>
      <c r="O3050" s="626"/>
      <c r="P3050" s="712">
        <f t="shared" si="29"/>
        <v>0</v>
      </c>
    </row>
    <row r="3051" spans="1:16" s="619" customFormat="1" ht="36" x14ac:dyDescent="0.2">
      <c r="A3051" s="626" t="s">
        <v>6091</v>
      </c>
      <c r="B3051" s="626" t="s">
        <v>1908</v>
      </c>
      <c r="C3051" s="638" t="s">
        <v>104</v>
      </c>
      <c r="D3051" s="626" t="s">
        <v>6092</v>
      </c>
      <c r="E3051" s="636">
        <v>2000</v>
      </c>
      <c r="F3051" s="637" t="s">
        <v>6852</v>
      </c>
      <c r="G3051" s="626" t="s">
        <v>6853</v>
      </c>
      <c r="H3051" s="626" t="s">
        <v>6092</v>
      </c>
      <c r="I3051" s="638" t="s">
        <v>6095</v>
      </c>
      <c r="J3051" s="625" t="s">
        <v>6096</v>
      </c>
      <c r="K3051" s="626">
        <v>1</v>
      </c>
      <c r="L3051" s="638">
        <v>4</v>
      </c>
      <c r="M3051" s="712">
        <v>8000</v>
      </c>
      <c r="N3051" s="638"/>
      <c r="O3051" s="626"/>
      <c r="P3051" s="712">
        <f t="shared" si="29"/>
        <v>0</v>
      </c>
    </row>
    <row r="3052" spans="1:16" s="619" customFormat="1" ht="36" x14ac:dyDescent="0.2">
      <c r="A3052" s="626" t="s">
        <v>6091</v>
      </c>
      <c r="B3052" s="626" t="s">
        <v>1908</v>
      </c>
      <c r="C3052" s="638" t="s">
        <v>104</v>
      </c>
      <c r="D3052" s="626" t="s">
        <v>3606</v>
      </c>
      <c r="E3052" s="636">
        <v>1800</v>
      </c>
      <c r="F3052" s="637" t="s">
        <v>6854</v>
      </c>
      <c r="G3052" s="626" t="s">
        <v>6855</v>
      </c>
      <c r="H3052" s="626" t="s">
        <v>6557</v>
      </c>
      <c r="I3052" s="638" t="s">
        <v>6099</v>
      </c>
      <c r="J3052" s="625" t="s">
        <v>6100</v>
      </c>
      <c r="K3052" s="626">
        <v>1</v>
      </c>
      <c r="L3052" s="638">
        <v>12</v>
      </c>
      <c r="M3052" s="712">
        <v>21600</v>
      </c>
      <c r="N3052" s="638">
        <v>1</v>
      </c>
      <c r="O3052" s="626">
        <v>6</v>
      </c>
      <c r="P3052" s="712">
        <f t="shared" si="29"/>
        <v>10800</v>
      </c>
    </row>
    <row r="3053" spans="1:16" s="619" customFormat="1" ht="36" x14ac:dyDescent="0.2">
      <c r="A3053" s="626" t="s">
        <v>6091</v>
      </c>
      <c r="B3053" s="626" t="s">
        <v>1908</v>
      </c>
      <c r="C3053" s="638" t="s">
        <v>104</v>
      </c>
      <c r="D3053" s="626" t="s">
        <v>1965</v>
      </c>
      <c r="E3053" s="636">
        <v>2100</v>
      </c>
      <c r="F3053" s="637" t="s">
        <v>6856</v>
      </c>
      <c r="G3053" s="626" t="s">
        <v>6857</v>
      </c>
      <c r="H3053" s="626" t="s">
        <v>1965</v>
      </c>
      <c r="I3053" s="638" t="s">
        <v>6095</v>
      </c>
      <c r="J3053" s="625" t="s">
        <v>6096</v>
      </c>
      <c r="K3053" s="626">
        <v>1</v>
      </c>
      <c r="L3053" s="638">
        <v>7</v>
      </c>
      <c r="M3053" s="712">
        <v>14700</v>
      </c>
      <c r="N3053" s="638">
        <v>1</v>
      </c>
      <c r="O3053" s="626">
        <v>6</v>
      </c>
      <c r="P3053" s="712">
        <f t="shared" si="29"/>
        <v>12600</v>
      </c>
    </row>
    <row r="3054" spans="1:16" s="619" customFormat="1" ht="24" x14ac:dyDescent="0.2">
      <c r="A3054" s="626" t="s">
        <v>6091</v>
      </c>
      <c r="B3054" s="626" t="s">
        <v>1908</v>
      </c>
      <c r="C3054" s="638" t="s">
        <v>104</v>
      </c>
      <c r="D3054" s="626" t="s">
        <v>3583</v>
      </c>
      <c r="E3054" s="636">
        <v>1600</v>
      </c>
      <c r="F3054" s="637" t="s">
        <v>6858</v>
      </c>
      <c r="G3054" s="626" t="s">
        <v>6859</v>
      </c>
      <c r="H3054" s="626" t="s">
        <v>2232</v>
      </c>
      <c r="I3054" s="638" t="s">
        <v>6095</v>
      </c>
      <c r="J3054" s="625" t="s">
        <v>6096</v>
      </c>
      <c r="K3054" s="626">
        <v>1</v>
      </c>
      <c r="L3054" s="638">
        <v>4</v>
      </c>
      <c r="M3054" s="712">
        <v>6400</v>
      </c>
      <c r="N3054" s="638"/>
      <c r="O3054" s="626"/>
      <c r="P3054" s="712">
        <f t="shared" si="29"/>
        <v>0</v>
      </c>
    </row>
    <row r="3055" spans="1:16" s="619" customFormat="1" ht="36" x14ac:dyDescent="0.2">
      <c r="A3055" s="626" t="s">
        <v>6091</v>
      </c>
      <c r="B3055" s="626" t="s">
        <v>1908</v>
      </c>
      <c r="C3055" s="638" t="s">
        <v>104</v>
      </c>
      <c r="D3055" s="626" t="s">
        <v>2660</v>
      </c>
      <c r="E3055" s="636">
        <v>2875</v>
      </c>
      <c r="F3055" s="637" t="s">
        <v>6860</v>
      </c>
      <c r="G3055" s="626" t="s">
        <v>6861</v>
      </c>
      <c r="H3055" s="626" t="s">
        <v>2660</v>
      </c>
      <c r="I3055" s="638" t="s">
        <v>6099</v>
      </c>
      <c r="J3055" s="625" t="s">
        <v>6100</v>
      </c>
      <c r="K3055" s="626">
        <v>1</v>
      </c>
      <c r="L3055" s="638">
        <v>9</v>
      </c>
      <c r="M3055" s="712">
        <v>25875</v>
      </c>
      <c r="N3055" s="638">
        <v>1</v>
      </c>
      <c r="O3055" s="626">
        <v>3</v>
      </c>
      <c r="P3055" s="712">
        <f t="shared" si="29"/>
        <v>8625</v>
      </c>
    </row>
    <row r="3056" spans="1:16" s="619" customFormat="1" ht="48" x14ac:dyDescent="0.2">
      <c r="A3056" s="626" t="s">
        <v>6091</v>
      </c>
      <c r="B3056" s="626" t="s">
        <v>1908</v>
      </c>
      <c r="C3056" s="638" t="s">
        <v>104</v>
      </c>
      <c r="D3056" s="626" t="s">
        <v>2660</v>
      </c>
      <c r="E3056" s="636">
        <v>2875</v>
      </c>
      <c r="F3056" s="637" t="s">
        <v>6862</v>
      </c>
      <c r="G3056" s="626" t="s">
        <v>6863</v>
      </c>
      <c r="H3056" s="626" t="s">
        <v>2660</v>
      </c>
      <c r="I3056" s="638" t="s">
        <v>6099</v>
      </c>
      <c r="J3056" s="625" t="s">
        <v>6100</v>
      </c>
      <c r="K3056" s="626">
        <v>1</v>
      </c>
      <c r="L3056" s="638">
        <v>9</v>
      </c>
      <c r="M3056" s="712">
        <v>25875</v>
      </c>
      <c r="N3056" s="638">
        <v>1</v>
      </c>
      <c r="O3056" s="626">
        <v>6</v>
      </c>
      <c r="P3056" s="712">
        <f t="shared" si="29"/>
        <v>17250</v>
      </c>
    </row>
    <row r="3057" spans="1:16" s="619" customFormat="1" ht="36" x14ac:dyDescent="0.2">
      <c r="A3057" s="626" t="s">
        <v>6091</v>
      </c>
      <c r="B3057" s="626" t="s">
        <v>1908</v>
      </c>
      <c r="C3057" s="638" t="s">
        <v>104</v>
      </c>
      <c r="D3057" s="626" t="s">
        <v>2660</v>
      </c>
      <c r="E3057" s="636">
        <v>2875</v>
      </c>
      <c r="F3057" s="637" t="s">
        <v>6864</v>
      </c>
      <c r="G3057" s="626" t="s">
        <v>6865</v>
      </c>
      <c r="H3057" s="626" t="s">
        <v>2660</v>
      </c>
      <c r="I3057" s="638" t="s">
        <v>6099</v>
      </c>
      <c r="J3057" s="625" t="s">
        <v>6100</v>
      </c>
      <c r="K3057" s="626">
        <v>1</v>
      </c>
      <c r="L3057" s="638">
        <v>9</v>
      </c>
      <c r="M3057" s="712">
        <v>25875</v>
      </c>
      <c r="N3057" s="638">
        <v>1</v>
      </c>
      <c r="O3057" s="626">
        <v>6</v>
      </c>
      <c r="P3057" s="712">
        <f t="shared" si="29"/>
        <v>17250</v>
      </c>
    </row>
    <row r="3058" spans="1:16" s="619" customFormat="1" ht="36" x14ac:dyDescent="0.2">
      <c r="A3058" s="626" t="s">
        <v>6091</v>
      </c>
      <c r="B3058" s="626" t="s">
        <v>1908</v>
      </c>
      <c r="C3058" s="638" t="s">
        <v>104</v>
      </c>
      <c r="D3058" s="626" t="s">
        <v>2660</v>
      </c>
      <c r="E3058" s="636">
        <v>2875</v>
      </c>
      <c r="F3058" s="637" t="s">
        <v>6866</v>
      </c>
      <c r="G3058" s="626" t="s">
        <v>6867</v>
      </c>
      <c r="H3058" s="626" t="s">
        <v>2660</v>
      </c>
      <c r="I3058" s="638" t="s">
        <v>6099</v>
      </c>
      <c r="J3058" s="625" t="s">
        <v>6100</v>
      </c>
      <c r="K3058" s="626">
        <v>1</v>
      </c>
      <c r="L3058" s="638">
        <v>9</v>
      </c>
      <c r="M3058" s="712">
        <v>25875</v>
      </c>
      <c r="N3058" s="638">
        <v>1</v>
      </c>
      <c r="O3058" s="626">
        <v>5</v>
      </c>
      <c r="P3058" s="712">
        <f t="shared" si="29"/>
        <v>14375</v>
      </c>
    </row>
    <row r="3059" spans="1:16" s="619" customFormat="1" ht="24" x14ac:dyDescent="0.2">
      <c r="A3059" s="626" t="s">
        <v>6091</v>
      </c>
      <c r="B3059" s="626" t="s">
        <v>1908</v>
      </c>
      <c r="C3059" s="638" t="s">
        <v>104</v>
      </c>
      <c r="D3059" s="626" t="s">
        <v>6092</v>
      </c>
      <c r="E3059" s="636">
        <v>5000</v>
      </c>
      <c r="F3059" s="637" t="s">
        <v>6868</v>
      </c>
      <c r="G3059" s="626" t="s">
        <v>6869</v>
      </c>
      <c r="H3059" s="626" t="s">
        <v>6092</v>
      </c>
      <c r="I3059" s="638" t="s">
        <v>6095</v>
      </c>
      <c r="J3059" s="625" t="s">
        <v>6096</v>
      </c>
      <c r="K3059" s="626">
        <v>1</v>
      </c>
      <c r="L3059" s="638">
        <v>9</v>
      </c>
      <c r="M3059" s="712">
        <v>45000</v>
      </c>
      <c r="N3059" s="638">
        <v>1</v>
      </c>
      <c r="O3059" s="626">
        <v>6</v>
      </c>
      <c r="P3059" s="712">
        <f t="shared" si="29"/>
        <v>30000</v>
      </c>
    </row>
    <row r="3060" spans="1:16" s="619" customFormat="1" ht="24" x14ac:dyDescent="0.2">
      <c r="A3060" s="626" t="s">
        <v>6091</v>
      </c>
      <c r="B3060" s="626" t="s">
        <v>1908</v>
      </c>
      <c r="C3060" s="638" t="s">
        <v>104</v>
      </c>
      <c r="D3060" s="626" t="s">
        <v>6092</v>
      </c>
      <c r="E3060" s="636">
        <v>5000</v>
      </c>
      <c r="F3060" s="637" t="s">
        <v>6870</v>
      </c>
      <c r="G3060" s="626" t="s">
        <v>6871</v>
      </c>
      <c r="H3060" s="626" t="s">
        <v>6092</v>
      </c>
      <c r="I3060" s="638" t="s">
        <v>6095</v>
      </c>
      <c r="J3060" s="625" t="s">
        <v>6096</v>
      </c>
      <c r="K3060" s="626">
        <v>1</v>
      </c>
      <c r="L3060" s="638">
        <v>9</v>
      </c>
      <c r="M3060" s="712">
        <v>45000</v>
      </c>
      <c r="N3060" s="638">
        <v>1</v>
      </c>
      <c r="O3060" s="626">
        <v>6</v>
      </c>
      <c r="P3060" s="712">
        <f t="shared" si="29"/>
        <v>30000</v>
      </c>
    </row>
    <row r="3061" spans="1:16" s="619" customFormat="1" ht="24" x14ac:dyDescent="0.2">
      <c r="A3061" s="626" t="s">
        <v>6091</v>
      </c>
      <c r="B3061" s="626" t="s">
        <v>1908</v>
      </c>
      <c r="C3061" s="638" t="s">
        <v>104</v>
      </c>
      <c r="D3061" s="626" t="s">
        <v>6179</v>
      </c>
      <c r="E3061" s="636">
        <v>8000</v>
      </c>
      <c r="F3061" s="637" t="s">
        <v>6872</v>
      </c>
      <c r="G3061" s="626" t="s">
        <v>6873</v>
      </c>
      <c r="H3061" s="626" t="s">
        <v>6182</v>
      </c>
      <c r="I3061" s="638" t="s">
        <v>6095</v>
      </c>
      <c r="J3061" s="625" t="s">
        <v>6096</v>
      </c>
      <c r="K3061" s="626">
        <v>1</v>
      </c>
      <c r="L3061" s="638">
        <v>8</v>
      </c>
      <c r="M3061" s="712">
        <v>64000</v>
      </c>
      <c r="N3061" s="638">
        <v>1</v>
      </c>
      <c r="O3061" s="626">
        <v>4</v>
      </c>
      <c r="P3061" s="712">
        <f t="shared" si="29"/>
        <v>32000</v>
      </c>
    </row>
    <row r="3062" spans="1:16" s="619" customFormat="1" ht="36" x14ac:dyDescent="0.2">
      <c r="A3062" s="626" t="s">
        <v>6091</v>
      </c>
      <c r="B3062" s="626" t="s">
        <v>1908</v>
      </c>
      <c r="C3062" s="638" t="s">
        <v>104</v>
      </c>
      <c r="D3062" s="626" t="s">
        <v>6299</v>
      </c>
      <c r="E3062" s="636">
        <v>2875</v>
      </c>
      <c r="F3062" s="637" t="s">
        <v>6874</v>
      </c>
      <c r="G3062" s="626" t="s">
        <v>6875</v>
      </c>
      <c r="H3062" s="626" t="s">
        <v>6273</v>
      </c>
      <c r="I3062" s="638" t="s">
        <v>6099</v>
      </c>
      <c r="J3062" s="625" t="s">
        <v>6100</v>
      </c>
      <c r="K3062" s="626">
        <v>1</v>
      </c>
      <c r="L3062" s="638">
        <v>8</v>
      </c>
      <c r="M3062" s="712">
        <v>23000</v>
      </c>
      <c r="N3062" s="638">
        <v>1</v>
      </c>
      <c r="O3062" s="626">
        <v>6</v>
      </c>
      <c r="P3062" s="712">
        <f t="shared" si="29"/>
        <v>17250</v>
      </c>
    </row>
    <row r="3063" spans="1:16" s="619" customFormat="1" ht="24" x14ac:dyDescent="0.2">
      <c r="A3063" s="626" t="s">
        <v>6091</v>
      </c>
      <c r="B3063" s="626" t="s">
        <v>1908</v>
      </c>
      <c r="C3063" s="638" t="s">
        <v>104</v>
      </c>
      <c r="D3063" s="626" t="s">
        <v>6876</v>
      </c>
      <c r="E3063" s="636">
        <v>2875</v>
      </c>
      <c r="F3063" s="637" t="s">
        <v>6877</v>
      </c>
      <c r="G3063" s="626" t="s">
        <v>6878</v>
      </c>
      <c r="H3063" s="626"/>
      <c r="I3063" s="638" t="s">
        <v>1919</v>
      </c>
      <c r="J3063" s="625" t="s">
        <v>6128</v>
      </c>
      <c r="K3063" s="626">
        <v>1</v>
      </c>
      <c r="L3063" s="638">
        <v>8</v>
      </c>
      <c r="M3063" s="712">
        <v>23000</v>
      </c>
      <c r="N3063" s="638">
        <v>1</v>
      </c>
      <c r="O3063" s="626">
        <v>6</v>
      </c>
      <c r="P3063" s="712">
        <f t="shared" si="29"/>
        <v>17250</v>
      </c>
    </row>
    <row r="3064" spans="1:16" s="619" customFormat="1" ht="24" x14ac:dyDescent="0.2">
      <c r="A3064" s="626" t="s">
        <v>6091</v>
      </c>
      <c r="B3064" s="626" t="s">
        <v>1908</v>
      </c>
      <c r="C3064" s="638" t="s">
        <v>104</v>
      </c>
      <c r="D3064" s="626" t="s">
        <v>6092</v>
      </c>
      <c r="E3064" s="636">
        <v>5000</v>
      </c>
      <c r="F3064" s="637" t="s">
        <v>6879</v>
      </c>
      <c r="G3064" s="626" t="s">
        <v>6880</v>
      </c>
      <c r="H3064" s="626" t="s">
        <v>6092</v>
      </c>
      <c r="I3064" s="638" t="s">
        <v>6095</v>
      </c>
      <c r="J3064" s="625" t="s">
        <v>6096</v>
      </c>
      <c r="K3064" s="626">
        <v>1</v>
      </c>
      <c r="L3064" s="638">
        <v>7</v>
      </c>
      <c r="M3064" s="712">
        <v>35000</v>
      </c>
      <c r="N3064" s="638"/>
      <c r="O3064" s="626"/>
      <c r="P3064" s="712">
        <f t="shared" si="29"/>
        <v>0</v>
      </c>
    </row>
    <row r="3065" spans="1:16" s="619" customFormat="1" ht="48" x14ac:dyDescent="0.2">
      <c r="A3065" s="626" t="s">
        <v>6091</v>
      </c>
      <c r="B3065" s="626" t="s">
        <v>1908</v>
      </c>
      <c r="C3065" s="638" t="s">
        <v>104</v>
      </c>
      <c r="D3065" s="626" t="s">
        <v>6092</v>
      </c>
      <c r="E3065" s="636">
        <v>5000</v>
      </c>
      <c r="F3065" s="637" t="s">
        <v>6881</v>
      </c>
      <c r="G3065" s="626" t="s">
        <v>6882</v>
      </c>
      <c r="H3065" s="626" t="s">
        <v>6092</v>
      </c>
      <c r="I3065" s="638" t="s">
        <v>6095</v>
      </c>
      <c r="J3065" s="625" t="s">
        <v>6096</v>
      </c>
      <c r="K3065" s="626">
        <v>1</v>
      </c>
      <c r="L3065" s="638">
        <v>6</v>
      </c>
      <c r="M3065" s="712">
        <v>30000</v>
      </c>
      <c r="N3065" s="638"/>
      <c r="O3065" s="626"/>
      <c r="P3065" s="712">
        <f t="shared" si="29"/>
        <v>0</v>
      </c>
    </row>
    <row r="3066" spans="1:16" s="619" customFormat="1" ht="24" x14ac:dyDescent="0.2">
      <c r="A3066" s="626" t="s">
        <v>6091</v>
      </c>
      <c r="B3066" s="626" t="s">
        <v>1908</v>
      </c>
      <c r="C3066" s="638" t="s">
        <v>104</v>
      </c>
      <c r="D3066" s="626" t="s">
        <v>6092</v>
      </c>
      <c r="E3066" s="636">
        <v>5000</v>
      </c>
      <c r="F3066" s="637" t="s">
        <v>6883</v>
      </c>
      <c r="G3066" s="626" t="s">
        <v>6884</v>
      </c>
      <c r="H3066" s="626" t="s">
        <v>6092</v>
      </c>
      <c r="I3066" s="638" t="s">
        <v>6095</v>
      </c>
      <c r="J3066" s="625" t="s">
        <v>6096</v>
      </c>
      <c r="K3066" s="626">
        <v>1</v>
      </c>
      <c r="L3066" s="638">
        <v>5</v>
      </c>
      <c r="M3066" s="712">
        <v>25000</v>
      </c>
      <c r="N3066" s="638"/>
      <c r="O3066" s="626"/>
      <c r="P3066" s="712">
        <f t="shared" si="29"/>
        <v>0</v>
      </c>
    </row>
    <row r="3067" spans="1:16" s="619" customFormat="1" ht="36" x14ac:dyDescent="0.2">
      <c r="A3067" s="626" t="s">
        <v>6091</v>
      </c>
      <c r="B3067" s="626" t="s">
        <v>1908</v>
      </c>
      <c r="C3067" s="638" t="s">
        <v>104</v>
      </c>
      <c r="D3067" s="626" t="s">
        <v>6179</v>
      </c>
      <c r="E3067" s="636">
        <v>8000</v>
      </c>
      <c r="F3067" s="637" t="s">
        <v>6885</v>
      </c>
      <c r="G3067" s="626" t="s">
        <v>6886</v>
      </c>
      <c r="H3067" s="626" t="s">
        <v>6182</v>
      </c>
      <c r="I3067" s="638" t="s">
        <v>6095</v>
      </c>
      <c r="J3067" s="625" t="s">
        <v>6096</v>
      </c>
      <c r="K3067" s="626">
        <v>1</v>
      </c>
      <c r="L3067" s="638">
        <v>5</v>
      </c>
      <c r="M3067" s="712">
        <v>40000</v>
      </c>
      <c r="N3067" s="638"/>
      <c r="O3067" s="626"/>
      <c r="P3067" s="712">
        <f t="shared" si="29"/>
        <v>0</v>
      </c>
    </row>
    <row r="3068" spans="1:16" s="619" customFormat="1" ht="48" x14ac:dyDescent="0.2">
      <c r="A3068" s="626" t="s">
        <v>6091</v>
      </c>
      <c r="B3068" s="626" t="s">
        <v>1908</v>
      </c>
      <c r="C3068" s="638" t="s">
        <v>104</v>
      </c>
      <c r="D3068" s="626" t="s">
        <v>6149</v>
      </c>
      <c r="E3068" s="636">
        <v>5000</v>
      </c>
      <c r="F3068" s="637" t="s">
        <v>6887</v>
      </c>
      <c r="G3068" s="626" t="s">
        <v>6888</v>
      </c>
      <c r="H3068" s="626" t="s">
        <v>6152</v>
      </c>
      <c r="I3068" s="638" t="s">
        <v>6095</v>
      </c>
      <c r="J3068" s="625" t="s">
        <v>6096</v>
      </c>
      <c r="K3068" s="626">
        <v>1</v>
      </c>
      <c r="L3068" s="638">
        <v>5</v>
      </c>
      <c r="M3068" s="712">
        <v>25000</v>
      </c>
      <c r="N3068" s="638"/>
      <c r="O3068" s="626"/>
      <c r="P3068" s="712">
        <f t="shared" si="29"/>
        <v>0</v>
      </c>
    </row>
    <row r="3069" spans="1:16" s="619" customFormat="1" ht="24" x14ac:dyDescent="0.2">
      <c r="A3069" s="626" t="s">
        <v>6091</v>
      </c>
      <c r="B3069" s="626" t="s">
        <v>1908</v>
      </c>
      <c r="C3069" s="638" t="s">
        <v>104</v>
      </c>
      <c r="D3069" s="626" t="s">
        <v>6092</v>
      </c>
      <c r="E3069" s="636">
        <v>5000</v>
      </c>
      <c r="F3069" s="637" t="s">
        <v>6889</v>
      </c>
      <c r="G3069" s="626" t="s">
        <v>6890</v>
      </c>
      <c r="H3069" s="626" t="s">
        <v>6092</v>
      </c>
      <c r="I3069" s="638" t="s">
        <v>6095</v>
      </c>
      <c r="J3069" s="625" t="s">
        <v>6096</v>
      </c>
      <c r="K3069" s="626">
        <v>1</v>
      </c>
      <c r="L3069" s="638">
        <v>5</v>
      </c>
      <c r="M3069" s="712">
        <v>25000</v>
      </c>
      <c r="N3069" s="638"/>
      <c r="O3069" s="626"/>
      <c r="P3069" s="712">
        <f t="shared" si="29"/>
        <v>0</v>
      </c>
    </row>
    <row r="3070" spans="1:16" s="619" customFormat="1" ht="36" x14ac:dyDescent="0.2">
      <c r="A3070" s="626" t="s">
        <v>6091</v>
      </c>
      <c r="B3070" s="626" t="s">
        <v>1908</v>
      </c>
      <c r="C3070" s="638" t="s">
        <v>104</v>
      </c>
      <c r="D3070" s="626" t="s">
        <v>6179</v>
      </c>
      <c r="E3070" s="636">
        <v>8000</v>
      </c>
      <c r="F3070" s="637" t="s">
        <v>6891</v>
      </c>
      <c r="G3070" s="626" t="s">
        <v>6892</v>
      </c>
      <c r="H3070" s="626" t="s">
        <v>6182</v>
      </c>
      <c r="I3070" s="638" t="s">
        <v>6095</v>
      </c>
      <c r="J3070" s="625" t="s">
        <v>6096</v>
      </c>
      <c r="K3070" s="626">
        <v>1</v>
      </c>
      <c r="L3070" s="638">
        <v>5</v>
      </c>
      <c r="M3070" s="712">
        <v>40000</v>
      </c>
      <c r="N3070" s="638"/>
      <c r="O3070" s="626"/>
      <c r="P3070" s="712">
        <f t="shared" si="29"/>
        <v>0</v>
      </c>
    </row>
    <row r="3071" spans="1:16" s="619" customFormat="1" ht="36" x14ac:dyDescent="0.2">
      <c r="A3071" s="626" t="s">
        <v>6091</v>
      </c>
      <c r="B3071" s="626" t="s">
        <v>1908</v>
      </c>
      <c r="C3071" s="638" t="s">
        <v>104</v>
      </c>
      <c r="D3071" s="626" t="s">
        <v>6179</v>
      </c>
      <c r="E3071" s="636">
        <v>8000</v>
      </c>
      <c r="F3071" s="637" t="s">
        <v>6893</v>
      </c>
      <c r="G3071" s="626" t="s">
        <v>6894</v>
      </c>
      <c r="H3071" s="626" t="s">
        <v>6182</v>
      </c>
      <c r="I3071" s="638" t="s">
        <v>6095</v>
      </c>
      <c r="J3071" s="625" t="s">
        <v>6096</v>
      </c>
      <c r="K3071" s="626">
        <v>1</v>
      </c>
      <c r="L3071" s="638">
        <v>6</v>
      </c>
      <c r="M3071" s="712">
        <v>48000</v>
      </c>
      <c r="N3071" s="638"/>
      <c r="O3071" s="626"/>
      <c r="P3071" s="712">
        <f t="shared" si="29"/>
        <v>0</v>
      </c>
    </row>
    <row r="3072" spans="1:16" s="619" customFormat="1" ht="24" x14ac:dyDescent="0.2">
      <c r="A3072" s="626" t="s">
        <v>6091</v>
      </c>
      <c r="B3072" s="626" t="s">
        <v>1908</v>
      </c>
      <c r="C3072" s="638" t="s">
        <v>104</v>
      </c>
      <c r="D3072" s="626" t="s">
        <v>6092</v>
      </c>
      <c r="E3072" s="636">
        <v>5000</v>
      </c>
      <c r="F3072" s="637" t="s">
        <v>6895</v>
      </c>
      <c r="G3072" s="626" t="s">
        <v>6896</v>
      </c>
      <c r="H3072" s="626" t="s">
        <v>6092</v>
      </c>
      <c r="I3072" s="638" t="s">
        <v>6095</v>
      </c>
      <c r="J3072" s="625" t="s">
        <v>6096</v>
      </c>
      <c r="K3072" s="626">
        <v>1</v>
      </c>
      <c r="L3072" s="638">
        <v>5</v>
      </c>
      <c r="M3072" s="712">
        <v>25000</v>
      </c>
      <c r="N3072" s="638"/>
      <c r="O3072" s="626"/>
      <c r="P3072" s="712">
        <f t="shared" si="29"/>
        <v>0</v>
      </c>
    </row>
    <row r="3073" spans="1:16" s="619" customFormat="1" ht="36" x14ac:dyDescent="0.2">
      <c r="A3073" s="626" t="s">
        <v>6091</v>
      </c>
      <c r="B3073" s="626" t="s">
        <v>1908</v>
      </c>
      <c r="C3073" s="638" t="s">
        <v>104</v>
      </c>
      <c r="D3073" s="626" t="s">
        <v>6179</v>
      </c>
      <c r="E3073" s="636">
        <v>8000</v>
      </c>
      <c r="F3073" s="637" t="s">
        <v>6897</v>
      </c>
      <c r="G3073" s="626" t="s">
        <v>6898</v>
      </c>
      <c r="H3073" s="626" t="s">
        <v>6182</v>
      </c>
      <c r="I3073" s="638" t="s">
        <v>6095</v>
      </c>
      <c r="J3073" s="625" t="s">
        <v>6096</v>
      </c>
      <c r="K3073" s="626">
        <v>1</v>
      </c>
      <c r="L3073" s="638">
        <v>5</v>
      </c>
      <c r="M3073" s="712">
        <v>40000</v>
      </c>
      <c r="N3073" s="638"/>
      <c r="O3073" s="626"/>
      <c r="P3073" s="712">
        <f t="shared" si="29"/>
        <v>0</v>
      </c>
    </row>
    <row r="3074" spans="1:16" s="619" customFormat="1" ht="24" x14ac:dyDescent="0.2">
      <c r="A3074" s="626" t="s">
        <v>6091</v>
      </c>
      <c r="B3074" s="626" t="s">
        <v>1908</v>
      </c>
      <c r="C3074" s="638" t="s">
        <v>104</v>
      </c>
      <c r="D3074" s="626" t="s">
        <v>6179</v>
      </c>
      <c r="E3074" s="636">
        <v>8000</v>
      </c>
      <c r="F3074" s="637" t="s">
        <v>6899</v>
      </c>
      <c r="G3074" s="626" t="s">
        <v>6900</v>
      </c>
      <c r="H3074" s="626" t="s">
        <v>6182</v>
      </c>
      <c r="I3074" s="638" t="s">
        <v>6095</v>
      </c>
      <c r="J3074" s="625" t="s">
        <v>6096</v>
      </c>
      <c r="K3074" s="626">
        <v>1</v>
      </c>
      <c r="L3074" s="638">
        <v>5</v>
      </c>
      <c r="M3074" s="712">
        <v>40000</v>
      </c>
      <c r="N3074" s="638"/>
      <c r="O3074" s="626"/>
      <c r="P3074" s="712">
        <f t="shared" si="29"/>
        <v>0</v>
      </c>
    </row>
    <row r="3075" spans="1:16" s="619" customFormat="1" ht="36" x14ac:dyDescent="0.2">
      <c r="A3075" s="626" t="s">
        <v>6091</v>
      </c>
      <c r="B3075" s="626" t="s">
        <v>1908</v>
      </c>
      <c r="C3075" s="638" t="s">
        <v>104</v>
      </c>
      <c r="D3075" s="626" t="s">
        <v>6299</v>
      </c>
      <c r="E3075" s="636">
        <v>2875</v>
      </c>
      <c r="F3075" s="637" t="s">
        <v>6901</v>
      </c>
      <c r="G3075" s="626" t="s">
        <v>6902</v>
      </c>
      <c r="H3075" s="626" t="s">
        <v>6273</v>
      </c>
      <c r="I3075" s="638" t="s">
        <v>6099</v>
      </c>
      <c r="J3075" s="625" t="s">
        <v>6100</v>
      </c>
      <c r="K3075" s="626">
        <v>1</v>
      </c>
      <c r="L3075" s="638">
        <v>5</v>
      </c>
      <c r="M3075" s="712">
        <v>14375</v>
      </c>
      <c r="N3075" s="638"/>
      <c r="O3075" s="626"/>
      <c r="P3075" s="712">
        <f t="shared" si="29"/>
        <v>0</v>
      </c>
    </row>
    <row r="3076" spans="1:16" s="619" customFormat="1" ht="24" x14ac:dyDescent="0.2">
      <c r="A3076" s="626" t="s">
        <v>6091</v>
      </c>
      <c r="B3076" s="626" t="s">
        <v>1908</v>
      </c>
      <c r="C3076" s="638" t="s">
        <v>104</v>
      </c>
      <c r="D3076" s="626" t="s">
        <v>6149</v>
      </c>
      <c r="E3076" s="636">
        <v>5000</v>
      </c>
      <c r="F3076" s="637" t="s">
        <v>6903</v>
      </c>
      <c r="G3076" s="626" t="s">
        <v>6904</v>
      </c>
      <c r="H3076" s="626" t="s">
        <v>6152</v>
      </c>
      <c r="I3076" s="638" t="s">
        <v>6095</v>
      </c>
      <c r="J3076" s="625" t="s">
        <v>6096</v>
      </c>
      <c r="K3076" s="626">
        <v>1</v>
      </c>
      <c r="L3076" s="638">
        <v>8</v>
      </c>
      <c r="M3076" s="712">
        <v>40000</v>
      </c>
      <c r="N3076" s="638">
        <v>1</v>
      </c>
      <c r="O3076" s="626">
        <v>6</v>
      </c>
      <c r="P3076" s="712">
        <f t="shared" si="29"/>
        <v>30000</v>
      </c>
    </row>
    <row r="3077" spans="1:16" s="619" customFormat="1" ht="36" x14ac:dyDescent="0.2">
      <c r="A3077" s="626" t="s">
        <v>6091</v>
      </c>
      <c r="B3077" s="626" t="s">
        <v>1908</v>
      </c>
      <c r="C3077" s="638" t="s">
        <v>104</v>
      </c>
      <c r="D3077" s="626" t="s">
        <v>6092</v>
      </c>
      <c r="E3077" s="636">
        <v>6000</v>
      </c>
      <c r="F3077" s="637" t="s">
        <v>6905</v>
      </c>
      <c r="G3077" s="626" t="s">
        <v>6906</v>
      </c>
      <c r="H3077" s="626" t="s">
        <v>6092</v>
      </c>
      <c r="I3077" s="638" t="s">
        <v>6095</v>
      </c>
      <c r="J3077" s="625" t="s">
        <v>6096</v>
      </c>
      <c r="K3077" s="626">
        <v>1</v>
      </c>
      <c r="L3077" s="638">
        <v>6</v>
      </c>
      <c r="M3077" s="712">
        <v>36000</v>
      </c>
      <c r="N3077" s="638">
        <v>1</v>
      </c>
      <c r="O3077" s="626">
        <v>2</v>
      </c>
      <c r="P3077" s="712">
        <f t="shared" ref="P3077:P3140" si="30">O3077*E3077</f>
        <v>12000</v>
      </c>
    </row>
    <row r="3078" spans="1:16" s="619" customFormat="1" ht="24" x14ac:dyDescent="0.2">
      <c r="A3078" s="626" t="s">
        <v>6091</v>
      </c>
      <c r="B3078" s="626" t="s">
        <v>1908</v>
      </c>
      <c r="C3078" s="638" t="s">
        <v>104</v>
      </c>
      <c r="D3078" s="626" t="s">
        <v>6149</v>
      </c>
      <c r="E3078" s="636">
        <v>5000</v>
      </c>
      <c r="F3078" s="637" t="s">
        <v>6907</v>
      </c>
      <c r="G3078" s="626" t="s">
        <v>6908</v>
      </c>
      <c r="H3078" s="626" t="s">
        <v>6152</v>
      </c>
      <c r="I3078" s="638" t="s">
        <v>6095</v>
      </c>
      <c r="J3078" s="625" t="s">
        <v>6096</v>
      </c>
      <c r="K3078" s="626">
        <v>1</v>
      </c>
      <c r="L3078" s="638">
        <v>5</v>
      </c>
      <c r="M3078" s="712">
        <v>25000</v>
      </c>
      <c r="N3078" s="638"/>
      <c r="O3078" s="626"/>
      <c r="P3078" s="712">
        <f t="shared" si="30"/>
        <v>0</v>
      </c>
    </row>
    <row r="3079" spans="1:16" s="619" customFormat="1" ht="36" x14ac:dyDescent="0.2">
      <c r="A3079" s="626" t="s">
        <v>6091</v>
      </c>
      <c r="B3079" s="626" t="s">
        <v>1908</v>
      </c>
      <c r="C3079" s="638" t="s">
        <v>104</v>
      </c>
      <c r="D3079" s="626" t="s">
        <v>6092</v>
      </c>
      <c r="E3079" s="636">
        <v>5000</v>
      </c>
      <c r="F3079" s="637" t="s">
        <v>6909</v>
      </c>
      <c r="G3079" s="626" t="s">
        <v>6910</v>
      </c>
      <c r="H3079" s="626" t="s">
        <v>6092</v>
      </c>
      <c r="I3079" s="638" t="s">
        <v>6095</v>
      </c>
      <c r="J3079" s="625" t="s">
        <v>6096</v>
      </c>
      <c r="K3079" s="626">
        <v>1</v>
      </c>
      <c r="L3079" s="638">
        <v>7</v>
      </c>
      <c r="M3079" s="712">
        <v>35000</v>
      </c>
      <c r="N3079" s="638"/>
      <c r="O3079" s="626"/>
      <c r="P3079" s="712">
        <f t="shared" si="30"/>
        <v>0</v>
      </c>
    </row>
    <row r="3080" spans="1:16" s="619" customFormat="1" ht="24" x14ac:dyDescent="0.2">
      <c r="A3080" s="626" t="s">
        <v>6091</v>
      </c>
      <c r="B3080" s="626" t="s">
        <v>1908</v>
      </c>
      <c r="C3080" s="638" t="s">
        <v>104</v>
      </c>
      <c r="D3080" s="626" t="s">
        <v>6179</v>
      </c>
      <c r="E3080" s="636">
        <v>8000</v>
      </c>
      <c r="F3080" s="637" t="s">
        <v>6911</v>
      </c>
      <c r="G3080" s="626" t="s">
        <v>6912</v>
      </c>
      <c r="H3080" s="626" t="s">
        <v>6182</v>
      </c>
      <c r="I3080" s="638" t="s">
        <v>6095</v>
      </c>
      <c r="J3080" s="625" t="s">
        <v>6096</v>
      </c>
      <c r="K3080" s="626">
        <v>1</v>
      </c>
      <c r="L3080" s="638">
        <v>5</v>
      </c>
      <c r="M3080" s="712">
        <v>40000</v>
      </c>
      <c r="N3080" s="638"/>
      <c r="O3080" s="626"/>
      <c r="P3080" s="712">
        <f t="shared" si="30"/>
        <v>0</v>
      </c>
    </row>
    <row r="3081" spans="1:16" s="619" customFormat="1" ht="36" x14ac:dyDescent="0.2">
      <c r="A3081" s="626" t="s">
        <v>6091</v>
      </c>
      <c r="B3081" s="626" t="s">
        <v>1908</v>
      </c>
      <c r="C3081" s="638" t="s">
        <v>104</v>
      </c>
      <c r="D3081" s="626" t="s">
        <v>6299</v>
      </c>
      <c r="E3081" s="636">
        <v>2875</v>
      </c>
      <c r="F3081" s="637" t="s">
        <v>6913</v>
      </c>
      <c r="G3081" s="626" t="s">
        <v>6914</v>
      </c>
      <c r="H3081" s="626" t="s">
        <v>6273</v>
      </c>
      <c r="I3081" s="638" t="s">
        <v>6099</v>
      </c>
      <c r="J3081" s="625" t="s">
        <v>6100</v>
      </c>
      <c r="K3081" s="626">
        <v>1</v>
      </c>
      <c r="L3081" s="638">
        <v>8</v>
      </c>
      <c r="M3081" s="712">
        <v>23000</v>
      </c>
      <c r="N3081" s="638"/>
      <c r="O3081" s="626"/>
      <c r="P3081" s="712">
        <f t="shared" si="30"/>
        <v>0</v>
      </c>
    </row>
    <row r="3082" spans="1:16" s="619" customFormat="1" ht="36" x14ac:dyDescent="0.2">
      <c r="A3082" s="626" t="s">
        <v>6091</v>
      </c>
      <c r="B3082" s="626" t="s">
        <v>1908</v>
      </c>
      <c r="C3082" s="638" t="s">
        <v>104</v>
      </c>
      <c r="D3082" s="626" t="s">
        <v>6092</v>
      </c>
      <c r="E3082" s="636">
        <v>5000</v>
      </c>
      <c r="F3082" s="637" t="s">
        <v>6915</v>
      </c>
      <c r="G3082" s="626" t="s">
        <v>6916</v>
      </c>
      <c r="H3082" s="626" t="s">
        <v>6092</v>
      </c>
      <c r="I3082" s="638" t="s">
        <v>6095</v>
      </c>
      <c r="J3082" s="625" t="s">
        <v>6096</v>
      </c>
      <c r="K3082" s="626">
        <v>1</v>
      </c>
      <c r="L3082" s="638">
        <v>8</v>
      </c>
      <c r="M3082" s="712">
        <v>40000</v>
      </c>
      <c r="N3082" s="638">
        <v>1</v>
      </c>
      <c r="O3082" s="626">
        <v>3</v>
      </c>
      <c r="P3082" s="712">
        <f t="shared" si="30"/>
        <v>15000</v>
      </c>
    </row>
    <row r="3083" spans="1:16" s="619" customFormat="1" ht="24" x14ac:dyDescent="0.2">
      <c r="A3083" s="626" t="s">
        <v>6091</v>
      </c>
      <c r="B3083" s="626" t="s">
        <v>1908</v>
      </c>
      <c r="C3083" s="638" t="s">
        <v>104</v>
      </c>
      <c r="D3083" s="626" t="s">
        <v>6179</v>
      </c>
      <c r="E3083" s="636">
        <v>8000</v>
      </c>
      <c r="F3083" s="637" t="s">
        <v>6917</v>
      </c>
      <c r="G3083" s="626" t="s">
        <v>6918</v>
      </c>
      <c r="H3083" s="626" t="s">
        <v>6182</v>
      </c>
      <c r="I3083" s="638" t="s">
        <v>6095</v>
      </c>
      <c r="J3083" s="625" t="s">
        <v>6096</v>
      </c>
      <c r="K3083" s="626">
        <v>1</v>
      </c>
      <c r="L3083" s="638">
        <v>5</v>
      </c>
      <c r="M3083" s="712">
        <v>40000</v>
      </c>
      <c r="N3083" s="638"/>
      <c r="O3083" s="626"/>
      <c r="P3083" s="712">
        <f t="shared" si="30"/>
        <v>0</v>
      </c>
    </row>
    <row r="3084" spans="1:16" s="619" customFormat="1" ht="36" x14ac:dyDescent="0.2">
      <c r="A3084" s="626" t="s">
        <v>6091</v>
      </c>
      <c r="B3084" s="626" t="s">
        <v>1908</v>
      </c>
      <c r="C3084" s="638" t="s">
        <v>104</v>
      </c>
      <c r="D3084" s="626" t="s">
        <v>6092</v>
      </c>
      <c r="E3084" s="636">
        <v>5000</v>
      </c>
      <c r="F3084" s="637" t="s">
        <v>6919</v>
      </c>
      <c r="G3084" s="626" t="s">
        <v>6920</v>
      </c>
      <c r="H3084" s="626" t="s">
        <v>6092</v>
      </c>
      <c r="I3084" s="638" t="s">
        <v>6095</v>
      </c>
      <c r="J3084" s="625" t="s">
        <v>6096</v>
      </c>
      <c r="K3084" s="626">
        <v>1</v>
      </c>
      <c r="L3084" s="638">
        <v>8</v>
      </c>
      <c r="M3084" s="712">
        <v>40000</v>
      </c>
      <c r="N3084" s="638">
        <v>1</v>
      </c>
      <c r="O3084" s="626">
        <v>2</v>
      </c>
      <c r="P3084" s="712">
        <f t="shared" si="30"/>
        <v>10000</v>
      </c>
    </row>
    <row r="3085" spans="1:16" s="619" customFormat="1" ht="24" x14ac:dyDescent="0.2">
      <c r="A3085" s="626" t="s">
        <v>6091</v>
      </c>
      <c r="B3085" s="626" t="s">
        <v>1908</v>
      </c>
      <c r="C3085" s="638" t="s">
        <v>104</v>
      </c>
      <c r="D3085" s="626" t="s">
        <v>6179</v>
      </c>
      <c r="E3085" s="636">
        <v>8000</v>
      </c>
      <c r="F3085" s="637" t="s">
        <v>6921</v>
      </c>
      <c r="G3085" s="626" t="s">
        <v>6922</v>
      </c>
      <c r="H3085" s="626" t="s">
        <v>6182</v>
      </c>
      <c r="I3085" s="638" t="s">
        <v>6095</v>
      </c>
      <c r="J3085" s="625" t="s">
        <v>6096</v>
      </c>
      <c r="K3085" s="626">
        <v>1</v>
      </c>
      <c r="L3085" s="638">
        <v>4</v>
      </c>
      <c r="M3085" s="712">
        <v>32000</v>
      </c>
      <c r="N3085" s="638"/>
      <c r="O3085" s="626"/>
      <c r="P3085" s="712">
        <f t="shared" si="30"/>
        <v>0</v>
      </c>
    </row>
    <row r="3086" spans="1:16" s="619" customFormat="1" ht="48" x14ac:dyDescent="0.2">
      <c r="A3086" s="626" t="s">
        <v>6091</v>
      </c>
      <c r="B3086" s="626" t="s">
        <v>1908</v>
      </c>
      <c r="C3086" s="638" t="s">
        <v>104</v>
      </c>
      <c r="D3086" s="626" t="s">
        <v>6179</v>
      </c>
      <c r="E3086" s="636">
        <v>8000</v>
      </c>
      <c r="F3086" s="637" t="s">
        <v>6923</v>
      </c>
      <c r="G3086" s="626" t="s">
        <v>6924</v>
      </c>
      <c r="H3086" s="626" t="s">
        <v>6182</v>
      </c>
      <c r="I3086" s="638" t="s">
        <v>6095</v>
      </c>
      <c r="J3086" s="625" t="s">
        <v>6096</v>
      </c>
      <c r="K3086" s="626">
        <v>1</v>
      </c>
      <c r="L3086" s="638">
        <v>8</v>
      </c>
      <c r="M3086" s="712">
        <v>64000</v>
      </c>
      <c r="N3086" s="638">
        <v>1</v>
      </c>
      <c r="O3086" s="626">
        <v>6</v>
      </c>
      <c r="P3086" s="712">
        <f t="shared" si="30"/>
        <v>48000</v>
      </c>
    </row>
    <row r="3087" spans="1:16" s="619" customFormat="1" ht="36" x14ac:dyDescent="0.2">
      <c r="A3087" s="626" t="s">
        <v>6091</v>
      </c>
      <c r="B3087" s="626" t="s">
        <v>1908</v>
      </c>
      <c r="C3087" s="638" t="s">
        <v>104</v>
      </c>
      <c r="D3087" s="626" t="s">
        <v>6092</v>
      </c>
      <c r="E3087" s="636">
        <v>5000</v>
      </c>
      <c r="F3087" s="637" t="s">
        <v>6925</v>
      </c>
      <c r="G3087" s="626" t="s">
        <v>6926</v>
      </c>
      <c r="H3087" s="626" t="s">
        <v>6092</v>
      </c>
      <c r="I3087" s="638" t="s">
        <v>6095</v>
      </c>
      <c r="J3087" s="625" t="s">
        <v>6096</v>
      </c>
      <c r="K3087" s="626">
        <v>1</v>
      </c>
      <c r="L3087" s="638">
        <v>7</v>
      </c>
      <c r="M3087" s="712">
        <v>35000</v>
      </c>
      <c r="N3087" s="638"/>
      <c r="O3087" s="626"/>
      <c r="P3087" s="712">
        <f t="shared" si="30"/>
        <v>0</v>
      </c>
    </row>
    <row r="3088" spans="1:16" s="619" customFormat="1" ht="36" x14ac:dyDescent="0.2">
      <c r="A3088" s="626" t="s">
        <v>6091</v>
      </c>
      <c r="B3088" s="626" t="s">
        <v>1908</v>
      </c>
      <c r="C3088" s="638" t="s">
        <v>104</v>
      </c>
      <c r="D3088" s="626" t="s">
        <v>6179</v>
      </c>
      <c r="E3088" s="636">
        <v>8000</v>
      </c>
      <c r="F3088" s="637" t="s">
        <v>6927</v>
      </c>
      <c r="G3088" s="626" t="s">
        <v>6928</v>
      </c>
      <c r="H3088" s="626" t="s">
        <v>6182</v>
      </c>
      <c r="I3088" s="638" t="s">
        <v>6095</v>
      </c>
      <c r="J3088" s="625" t="s">
        <v>6096</v>
      </c>
      <c r="K3088" s="626">
        <v>1</v>
      </c>
      <c r="L3088" s="638">
        <v>6</v>
      </c>
      <c r="M3088" s="712">
        <v>48000</v>
      </c>
      <c r="N3088" s="638"/>
      <c r="O3088" s="626"/>
      <c r="P3088" s="712">
        <f t="shared" si="30"/>
        <v>0</v>
      </c>
    </row>
    <row r="3089" spans="1:16" s="619" customFormat="1" ht="36" x14ac:dyDescent="0.2">
      <c r="A3089" s="626" t="s">
        <v>6091</v>
      </c>
      <c r="B3089" s="626" t="s">
        <v>1908</v>
      </c>
      <c r="C3089" s="638" t="s">
        <v>104</v>
      </c>
      <c r="D3089" s="626" t="s">
        <v>6179</v>
      </c>
      <c r="E3089" s="636">
        <v>8000</v>
      </c>
      <c r="F3089" s="637" t="s">
        <v>6929</v>
      </c>
      <c r="G3089" s="626" t="s">
        <v>6930</v>
      </c>
      <c r="H3089" s="626" t="s">
        <v>6182</v>
      </c>
      <c r="I3089" s="638" t="s">
        <v>6095</v>
      </c>
      <c r="J3089" s="625" t="s">
        <v>6096</v>
      </c>
      <c r="K3089" s="626">
        <v>1</v>
      </c>
      <c r="L3089" s="638">
        <v>6</v>
      </c>
      <c r="M3089" s="712">
        <v>48000</v>
      </c>
      <c r="N3089" s="638">
        <v>1</v>
      </c>
      <c r="O3089" s="626">
        <v>6</v>
      </c>
      <c r="P3089" s="712">
        <f t="shared" si="30"/>
        <v>48000</v>
      </c>
    </row>
    <row r="3090" spans="1:16" s="619" customFormat="1" ht="36" x14ac:dyDescent="0.2">
      <c r="A3090" s="626" t="s">
        <v>6091</v>
      </c>
      <c r="B3090" s="626" t="s">
        <v>1908</v>
      </c>
      <c r="C3090" s="638" t="s">
        <v>104</v>
      </c>
      <c r="D3090" s="626" t="s">
        <v>6092</v>
      </c>
      <c r="E3090" s="636">
        <v>5000</v>
      </c>
      <c r="F3090" s="637" t="s">
        <v>6931</v>
      </c>
      <c r="G3090" s="626" t="s">
        <v>6932</v>
      </c>
      <c r="H3090" s="626" t="s">
        <v>6092</v>
      </c>
      <c r="I3090" s="638" t="s">
        <v>6095</v>
      </c>
      <c r="J3090" s="625" t="s">
        <v>6096</v>
      </c>
      <c r="K3090" s="626">
        <v>1</v>
      </c>
      <c r="L3090" s="638">
        <v>5</v>
      </c>
      <c r="M3090" s="712">
        <v>25000</v>
      </c>
      <c r="N3090" s="638"/>
      <c r="O3090" s="626"/>
      <c r="P3090" s="712">
        <f t="shared" si="30"/>
        <v>0</v>
      </c>
    </row>
    <row r="3091" spans="1:16" s="619" customFormat="1" ht="60" x14ac:dyDescent="0.2">
      <c r="A3091" s="626" t="s">
        <v>6091</v>
      </c>
      <c r="B3091" s="626" t="s">
        <v>1908</v>
      </c>
      <c r="C3091" s="638" t="s">
        <v>104</v>
      </c>
      <c r="D3091" s="626" t="s">
        <v>6092</v>
      </c>
      <c r="E3091" s="636">
        <v>5000</v>
      </c>
      <c r="F3091" s="637" t="s">
        <v>6933</v>
      </c>
      <c r="G3091" s="626" t="s">
        <v>6934</v>
      </c>
      <c r="H3091" s="626" t="s">
        <v>6092</v>
      </c>
      <c r="I3091" s="638" t="s">
        <v>6095</v>
      </c>
      <c r="J3091" s="625" t="s">
        <v>6096</v>
      </c>
      <c r="K3091" s="626">
        <v>1</v>
      </c>
      <c r="L3091" s="638">
        <v>6</v>
      </c>
      <c r="M3091" s="712">
        <v>30000</v>
      </c>
      <c r="N3091" s="638"/>
      <c r="O3091" s="626"/>
      <c r="P3091" s="712">
        <f t="shared" si="30"/>
        <v>0</v>
      </c>
    </row>
    <row r="3092" spans="1:16" s="619" customFormat="1" ht="36" x14ac:dyDescent="0.2">
      <c r="A3092" s="626" t="s">
        <v>6091</v>
      </c>
      <c r="B3092" s="626" t="s">
        <v>1908</v>
      </c>
      <c r="C3092" s="638" t="s">
        <v>104</v>
      </c>
      <c r="D3092" s="626" t="s">
        <v>6092</v>
      </c>
      <c r="E3092" s="636">
        <v>6000</v>
      </c>
      <c r="F3092" s="637" t="s">
        <v>6935</v>
      </c>
      <c r="G3092" s="626" t="s">
        <v>6936</v>
      </c>
      <c r="H3092" s="626" t="s">
        <v>6092</v>
      </c>
      <c r="I3092" s="638" t="s">
        <v>6095</v>
      </c>
      <c r="J3092" s="625" t="s">
        <v>6096</v>
      </c>
      <c r="K3092" s="626">
        <v>1</v>
      </c>
      <c r="L3092" s="638">
        <v>4</v>
      </c>
      <c r="M3092" s="712">
        <v>24000</v>
      </c>
      <c r="N3092" s="638">
        <v>1</v>
      </c>
      <c r="O3092" s="626">
        <v>6</v>
      </c>
      <c r="P3092" s="712">
        <f t="shared" si="30"/>
        <v>36000</v>
      </c>
    </row>
    <row r="3093" spans="1:16" s="619" customFormat="1" ht="24" x14ac:dyDescent="0.2">
      <c r="A3093" s="626" t="s">
        <v>6091</v>
      </c>
      <c r="B3093" s="626" t="s">
        <v>1908</v>
      </c>
      <c r="C3093" s="638" t="s">
        <v>104</v>
      </c>
      <c r="D3093" s="626" t="s">
        <v>6092</v>
      </c>
      <c r="E3093" s="636">
        <v>5000</v>
      </c>
      <c r="F3093" s="637" t="s">
        <v>6937</v>
      </c>
      <c r="G3093" s="626" t="s">
        <v>6938</v>
      </c>
      <c r="H3093" s="626" t="s">
        <v>6092</v>
      </c>
      <c r="I3093" s="638" t="s">
        <v>6095</v>
      </c>
      <c r="J3093" s="625" t="s">
        <v>6096</v>
      </c>
      <c r="K3093" s="626">
        <v>1</v>
      </c>
      <c r="L3093" s="638">
        <v>6</v>
      </c>
      <c r="M3093" s="712">
        <v>30000</v>
      </c>
      <c r="N3093" s="638">
        <v>1</v>
      </c>
      <c r="O3093" s="626">
        <v>2</v>
      </c>
      <c r="P3093" s="712">
        <f t="shared" si="30"/>
        <v>10000</v>
      </c>
    </row>
    <row r="3094" spans="1:16" s="619" customFormat="1" ht="24" x14ac:dyDescent="0.2">
      <c r="A3094" s="626" t="s">
        <v>6091</v>
      </c>
      <c r="B3094" s="626" t="s">
        <v>1908</v>
      </c>
      <c r="C3094" s="638" t="s">
        <v>104</v>
      </c>
      <c r="D3094" s="626" t="s">
        <v>6092</v>
      </c>
      <c r="E3094" s="636">
        <v>5000</v>
      </c>
      <c r="F3094" s="637" t="s">
        <v>6939</v>
      </c>
      <c r="G3094" s="626" t="s">
        <v>6940</v>
      </c>
      <c r="H3094" s="626" t="s">
        <v>6092</v>
      </c>
      <c r="I3094" s="638" t="s">
        <v>6095</v>
      </c>
      <c r="J3094" s="625" t="s">
        <v>6096</v>
      </c>
      <c r="K3094" s="626">
        <v>1</v>
      </c>
      <c r="L3094" s="638">
        <v>6</v>
      </c>
      <c r="M3094" s="712">
        <v>30000</v>
      </c>
      <c r="N3094" s="638">
        <v>1</v>
      </c>
      <c r="O3094" s="626">
        <v>6</v>
      </c>
      <c r="P3094" s="712">
        <f t="shared" si="30"/>
        <v>30000</v>
      </c>
    </row>
    <row r="3095" spans="1:16" s="619" customFormat="1" ht="36" x14ac:dyDescent="0.2">
      <c r="A3095" s="626" t="s">
        <v>6091</v>
      </c>
      <c r="B3095" s="626" t="s">
        <v>1908</v>
      </c>
      <c r="C3095" s="638" t="s">
        <v>104</v>
      </c>
      <c r="D3095" s="626" t="s">
        <v>6092</v>
      </c>
      <c r="E3095" s="636">
        <v>5000</v>
      </c>
      <c r="F3095" s="637" t="s">
        <v>6941</v>
      </c>
      <c r="G3095" s="626" t="s">
        <v>6942</v>
      </c>
      <c r="H3095" s="626" t="s">
        <v>6092</v>
      </c>
      <c r="I3095" s="638" t="s">
        <v>6095</v>
      </c>
      <c r="J3095" s="625" t="s">
        <v>6096</v>
      </c>
      <c r="K3095" s="626">
        <v>1</v>
      </c>
      <c r="L3095" s="638">
        <v>6</v>
      </c>
      <c r="M3095" s="712">
        <v>30000</v>
      </c>
      <c r="N3095" s="638"/>
      <c r="O3095" s="626"/>
      <c r="P3095" s="712">
        <f t="shared" si="30"/>
        <v>0</v>
      </c>
    </row>
    <row r="3096" spans="1:16" s="619" customFormat="1" ht="36" x14ac:dyDescent="0.2">
      <c r="A3096" s="626" t="s">
        <v>6091</v>
      </c>
      <c r="B3096" s="626" t="s">
        <v>1908</v>
      </c>
      <c r="C3096" s="638" t="s">
        <v>104</v>
      </c>
      <c r="D3096" s="626" t="s">
        <v>6092</v>
      </c>
      <c r="E3096" s="636">
        <v>5000</v>
      </c>
      <c r="F3096" s="637" t="s">
        <v>6943</v>
      </c>
      <c r="G3096" s="626" t="s">
        <v>6944</v>
      </c>
      <c r="H3096" s="626" t="s">
        <v>6092</v>
      </c>
      <c r="I3096" s="638" t="s">
        <v>6095</v>
      </c>
      <c r="J3096" s="625" t="s">
        <v>6096</v>
      </c>
      <c r="K3096" s="626">
        <v>1</v>
      </c>
      <c r="L3096" s="638">
        <v>6</v>
      </c>
      <c r="M3096" s="712">
        <v>30000</v>
      </c>
      <c r="N3096" s="638">
        <v>1</v>
      </c>
      <c r="O3096" s="626">
        <v>1</v>
      </c>
      <c r="P3096" s="712">
        <f t="shared" si="30"/>
        <v>5000</v>
      </c>
    </row>
    <row r="3097" spans="1:16" s="619" customFormat="1" ht="36" x14ac:dyDescent="0.2">
      <c r="A3097" s="626" t="s">
        <v>6091</v>
      </c>
      <c r="B3097" s="626" t="s">
        <v>1908</v>
      </c>
      <c r="C3097" s="638" t="s">
        <v>104</v>
      </c>
      <c r="D3097" s="626" t="s">
        <v>6092</v>
      </c>
      <c r="E3097" s="636">
        <v>5000</v>
      </c>
      <c r="F3097" s="637" t="s">
        <v>6945</v>
      </c>
      <c r="G3097" s="626" t="s">
        <v>6946</v>
      </c>
      <c r="H3097" s="626" t="s">
        <v>6092</v>
      </c>
      <c r="I3097" s="638" t="s">
        <v>6095</v>
      </c>
      <c r="J3097" s="625" t="s">
        <v>6096</v>
      </c>
      <c r="K3097" s="626">
        <v>1</v>
      </c>
      <c r="L3097" s="638">
        <v>6</v>
      </c>
      <c r="M3097" s="712">
        <v>30000</v>
      </c>
      <c r="N3097" s="638"/>
      <c r="O3097" s="626"/>
      <c r="P3097" s="712">
        <f t="shared" si="30"/>
        <v>0</v>
      </c>
    </row>
    <row r="3098" spans="1:16" s="619" customFormat="1" ht="48" x14ac:dyDescent="0.2">
      <c r="A3098" s="626" t="s">
        <v>6091</v>
      </c>
      <c r="B3098" s="626" t="s">
        <v>1908</v>
      </c>
      <c r="C3098" s="638" t="s">
        <v>104</v>
      </c>
      <c r="D3098" s="626" t="s">
        <v>6179</v>
      </c>
      <c r="E3098" s="636">
        <v>8000</v>
      </c>
      <c r="F3098" s="637" t="s">
        <v>6947</v>
      </c>
      <c r="G3098" s="626" t="s">
        <v>6948</v>
      </c>
      <c r="H3098" s="626" t="s">
        <v>6182</v>
      </c>
      <c r="I3098" s="638" t="s">
        <v>6095</v>
      </c>
      <c r="J3098" s="625" t="s">
        <v>6096</v>
      </c>
      <c r="K3098" s="626">
        <v>1</v>
      </c>
      <c r="L3098" s="638">
        <v>6</v>
      </c>
      <c r="M3098" s="712">
        <v>48000</v>
      </c>
      <c r="N3098" s="638"/>
      <c r="O3098" s="626"/>
      <c r="P3098" s="712">
        <f t="shared" si="30"/>
        <v>0</v>
      </c>
    </row>
    <row r="3099" spans="1:16" s="619" customFormat="1" ht="24" x14ac:dyDescent="0.2">
      <c r="A3099" s="626" t="s">
        <v>6091</v>
      </c>
      <c r="B3099" s="626" t="s">
        <v>1908</v>
      </c>
      <c r="C3099" s="638" t="s">
        <v>104</v>
      </c>
      <c r="D3099" s="626" t="s">
        <v>6092</v>
      </c>
      <c r="E3099" s="636">
        <v>5000</v>
      </c>
      <c r="F3099" s="637" t="s">
        <v>6949</v>
      </c>
      <c r="G3099" s="626" t="s">
        <v>6950</v>
      </c>
      <c r="H3099" s="626" t="s">
        <v>6092</v>
      </c>
      <c r="I3099" s="638" t="s">
        <v>6095</v>
      </c>
      <c r="J3099" s="625" t="s">
        <v>6096</v>
      </c>
      <c r="K3099" s="626">
        <v>1</v>
      </c>
      <c r="L3099" s="638">
        <v>6</v>
      </c>
      <c r="M3099" s="712">
        <v>30000</v>
      </c>
      <c r="N3099" s="638"/>
      <c r="O3099" s="626"/>
      <c r="P3099" s="712">
        <f t="shared" si="30"/>
        <v>0</v>
      </c>
    </row>
    <row r="3100" spans="1:16" s="619" customFormat="1" ht="36" x14ac:dyDescent="0.2">
      <c r="A3100" s="626" t="s">
        <v>6091</v>
      </c>
      <c r="B3100" s="626" t="s">
        <v>1908</v>
      </c>
      <c r="C3100" s="638" t="s">
        <v>104</v>
      </c>
      <c r="D3100" s="626" t="s">
        <v>6092</v>
      </c>
      <c r="E3100" s="636">
        <v>5000</v>
      </c>
      <c r="F3100" s="637" t="s">
        <v>6951</v>
      </c>
      <c r="G3100" s="626" t="s">
        <v>6952</v>
      </c>
      <c r="H3100" s="626" t="s">
        <v>6092</v>
      </c>
      <c r="I3100" s="638" t="s">
        <v>6095</v>
      </c>
      <c r="J3100" s="625" t="s">
        <v>6096</v>
      </c>
      <c r="K3100" s="626">
        <v>1</v>
      </c>
      <c r="L3100" s="638">
        <v>6</v>
      </c>
      <c r="M3100" s="712">
        <v>30000</v>
      </c>
      <c r="N3100" s="638">
        <v>1</v>
      </c>
      <c r="O3100" s="626">
        <v>2</v>
      </c>
      <c r="P3100" s="712">
        <f t="shared" si="30"/>
        <v>10000</v>
      </c>
    </row>
    <row r="3101" spans="1:16" s="619" customFormat="1" ht="48" x14ac:dyDescent="0.2">
      <c r="A3101" s="626" t="s">
        <v>6091</v>
      </c>
      <c r="B3101" s="626" t="s">
        <v>1908</v>
      </c>
      <c r="C3101" s="638" t="s">
        <v>104</v>
      </c>
      <c r="D3101" s="626" t="s">
        <v>6092</v>
      </c>
      <c r="E3101" s="636">
        <v>5000</v>
      </c>
      <c r="F3101" s="637" t="s">
        <v>6953</v>
      </c>
      <c r="G3101" s="626" t="s">
        <v>6954</v>
      </c>
      <c r="H3101" s="626" t="s">
        <v>6092</v>
      </c>
      <c r="I3101" s="638" t="s">
        <v>6095</v>
      </c>
      <c r="J3101" s="625" t="s">
        <v>6096</v>
      </c>
      <c r="K3101" s="626">
        <v>1</v>
      </c>
      <c r="L3101" s="638">
        <v>5</v>
      </c>
      <c r="M3101" s="712">
        <v>25000</v>
      </c>
      <c r="N3101" s="638"/>
      <c r="O3101" s="626"/>
      <c r="P3101" s="712">
        <f t="shared" si="30"/>
        <v>0</v>
      </c>
    </row>
    <row r="3102" spans="1:16" s="619" customFormat="1" ht="24" x14ac:dyDescent="0.2">
      <c r="A3102" s="626" t="s">
        <v>6091</v>
      </c>
      <c r="B3102" s="626" t="s">
        <v>1908</v>
      </c>
      <c r="C3102" s="638" t="s">
        <v>104</v>
      </c>
      <c r="D3102" s="626" t="s">
        <v>6092</v>
      </c>
      <c r="E3102" s="636">
        <v>5000</v>
      </c>
      <c r="F3102" s="637" t="s">
        <v>6955</v>
      </c>
      <c r="G3102" s="626" t="s">
        <v>6956</v>
      </c>
      <c r="H3102" s="626" t="s">
        <v>6092</v>
      </c>
      <c r="I3102" s="638" t="s">
        <v>6095</v>
      </c>
      <c r="J3102" s="625" t="s">
        <v>6096</v>
      </c>
      <c r="K3102" s="626">
        <v>1</v>
      </c>
      <c r="L3102" s="638">
        <v>6</v>
      </c>
      <c r="M3102" s="712">
        <v>30000</v>
      </c>
      <c r="N3102" s="638"/>
      <c r="O3102" s="626"/>
      <c r="P3102" s="712">
        <f t="shared" si="30"/>
        <v>0</v>
      </c>
    </row>
    <row r="3103" spans="1:16" s="619" customFormat="1" ht="36" x14ac:dyDescent="0.2">
      <c r="A3103" s="626" t="s">
        <v>6091</v>
      </c>
      <c r="B3103" s="626" t="s">
        <v>1908</v>
      </c>
      <c r="C3103" s="638" t="s">
        <v>104</v>
      </c>
      <c r="D3103" s="626" t="s">
        <v>6179</v>
      </c>
      <c r="E3103" s="636">
        <v>8000</v>
      </c>
      <c r="F3103" s="637" t="s">
        <v>6957</v>
      </c>
      <c r="G3103" s="626" t="s">
        <v>6958</v>
      </c>
      <c r="H3103" s="626" t="s">
        <v>6182</v>
      </c>
      <c r="I3103" s="638" t="s">
        <v>6095</v>
      </c>
      <c r="J3103" s="625" t="s">
        <v>6096</v>
      </c>
      <c r="K3103" s="626">
        <v>1</v>
      </c>
      <c r="L3103" s="638">
        <v>6</v>
      </c>
      <c r="M3103" s="712">
        <v>48000</v>
      </c>
      <c r="N3103" s="638"/>
      <c r="O3103" s="626"/>
      <c r="P3103" s="712">
        <f t="shared" si="30"/>
        <v>0</v>
      </c>
    </row>
    <row r="3104" spans="1:16" s="619" customFormat="1" ht="48" x14ac:dyDescent="0.2">
      <c r="A3104" s="626" t="s">
        <v>6091</v>
      </c>
      <c r="B3104" s="626" t="s">
        <v>1908</v>
      </c>
      <c r="C3104" s="638" t="s">
        <v>104</v>
      </c>
      <c r="D3104" s="626" t="s">
        <v>6179</v>
      </c>
      <c r="E3104" s="636">
        <v>8000</v>
      </c>
      <c r="F3104" s="637" t="s">
        <v>6959</v>
      </c>
      <c r="G3104" s="626" t="s">
        <v>6960</v>
      </c>
      <c r="H3104" s="626" t="s">
        <v>6182</v>
      </c>
      <c r="I3104" s="638" t="s">
        <v>6095</v>
      </c>
      <c r="J3104" s="625" t="s">
        <v>6096</v>
      </c>
      <c r="K3104" s="626">
        <v>1</v>
      </c>
      <c r="L3104" s="638">
        <v>4</v>
      </c>
      <c r="M3104" s="712">
        <v>32000</v>
      </c>
      <c r="N3104" s="638"/>
      <c r="O3104" s="626"/>
      <c r="P3104" s="712">
        <f t="shared" si="30"/>
        <v>0</v>
      </c>
    </row>
    <row r="3105" spans="1:16" s="619" customFormat="1" ht="36" x14ac:dyDescent="0.2">
      <c r="A3105" s="626" t="s">
        <v>6091</v>
      </c>
      <c r="B3105" s="626" t="s">
        <v>1908</v>
      </c>
      <c r="C3105" s="638" t="s">
        <v>104</v>
      </c>
      <c r="D3105" s="626" t="s">
        <v>2660</v>
      </c>
      <c r="E3105" s="636">
        <v>2875</v>
      </c>
      <c r="F3105" s="637" t="s">
        <v>6961</v>
      </c>
      <c r="G3105" s="626" t="s">
        <v>6962</v>
      </c>
      <c r="H3105" s="626" t="s">
        <v>2660</v>
      </c>
      <c r="I3105" s="638" t="s">
        <v>6099</v>
      </c>
      <c r="J3105" s="625" t="s">
        <v>6100</v>
      </c>
      <c r="K3105" s="626">
        <v>1</v>
      </c>
      <c r="L3105" s="638">
        <v>6</v>
      </c>
      <c r="M3105" s="712">
        <v>17250</v>
      </c>
      <c r="N3105" s="638"/>
      <c r="O3105" s="626"/>
      <c r="P3105" s="712">
        <f t="shared" si="30"/>
        <v>0</v>
      </c>
    </row>
    <row r="3106" spans="1:16" s="619" customFormat="1" ht="36" x14ac:dyDescent="0.2">
      <c r="A3106" s="626" t="s">
        <v>6091</v>
      </c>
      <c r="B3106" s="626" t="s">
        <v>1908</v>
      </c>
      <c r="C3106" s="638" t="s">
        <v>104</v>
      </c>
      <c r="D3106" s="626" t="s">
        <v>6179</v>
      </c>
      <c r="E3106" s="636">
        <v>8000</v>
      </c>
      <c r="F3106" s="637" t="s">
        <v>6963</v>
      </c>
      <c r="G3106" s="626" t="s">
        <v>6964</v>
      </c>
      <c r="H3106" s="626" t="s">
        <v>6182</v>
      </c>
      <c r="I3106" s="638" t="s">
        <v>6095</v>
      </c>
      <c r="J3106" s="625" t="s">
        <v>6096</v>
      </c>
      <c r="K3106" s="626">
        <v>1</v>
      </c>
      <c r="L3106" s="638">
        <v>6</v>
      </c>
      <c r="M3106" s="712">
        <v>48000</v>
      </c>
      <c r="N3106" s="638">
        <v>1</v>
      </c>
      <c r="O3106" s="626">
        <v>6</v>
      </c>
      <c r="P3106" s="712">
        <f t="shared" si="30"/>
        <v>48000</v>
      </c>
    </row>
    <row r="3107" spans="1:16" s="619" customFormat="1" ht="48" x14ac:dyDescent="0.2">
      <c r="A3107" s="626" t="s">
        <v>6091</v>
      </c>
      <c r="B3107" s="626" t="s">
        <v>1908</v>
      </c>
      <c r="C3107" s="638" t="s">
        <v>104</v>
      </c>
      <c r="D3107" s="626" t="s">
        <v>6179</v>
      </c>
      <c r="E3107" s="636">
        <v>8000</v>
      </c>
      <c r="F3107" s="637" t="s">
        <v>6965</v>
      </c>
      <c r="G3107" s="626" t="s">
        <v>6966</v>
      </c>
      <c r="H3107" s="626" t="s">
        <v>6182</v>
      </c>
      <c r="I3107" s="638" t="s">
        <v>6095</v>
      </c>
      <c r="J3107" s="625" t="s">
        <v>6096</v>
      </c>
      <c r="K3107" s="626">
        <v>1</v>
      </c>
      <c r="L3107" s="638">
        <v>5</v>
      </c>
      <c r="M3107" s="712">
        <v>40000</v>
      </c>
      <c r="N3107" s="638"/>
      <c r="O3107" s="626"/>
      <c r="P3107" s="712">
        <f t="shared" si="30"/>
        <v>0</v>
      </c>
    </row>
    <row r="3108" spans="1:16" s="619" customFormat="1" ht="36" x14ac:dyDescent="0.2">
      <c r="A3108" s="626" t="s">
        <v>6091</v>
      </c>
      <c r="B3108" s="626" t="s">
        <v>1908</v>
      </c>
      <c r="C3108" s="638" t="s">
        <v>104</v>
      </c>
      <c r="D3108" s="626" t="s">
        <v>2660</v>
      </c>
      <c r="E3108" s="636">
        <v>2875</v>
      </c>
      <c r="F3108" s="637" t="s">
        <v>6967</v>
      </c>
      <c r="G3108" s="626" t="s">
        <v>6968</v>
      </c>
      <c r="H3108" s="626" t="s">
        <v>2660</v>
      </c>
      <c r="I3108" s="638" t="s">
        <v>6099</v>
      </c>
      <c r="J3108" s="625" t="s">
        <v>6100</v>
      </c>
      <c r="K3108" s="626">
        <v>1</v>
      </c>
      <c r="L3108" s="638">
        <v>5</v>
      </c>
      <c r="M3108" s="712">
        <v>14375</v>
      </c>
      <c r="N3108" s="638"/>
      <c r="O3108" s="626"/>
      <c r="P3108" s="712">
        <f t="shared" si="30"/>
        <v>0</v>
      </c>
    </row>
    <row r="3109" spans="1:16" s="619" customFormat="1" ht="36" x14ac:dyDescent="0.2">
      <c r="A3109" s="626" t="s">
        <v>6091</v>
      </c>
      <c r="B3109" s="626" t="s">
        <v>1908</v>
      </c>
      <c r="C3109" s="638" t="s">
        <v>104</v>
      </c>
      <c r="D3109" s="626" t="s">
        <v>2660</v>
      </c>
      <c r="E3109" s="636">
        <v>2875</v>
      </c>
      <c r="F3109" s="637" t="s">
        <v>6969</v>
      </c>
      <c r="G3109" s="626" t="s">
        <v>6970</v>
      </c>
      <c r="H3109" s="626" t="s">
        <v>2660</v>
      </c>
      <c r="I3109" s="638" t="s">
        <v>6099</v>
      </c>
      <c r="J3109" s="625" t="s">
        <v>6100</v>
      </c>
      <c r="K3109" s="626">
        <v>1</v>
      </c>
      <c r="L3109" s="638">
        <v>6</v>
      </c>
      <c r="M3109" s="712">
        <v>17250</v>
      </c>
      <c r="N3109" s="638"/>
      <c r="O3109" s="626"/>
      <c r="P3109" s="712">
        <f t="shared" si="30"/>
        <v>0</v>
      </c>
    </row>
    <row r="3110" spans="1:16" s="619" customFormat="1" ht="48" x14ac:dyDescent="0.2">
      <c r="A3110" s="626" t="s">
        <v>6091</v>
      </c>
      <c r="B3110" s="626" t="s">
        <v>1908</v>
      </c>
      <c r="C3110" s="638" t="s">
        <v>104</v>
      </c>
      <c r="D3110" s="626" t="s">
        <v>6876</v>
      </c>
      <c r="E3110" s="636">
        <v>3000</v>
      </c>
      <c r="F3110" s="637" t="s">
        <v>6971</v>
      </c>
      <c r="G3110" s="626" t="s">
        <v>6972</v>
      </c>
      <c r="H3110" s="626"/>
      <c r="I3110" s="638" t="s">
        <v>1919</v>
      </c>
      <c r="J3110" s="625" t="s">
        <v>6128</v>
      </c>
      <c r="K3110" s="626">
        <v>1</v>
      </c>
      <c r="L3110" s="638">
        <v>6</v>
      </c>
      <c r="M3110" s="712">
        <v>18000</v>
      </c>
      <c r="N3110" s="638"/>
      <c r="O3110" s="626"/>
      <c r="P3110" s="712">
        <f t="shared" si="30"/>
        <v>0</v>
      </c>
    </row>
    <row r="3111" spans="1:16" s="619" customFormat="1" ht="36" x14ac:dyDescent="0.2">
      <c r="A3111" s="626" t="s">
        <v>6091</v>
      </c>
      <c r="B3111" s="626" t="s">
        <v>1908</v>
      </c>
      <c r="C3111" s="638" t="s">
        <v>104</v>
      </c>
      <c r="D3111" s="626" t="s">
        <v>6092</v>
      </c>
      <c r="E3111" s="636">
        <v>5000</v>
      </c>
      <c r="F3111" s="637" t="s">
        <v>6973</v>
      </c>
      <c r="G3111" s="626" t="s">
        <v>6974</v>
      </c>
      <c r="H3111" s="626" t="s">
        <v>6092</v>
      </c>
      <c r="I3111" s="638" t="s">
        <v>6095</v>
      </c>
      <c r="J3111" s="625" t="s">
        <v>6096</v>
      </c>
      <c r="K3111" s="626">
        <v>1</v>
      </c>
      <c r="L3111" s="638">
        <v>6</v>
      </c>
      <c r="M3111" s="712">
        <v>30000</v>
      </c>
      <c r="N3111" s="638"/>
      <c r="O3111" s="626"/>
      <c r="P3111" s="712">
        <f t="shared" si="30"/>
        <v>0</v>
      </c>
    </row>
    <row r="3112" spans="1:16" s="619" customFormat="1" ht="36" x14ac:dyDescent="0.2">
      <c r="A3112" s="626" t="s">
        <v>6091</v>
      </c>
      <c r="B3112" s="626" t="s">
        <v>1908</v>
      </c>
      <c r="C3112" s="638" t="s">
        <v>104</v>
      </c>
      <c r="D3112" s="626" t="s">
        <v>6299</v>
      </c>
      <c r="E3112" s="636">
        <v>2875</v>
      </c>
      <c r="F3112" s="637" t="s">
        <v>6975</v>
      </c>
      <c r="G3112" s="626" t="s">
        <v>6976</v>
      </c>
      <c r="H3112" s="626" t="s">
        <v>6273</v>
      </c>
      <c r="I3112" s="638" t="s">
        <v>6099</v>
      </c>
      <c r="J3112" s="625" t="s">
        <v>6100</v>
      </c>
      <c r="K3112" s="626">
        <v>1</v>
      </c>
      <c r="L3112" s="638">
        <v>6</v>
      </c>
      <c r="M3112" s="712">
        <v>17250</v>
      </c>
      <c r="N3112" s="638"/>
      <c r="O3112" s="626"/>
      <c r="P3112" s="712">
        <f t="shared" si="30"/>
        <v>0</v>
      </c>
    </row>
    <row r="3113" spans="1:16" s="619" customFormat="1" ht="36" x14ac:dyDescent="0.2">
      <c r="A3113" s="626" t="s">
        <v>6091</v>
      </c>
      <c r="B3113" s="626" t="s">
        <v>1908</v>
      </c>
      <c r="C3113" s="638" t="s">
        <v>104</v>
      </c>
      <c r="D3113" s="626" t="s">
        <v>2660</v>
      </c>
      <c r="E3113" s="636">
        <v>2875</v>
      </c>
      <c r="F3113" s="637" t="s">
        <v>6977</v>
      </c>
      <c r="G3113" s="626" t="s">
        <v>6978</v>
      </c>
      <c r="H3113" s="626" t="s">
        <v>2660</v>
      </c>
      <c r="I3113" s="638" t="s">
        <v>6099</v>
      </c>
      <c r="J3113" s="625" t="s">
        <v>6100</v>
      </c>
      <c r="K3113" s="626">
        <v>1</v>
      </c>
      <c r="L3113" s="638">
        <v>6</v>
      </c>
      <c r="M3113" s="712">
        <v>17250</v>
      </c>
      <c r="N3113" s="638"/>
      <c r="O3113" s="626"/>
      <c r="P3113" s="712">
        <f t="shared" si="30"/>
        <v>0</v>
      </c>
    </row>
    <row r="3114" spans="1:16" s="619" customFormat="1" ht="36" x14ac:dyDescent="0.2">
      <c r="A3114" s="626" t="s">
        <v>6091</v>
      </c>
      <c r="B3114" s="626" t="s">
        <v>1908</v>
      </c>
      <c r="C3114" s="638" t="s">
        <v>104</v>
      </c>
      <c r="D3114" s="626" t="s">
        <v>2660</v>
      </c>
      <c r="E3114" s="636">
        <v>2875</v>
      </c>
      <c r="F3114" s="637" t="s">
        <v>6979</v>
      </c>
      <c r="G3114" s="626" t="s">
        <v>6980</v>
      </c>
      <c r="H3114" s="626" t="s">
        <v>2660</v>
      </c>
      <c r="I3114" s="638" t="s">
        <v>6099</v>
      </c>
      <c r="J3114" s="625" t="s">
        <v>6100</v>
      </c>
      <c r="K3114" s="626">
        <v>1</v>
      </c>
      <c r="L3114" s="638">
        <v>6</v>
      </c>
      <c r="M3114" s="712">
        <v>17250</v>
      </c>
      <c r="N3114" s="638">
        <v>1</v>
      </c>
      <c r="O3114" s="626">
        <v>5</v>
      </c>
      <c r="P3114" s="712">
        <f t="shared" si="30"/>
        <v>14375</v>
      </c>
    </row>
    <row r="3115" spans="1:16" s="619" customFormat="1" ht="36" x14ac:dyDescent="0.2">
      <c r="A3115" s="626" t="s">
        <v>6091</v>
      </c>
      <c r="B3115" s="626" t="s">
        <v>1908</v>
      </c>
      <c r="C3115" s="638" t="s">
        <v>104</v>
      </c>
      <c r="D3115" s="626" t="s">
        <v>6299</v>
      </c>
      <c r="E3115" s="636">
        <v>2875</v>
      </c>
      <c r="F3115" s="637" t="s">
        <v>6981</v>
      </c>
      <c r="G3115" s="626" t="s">
        <v>6982</v>
      </c>
      <c r="H3115" s="626" t="s">
        <v>6273</v>
      </c>
      <c r="I3115" s="638" t="s">
        <v>6099</v>
      </c>
      <c r="J3115" s="625" t="s">
        <v>6100</v>
      </c>
      <c r="K3115" s="626">
        <v>1</v>
      </c>
      <c r="L3115" s="638">
        <v>6</v>
      </c>
      <c r="M3115" s="712">
        <v>17250</v>
      </c>
      <c r="N3115" s="638">
        <v>1</v>
      </c>
      <c r="O3115" s="626">
        <v>5</v>
      </c>
      <c r="P3115" s="712">
        <f t="shared" si="30"/>
        <v>14375</v>
      </c>
    </row>
    <row r="3116" spans="1:16" s="619" customFormat="1" ht="36" x14ac:dyDescent="0.2">
      <c r="A3116" s="626" t="s">
        <v>6091</v>
      </c>
      <c r="B3116" s="626" t="s">
        <v>1908</v>
      </c>
      <c r="C3116" s="638" t="s">
        <v>104</v>
      </c>
      <c r="D3116" s="626" t="s">
        <v>2660</v>
      </c>
      <c r="E3116" s="636">
        <v>2875</v>
      </c>
      <c r="F3116" s="637" t="s">
        <v>6983</v>
      </c>
      <c r="G3116" s="626" t="s">
        <v>6984</v>
      </c>
      <c r="H3116" s="626" t="s">
        <v>2660</v>
      </c>
      <c r="I3116" s="638" t="s">
        <v>6099</v>
      </c>
      <c r="J3116" s="625" t="s">
        <v>6100</v>
      </c>
      <c r="K3116" s="626">
        <v>1</v>
      </c>
      <c r="L3116" s="638">
        <v>6</v>
      </c>
      <c r="M3116" s="712">
        <v>17250</v>
      </c>
      <c r="N3116" s="638"/>
      <c r="O3116" s="626"/>
      <c r="P3116" s="712">
        <f t="shared" si="30"/>
        <v>0</v>
      </c>
    </row>
    <row r="3117" spans="1:16" s="619" customFormat="1" ht="36" x14ac:dyDescent="0.2">
      <c r="A3117" s="626" t="s">
        <v>6091</v>
      </c>
      <c r="B3117" s="626" t="s">
        <v>1908</v>
      </c>
      <c r="C3117" s="638" t="s">
        <v>104</v>
      </c>
      <c r="D3117" s="626" t="s">
        <v>2660</v>
      </c>
      <c r="E3117" s="636">
        <v>2875</v>
      </c>
      <c r="F3117" s="637" t="s">
        <v>6985</v>
      </c>
      <c r="G3117" s="626" t="s">
        <v>6986</v>
      </c>
      <c r="H3117" s="626" t="s">
        <v>2660</v>
      </c>
      <c r="I3117" s="638" t="s">
        <v>6099</v>
      </c>
      <c r="J3117" s="625" t="s">
        <v>6100</v>
      </c>
      <c r="K3117" s="626">
        <v>1</v>
      </c>
      <c r="L3117" s="638">
        <v>6</v>
      </c>
      <c r="M3117" s="712">
        <v>17250</v>
      </c>
      <c r="N3117" s="638"/>
      <c r="O3117" s="626"/>
      <c r="P3117" s="712">
        <f t="shared" si="30"/>
        <v>0</v>
      </c>
    </row>
    <row r="3118" spans="1:16" s="619" customFormat="1" ht="36" x14ac:dyDescent="0.2">
      <c r="A3118" s="626" t="s">
        <v>6091</v>
      </c>
      <c r="B3118" s="626" t="s">
        <v>1908</v>
      </c>
      <c r="C3118" s="638" t="s">
        <v>104</v>
      </c>
      <c r="D3118" s="626" t="s">
        <v>2660</v>
      </c>
      <c r="E3118" s="636">
        <v>2875</v>
      </c>
      <c r="F3118" s="637" t="s">
        <v>6987</v>
      </c>
      <c r="G3118" s="626" t="s">
        <v>6988</v>
      </c>
      <c r="H3118" s="626" t="s">
        <v>2660</v>
      </c>
      <c r="I3118" s="638" t="s">
        <v>6099</v>
      </c>
      <c r="J3118" s="625" t="s">
        <v>6100</v>
      </c>
      <c r="K3118" s="626">
        <v>1</v>
      </c>
      <c r="L3118" s="638">
        <v>6</v>
      </c>
      <c r="M3118" s="712">
        <v>17250</v>
      </c>
      <c r="N3118" s="638"/>
      <c r="O3118" s="626"/>
      <c r="P3118" s="712">
        <f t="shared" si="30"/>
        <v>0</v>
      </c>
    </row>
    <row r="3119" spans="1:16" s="619" customFormat="1" ht="24" x14ac:dyDescent="0.2">
      <c r="A3119" s="626" t="s">
        <v>6091</v>
      </c>
      <c r="B3119" s="626" t="s">
        <v>1908</v>
      </c>
      <c r="C3119" s="638" t="s">
        <v>104</v>
      </c>
      <c r="D3119" s="626" t="s">
        <v>6876</v>
      </c>
      <c r="E3119" s="636">
        <v>3000</v>
      </c>
      <c r="F3119" s="637" t="s">
        <v>6989</v>
      </c>
      <c r="G3119" s="626" t="s">
        <v>6990</v>
      </c>
      <c r="H3119" s="626"/>
      <c r="I3119" s="638" t="s">
        <v>1919</v>
      </c>
      <c r="J3119" s="625" t="s">
        <v>6128</v>
      </c>
      <c r="K3119" s="626">
        <v>1</v>
      </c>
      <c r="L3119" s="638">
        <v>6</v>
      </c>
      <c r="M3119" s="712">
        <v>18000</v>
      </c>
      <c r="N3119" s="638"/>
      <c r="O3119" s="626"/>
      <c r="P3119" s="712">
        <f t="shared" si="30"/>
        <v>0</v>
      </c>
    </row>
    <row r="3120" spans="1:16" s="619" customFormat="1" ht="36" x14ac:dyDescent="0.2">
      <c r="A3120" s="626" t="s">
        <v>6091</v>
      </c>
      <c r="B3120" s="626" t="s">
        <v>1908</v>
      </c>
      <c r="C3120" s="638" t="s">
        <v>104</v>
      </c>
      <c r="D3120" s="626" t="s">
        <v>6876</v>
      </c>
      <c r="E3120" s="636">
        <v>3000</v>
      </c>
      <c r="F3120" s="637" t="s">
        <v>6991</v>
      </c>
      <c r="G3120" s="626" t="s">
        <v>6992</v>
      </c>
      <c r="H3120" s="626"/>
      <c r="I3120" s="638" t="s">
        <v>1919</v>
      </c>
      <c r="J3120" s="625" t="s">
        <v>6128</v>
      </c>
      <c r="K3120" s="626">
        <v>1</v>
      </c>
      <c r="L3120" s="638">
        <v>6</v>
      </c>
      <c r="M3120" s="712">
        <v>18000</v>
      </c>
      <c r="N3120" s="638"/>
      <c r="O3120" s="626"/>
      <c r="P3120" s="712">
        <f t="shared" si="30"/>
        <v>0</v>
      </c>
    </row>
    <row r="3121" spans="1:16" s="619" customFormat="1" ht="36" x14ac:dyDescent="0.2">
      <c r="A3121" s="626" t="s">
        <v>6091</v>
      </c>
      <c r="B3121" s="626" t="s">
        <v>1908</v>
      </c>
      <c r="C3121" s="638" t="s">
        <v>104</v>
      </c>
      <c r="D3121" s="626" t="s">
        <v>2660</v>
      </c>
      <c r="E3121" s="636">
        <v>2875</v>
      </c>
      <c r="F3121" s="637" t="s">
        <v>6993</v>
      </c>
      <c r="G3121" s="626" t="s">
        <v>6994</v>
      </c>
      <c r="H3121" s="626" t="s">
        <v>2660</v>
      </c>
      <c r="I3121" s="638" t="s">
        <v>6099</v>
      </c>
      <c r="J3121" s="625" t="s">
        <v>6100</v>
      </c>
      <c r="K3121" s="626">
        <v>1</v>
      </c>
      <c r="L3121" s="638">
        <v>6</v>
      </c>
      <c r="M3121" s="712">
        <v>17250</v>
      </c>
      <c r="N3121" s="638"/>
      <c r="O3121" s="626"/>
      <c r="P3121" s="712">
        <f t="shared" si="30"/>
        <v>0</v>
      </c>
    </row>
    <row r="3122" spans="1:16" s="619" customFormat="1" ht="36" x14ac:dyDescent="0.2">
      <c r="A3122" s="626" t="s">
        <v>6091</v>
      </c>
      <c r="B3122" s="626" t="s">
        <v>1908</v>
      </c>
      <c r="C3122" s="638" t="s">
        <v>104</v>
      </c>
      <c r="D3122" s="626" t="s">
        <v>2660</v>
      </c>
      <c r="E3122" s="636">
        <v>2875</v>
      </c>
      <c r="F3122" s="637" t="s">
        <v>6995</v>
      </c>
      <c r="G3122" s="626" t="s">
        <v>6996</v>
      </c>
      <c r="H3122" s="626" t="s">
        <v>2660</v>
      </c>
      <c r="I3122" s="638" t="s">
        <v>6099</v>
      </c>
      <c r="J3122" s="625" t="s">
        <v>6100</v>
      </c>
      <c r="K3122" s="626">
        <v>1</v>
      </c>
      <c r="L3122" s="638">
        <v>6</v>
      </c>
      <c r="M3122" s="712">
        <v>17250</v>
      </c>
      <c r="N3122" s="638">
        <v>1</v>
      </c>
      <c r="O3122" s="626">
        <v>6</v>
      </c>
      <c r="P3122" s="712">
        <f t="shared" si="30"/>
        <v>17250</v>
      </c>
    </row>
    <row r="3123" spans="1:16" s="619" customFormat="1" ht="36" x14ac:dyDescent="0.2">
      <c r="A3123" s="626" t="s">
        <v>6091</v>
      </c>
      <c r="B3123" s="626" t="s">
        <v>1908</v>
      </c>
      <c r="C3123" s="638" t="s">
        <v>104</v>
      </c>
      <c r="D3123" s="626" t="s">
        <v>6299</v>
      </c>
      <c r="E3123" s="636">
        <v>2875</v>
      </c>
      <c r="F3123" s="637" t="s">
        <v>6997</v>
      </c>
      <c r="G3123" s="626" t="s">
        <v>6998</v>
      </c>
      <c r="H3123" s="626" t="s">
        <v>6273</v>
      </c>
      <c r="I3123" s="638" t="s">
        <v>6099</v>
      </c>
      <c r="J3123" s="625" t="s">
        <v>6100</v>
      </c>
      <c r="K3123" s="626">
        <v>1</v>
      </c>
      <c r="L3123" s="638">
        <v>6</v>
      </c>
      <c r="M3123" s="712">
        <v>17250</v>
      </c>
      <c r="N3123" s="638">
        <v>1</v>
      </c>
      <c r="O3123" s="626">
        <v>6</v>
      </c>
      <c r="P3123" s="712">
        <f t="shared" si="30"/>
        <v>17250</v>
      </c>
    </row>
    <row r="3124" spans="1:16" s="619" customFormat="1" ht="36" x14ac:dyDescent="0.2">
      <c r="A3124" s="626" t="s">
        <v>6091</v>
      </c>
      <c r="B3124" s="626" t="s">
        <v>1908</v>
      </c>
      <c r="C3124" s="638" t="s">
        <v>104</v>
      </c>
      <c r="D3124" s="626" t="s">
        <v>6299</v>
      </c>
      <c r="E3124" s="636">
        <v>2875</v>
      </c>
      <c r="F3124" s="637" t="s">
        <v>6999</v>
      </c>
      <c r="G3124" s="626" t="s">
        <v>7000</v>
      </c>
      <c r="H3124" s="626" t="s">
        <v>6273</v>
      </c>
      <c r="I3124" s="638" t="s">
        <v>6099</v>
      </c>
      <c r="J3124" s="625" t="s">
        <v>6100</v>
      </c>
      <c r="K3124" s="626">
        <v>1</v>
      </c>
      <c r="L3124" s="638">
        <v>6</v>
      </c>
      <c r="M3124" s="712">
        <v>17250</v>
      </c>
      <c r="N3124" s="638">
        <v>1</v>
      </c>
      <c r="O3124" s="626">
        <v>6</v>
      </c>
      <c r="P3124" s="712">
        <f t="shared" si="30"/>
        <v>17250</v>
      </c>
    </row>
    <row r="3125" spans="1:16" s="619" customFormat="1" ht="36" x14ac:dyDescent="0.2">
      <c r="A3125" s="626" t="s">
        <v>6091</v>
      </c>
      <c r="B3125" s="626" t="s">
        <v>1908</v>
      </c>
      <c r="C3125" s="638" t="s">
        <v>104</v>
      </c>
      <c r="D3125" s="626" t="s">
        <v>2660</v>
      </c>
      <c r="E3125" s="636">
        <v>2875</v>
      </c>
      <c r="F3125" s="637" t="s">
        <v>7001</v>
      </c>
      <c r="G3125" s="626" t="s">
        <v>7002</v>
      </c>
      <c r="H3125" s="626" t="s">
        <v>2660</v>
      </c>
      <c r="I3125" s="638" t="s">
        <v>6099</v>
      </c>
      <c r="J3125" s="625" t="s">
        <v>6100</v>
      </c>
      <c r="K3125" s="626">
        <v>1</v>
      </c>
      <c r="L3125" s="638">
        <v>6</v>
      </c>
      <c r="M3125" s="712">
        <v>17250</v>
      </c>
      <c r="N3125" s="638"/>
      <c r="O3125" s="626"/>
      <c r="P3125" s="712">
        <f t="shared" si="30"/>
        <v>0</v>
      </c>
    </row>
    <row r="3126" spans="1:16" s="619" customFormat="1" ht="36" x14ac:dyDescent="0.2">
      <c r="A3126" s="626" t="s">
        <v>6091</v>
      </c>
      <c r="B3126" s="626" t="s">
        <v>1908</v>
      </c>
      <c r="C3126" s="638" t="s">
        <v>104</v>
      </c>
      <c r="D3126" s="626" t="s">
        <v>2660</v>
      </c>
      <c r="E3126" s="636">
        <v>2875</v>
      </c>
      <c r="F3126" s="637" t="s">
        <v>7003</v>
      </c>
      <c r="G3126" s="626" t="s">
        <v>7004</v>
      </c>
      <c r="H3126" s="626" t="s">
        <v>2660</v>
      </c>
      <c r="I3126" s="638" t="s">
        <v>6099</v>
      </c>
      <c r="J3126" s="625" t="s">
        <v>6100</v>
      </c>
      <c r="K3126" s="626">
        <v>1</v>
      </c>
      <c r="L3126" s="638">
        <v>6</v>
      </c>
      <c r="M3126" s="712">
        <v>17250</v>
      </c>
      <c r="N3126" s="638">
        <v>1</v>
      </c>
      <c r="O3126" s="626">
        <v>4</v>
      </c>
      <c r="P3126" s="712">
        <f t="shared" si="30"/>
        <v>11500</v>
      </c>
    </row>
    <row r="3127" spans="1:16" s="619" customFormat="1" ht="36" x14ac:dyDescent="0.2">
      <c r="A3127" s="626" t="s">
        <v>6091</v>
      </c>
      <c r="B3127" s="626" t="s">
        <v>1908</v>
      </c>
      <c r="C3127" s="638" t="s">
        <v>104</v>
      </c>
      <c r="D3127" s="626" t="s">
        <v>2660</v>
      </c>
      <c r="E3127" s="636">
        <v>2875</v>
      </c>
      <c r="F3127" s="637" t="s">
        <v>7005</v>
      </c>
      <c r="G3127" s="626" t="s">
        <v>7006</v>
      </c>
      <c r="H3127" s="626" t="s">
        <v>2660</v>
      </c>
      <c r="I3127" s="638" t="s">
        <v>6099</v>
      </c>
      <c r="J3127" s="625" t="s">
        <v>6100</v>
      </c>
      <c r="K3127" s="626">
        <v>1</v>
      </c>
      <c r="L3127" s="638">
        <v>6</v>
      </c>
      <c r="M3127" s="712">
        <v>17250</v>
      </c>
      <c r="N3127" s="638">
        <v>1</v>
      </c>
      <c r="O3127" s="626">
        <v>3</v>
      </c>
      <c r="P3127" s="712">
        <f t="shared" si="30"/>
        <v>8625</v>
      </c>
    </row>
    <row r="3128" spans="1:16" s="619" customFormat="1" ht="36" x14ac:dyDescent="0.2">
      <c r="A3128" s="626" t="s">
        <v>6091</v>
      </c>
      <c r="B3128" s="626" t="s">
        <v>1908</v>
      </c>
      <c r="C3128" s="638" t="s">
        <v>104</v>
      </c>
      <c r="D3128" s="626" t="s">
        <v>6876</v>
      </c>
      <c r="E3128" s="636">
        <v>3000</v>
      </c>
      <c r="F3128" s="637" t="s">
        <v>7007</v>
      </c>
      <c r="G3128" s="626" t="s">
        <v>7008</v>
      </c>
      <c r="H3128" s="626" t="s">
        <v>2660</v>
      </c>
      <c r="I3128" s="638" t="s">
        <v>6099</v>
      </c>
      <c r="J3128" s="625" t="s">
        <v>6100</v>
      </c>
      <c r="K3128" s="626">
        <v>1</v>
      </c>
      <c r="L3128" s="638">
        <v>6</v>
      </c>
      <c r="M3128" s="712">
        <v>18000</v>
      </c>
      <c r="N3128" s="638"/>
      <c r="O3128" s="626"/>
      <c r="P3128" s="712">
        <f t="shared" si="30"/>
        <v>0</v>
      </c>
    </row>
    <row r="3129" spans="1:16" s="619" customFormat="1" ht="36" x14ac:dyDescent="0.2">
      <c r="A3129" s="626" t="s">
        <v>6091</v>
      </c>
      <c r="B3129" s="626" t="s">
        <v>1908</v>
      </c>
      <c r="C3129" s="638" t="s">
        <v>104</v>
      </c>
      <c r="D3129" s="626" t="s">
        <v>2660</v>
      </c>
      <c r="E3129" s="636">
        <v>2875</v>
      </c>
      <c r="F3129" s="637" t="s">
        <v>7009</v>
      </c>
      <c r="G3129" s="626" t="s">
        <v>7010</v>
      </c>
      <c r="H3129" s="626" t="s">
        <v>2660</v>
      </c>
      <c r="I3129" s="638" t="s">
        <v>6099</v>
      </c>
      <c r="J3129" s="625" t="s">
        <v>6100</v>
      </c>
      <c r="K3129" s="626">
        <v>1</v>
      </c>
      <c r="L3129" s="638">
        <v>6</v>
      </c>
      <c r="M3129" s="712">
        <v>17250</v>
      </c>
      <c r="N3129" s="638">
        <v>1</v>
      </c>
      <c r="O3129" s="626">
        <v>6</v>
      </c>
      <c r="P3129" s="712">
        <f t="shared" si="30"/>
        <v>17250</v>
      </c>
    </row>
    <row r="3130" spans="1:16" s="619" customFormat="1" ht="36" x14ac:dyDescent="0.2">
      <c r="A3130" s="626" t="s">
        <v>6091</v>
      </c>
      <c r="B3130" s="626" t="s">
        <v>1908</v>
      </c>
      <c r="C3130" s="638" t="s">
        <v>104</v>
      </c>
      <c r="D3130" s="626" t="s">
        <v>2660</v>
      </c>
      <c r="E3130" s="636">
        <v>2875</v>
      </c>
      <c r="F3130" s="637" t="s">
        <v>7011</v>
      </c>
      <c r="G3130" s="626" t="s">
        <v>7012</v>
      </c>
      <c r="H3130" s="626" t="s">
        <v>2660</v>
      </c>
      <c r="I3130" s="638" t="s">
        <v>6099</v>
      </c>
      <c r="J3130" s="625" t="s">
        <v>6100</v>
      </c>
      <c r="K3130" s="626">
        <v>1</v>
      </c>
      <c r="L3130" s="638">
        <v>6</v>
      </c>
      <c r="M3130" s="712">
        <v>17250</v>
      </c>
      <c r="N3130" s="638"/>
      <c r="O3130" s="626"/>
      <c r="P3130" s="712">
        <f t="shared" si="30"/>
        <v>0</v>
      </c>
    </row>
    <row r="3131" spans="1:16" s="619" customFormat="1" ht="36" x14ac:dyDescent="0.2">
      <c r="A3131" s="626" t="s">
        <v>6091</v>
      </c>
      <c r="B3131" s="626" t="s">
        <v>1908</v>
      </c>
      <c r="C3131" s="638" t="s">
        <v>104</v>
      </c>
      <c r="D3131" s="626" t="s">
        <v>2660</v>
      </c>
      <c r="E3131" s="636">
        <v>2875</v>
      </c>
      <c r="F3131" s="637" t="s">
        <v>7013</v>
      </c>
      <c r="G3131" s="626" t="s">
        <v>7014</v>
      </c>
      <c r="H3131" s="626" t="s">
        <v>2660</v>
      </c>
      <c r="I3131" s="638" t="s">
        <v>6099</v>
      </c>
      <c r="J3131" s="625" t="s">
        <v>6100</v>
      </c>
      <c r="K3131" s="626">
        <v>1</v>
      </c>
      <c r="L3131" s="638">
        <v>6</v>
      </c>
      <c r="M3131" s="712">
        <v>17250</v>
      </c>
      <c r="N3131" s="638"/>
      <c r="O3131" s="626"/>
      <c r="P3131" s="712">
        <f t="shared" si="30"/>
        <v>0</v>
      </c>
    </row>
    <row r="3132" spans="1:16" s="619" customFormat="1" ht="36" x14ac:dyDescent="0.2">
      <c r="A3132" s="626" t="s">
        <v>6091</v>
      </c>
      <c r="B3132" s="626" t="s">
        <v>1908</v>
      </c>
      <c r="C3132" s="638" t="s">
        <v>104</v>
      </c>
      <c r="D3132" s="626" t="s">
        <v>2660</v>
      </c>
      <c r="E3132" s="636">
        <v>2875</v>
      </c>
      <c r="F3132" s="637" t="s">
        <v>7015</v>
      </c>
      <c r="G3132" s="626" t="s">
        <v>7016</v>
      </c>
      <c r="H3132" s="626" t="s">
        <v>2660</v>
      </c>
      <c r="I3132" s="638" t="s">
        <v>6099</v>
      </c>
      <c r="J3132" s="625" t="s">
        <v>6100</v>
      </c>
      <c r="K3132" s="626">
        <v>1</v>
      </c>
      <c r="L3132" s="638">
        <v>6</v>
      </c>
      <c r="M3132" s="712">
        <v>17250</v>
      </c>
      <c r="N3132" s="638"/>
      <c r="O3132" s="626"/>
      <c r="P3132" s="712">
        <f t="shared" si="30"/>
        <v>0</v>
      </c>
    </row>
    <row r="3133" spans="1:16" s="619" customFormat="1" ht="24" x14ac:dyDescent="0.2">
      <c r="A3133" s="626" t="s">
        <v>6091</v>
      </c>
      <c r="B3133" s="626" t="s">
        <v>1908</v>
      </c>
      <c r="C3133" s="638" t="s">
        <v>104</v>
      </c>
      <c r="D3133" s="626" t="s">
        <v>6179</v>
      </c>
      <c r="E3133" s="636">
        <v>8000</v>
      </c>
      <c r="F3133" s="637" t="s">
        <v>7017</v>
      </c>
      <c r="G3133" s="626" t="s">
        <v>7018</v>
      </c>
      <c r="H3133" s="626" t="s">
        <v>6182</v>
      </c>
      <c r="I3133" s="638" t="s">
        <v>6095</v>
      </c>
      <c r="J3133" s="625" t="s">
        <v>6096</v>
      </c>
      <c r="K3133" s="626">
        <v>1</v>
      </c>
      <c r="L3133" s="638">
        <v>6</v>
      </c>
      <c r="M3133" s="712">
        <v>48000</v>
      </c>
      <c r="N3133" s="638"/>
      <c r="O3133" s="626"/>
      <c r="P3133" s="712">
        <f t="shared" si="30"/>
        <v>0</v>
      </c>
    </row>
    <row r="3134" spans="1:16" s="619" customFormat="1" ht="24" x14ac:dyDescent="0.2">
      <c r="A3134" s="626" t="s">
        <v>6091</v>
      </c>
      <c r="B3134" s="626" t="s">
        <v>1908</v>
      </c>
      <c r="C3134" s="638" t="s">
        <v>104</v>
      </c>
      <c r="D3134" s="626" t="s">
        <v>6092</v>
      </c>
      <c r="E3134" s="636">
        <v>5000</v>
      </c>
      <c r="F3134" s="637" t="s">
        <v>7019</v>
      </c>
      <c r="G3134" s="626" t="s">
        <v>7020</v>
      </c>
      <c r="H3134" s="626" t="s">
        <v>6092</v>
      </c>
      <c r="I3134" s="638" t="s">
        <v>6095</v>
      </c>
      <c r="J3134" s="625" t="s">
        <v>6096</v>
      </c>
      <c r="K3134" s="626">
        <v>1</v>
      </c>
      <c r="L3134" s="638">
        <v>6</v>
      </c>
      <c r="M3134" s="712">
        <v>30000</v>
      </c>
      <c r="N3134" s="638">
        <v>1</v>
      </c>
      <c r="O3134" s="626">
        <v>6</v>
      </c>
      <c r="P3134" s="712">
        <f t="shared" si="30"/>
        <v>30000</v>
      </c>
    </row>
    <row r="3135" spans="1:16" s="619" customFormat="1" ht="36" x14ac:dyDescent="0.2">
      <c r="A3135" s="626" t="s">
        <v>6091</v>
      </c>
      <c r="B3135" s="626" t="s">
        <v>1908</v>
      </c>
      <c r="C3135" s="638" t="s">
        <v>104</v>
      </c>
      <c r="D3135" s="626" t="s">
        <v>6179</v>
      </c>
      <c r="E3135" s="636">
        <v>8000</v>
      </c>
      <c r="F3135" s="637" t="s">
        <v>7021</v>
      </c>
      <c r="G3135" s="626" t="s">
        <v>7022</v>
      </c>
      <c r="H3135" s="626" t="s">
        <v>6182</v>
      </c>
      <c r="I3135" s="638" t="s">
        <v>6095</v>
      </c>
      <c r="J3135" s="625" t="s">
        <v>6096</v>
      </c>
      <c r="K3135" s="626">
        <v>1</v>
      </c>
      <c r="L3135" s="638">
        <v>6</v>
      </c>
      <c r="M3135" s="712">
        <v>48000</v>
      </c>
      <c r="N3135" s="638">
        <v>1</v>
      </c>
      <c r="O3135" s="626">
        <v>6</v>
      </c>
      <c r="P3135" s="712">
        <f t="shared" si="30"/>
        <v>48000</v>
      </c>
    </row>
    <row r="3136" spans="1:16" s="619" customFormat="1" ht="36" x14ac:dyDescent="0.2">
      <c r="A3136" s="626" t="s">
        <v>6091</v>
      </c>
      <c r="B3136" s="626" t="s">
        <v>1908</v>
      </c>
      <c r="C3136" s="638" t="s">
        <v>104</v>
      </c>
      <c r="D3136" s="626" t="s">
        <v>6092</v>
      </c>
      <c r="E3136" s="636">
        <v>5000</v>
      </c>
      <c r="F3136" s="637" t="s">
        <v>7023</v>
      </c>
      <c r="G3136" s="626" t="s">
        <v>7024</v>
      </c>
      <c r="H3136" s="626" t="s">
        <v>6092</v>
      </c>
      <c r="I3136" s="638" t="s">
        <v>6095</v>
      </c>
      <c r="J3136" s="625" t="s">
        <v>6096</v>
      </c>
      <c r="K3136" s="626">
        <v>1</v>
      </c>
      <c r="L3136" s="638">
        <v>6</v>
      </c>
      <c r="M3136" s="712">
        <v>30000</v>
      </c>
      <c r="N3136" s="638">
        <v>1</v>
      </c>
      <c r="O3136" s="626">
        <v>6</v>
      </c>
      <c r="P3136" s="712">
        <f t="shared" si="30"/>
        <v>30000</v>
      </c>
    </row>
    <row r="3137" spans="1:16" s="619" customFormat="1" ht="24" x14ac:dyDescent="0.2">
      <c r="A3137" s="626" t="s">
        <v>6091</v>
      </c>
      <c r="B3137" s="626" t="s">
        <v>1908</v>
      </c>
      <c r="C3137" s="638" t="s">
        <v>104</v>
      </c>
      <c r="D3137" s="626" t="s">
        <v>6092</v>
      </c>
      <c r="E3137" s="636">
        <v>5000</v>
      </c>
      <c r="F3137" s="637" t="s">
        <v>7025</v>
      </c>
      <c r="G3137" s="626" t="s">
        <v>7026</v>
      </c>
      <c r="H3137" s="626" t="s">
        <v>6092</v>
      </c>
      <c r="I3137" s="638" t="s">
        <v>6095</v>
      </c>
      <c r="J3137" s="625" t="s">
        <v>6096</v>
      </c>
      <c r="K3137" s="626">
        <v>1</v>
      </c>
      <c r="L3137" s="638">
        <v>4</v>
      </c>
      <c r="M3137" s="712">
        <v>20000</v>
      </c>
      <c r="N3137" s="638"/>
      <c r="O3137" s="626"/>
      <c r="P3137" s="712">
        <f t="shared" si="30"/>
        <v>0</v>
      </c>
    </row>
    <row r="3138" spans="1:16" s="619" customFormat="1" ht="24" x14ac:dyDescent="0.2">
      <c r="A3138" s="626" t="s">
        <v>6091</v>
      </c>
      <c r="B3138" s="626" t="s">
        <v>1908</v>
      </c>
      <c r="C3138" s="638" t="s">
        <v>104</v>
      </c>
      <c r="D3138" s="626" t="s">
        <v>6179</v>
      </c>
      <c r="E3138" s="636">
        <v>8000</v>
      </c>
      <c r="F3138" s="637" t="s">
        <v>7027</v>
      </c>
      <c r="G3138" s="626" t="s">
        <v>7028</v>
      </c>
      <c r="H3138" s="626" t="s">
        <v>6182</v>
      </c>
      <c r="I3138" s="638" t="s">
        <v>6095</v>
      </c>
      <c r="J3138" s="625" t="s">
        <v>6096</v>
      </c>
      <c r="K3138" s="626">
        <v>1</v>
      </c>
      <c r="L3138" s="638">
        <v>6</v>
      </c>
      <c r="M3138" s="712">
        <v>48000</v>
      </c>
      <c r="N3138" s="638">
        <v>1</v>
      </c>
      <c r="O3138" s="626">
        <v>6</v>
      </c>
      <c r="P3138" s="712">
        <f t="shared" si="30"/>
        <v>48000</v>
      </c>
    </row>
    <row r="3139" spans="1:16" s="619" customFormat="1" ht="24" x14ac:dyDescent="0.2">
      <c r="A3139" s="626" t="s">
        <v>6091</v>
      </c>
      <c r="B3139" s="626" t="s">
        <v>1908</v>
      </c>
      <c r="C3139" s="638" t="s">
        <v>104</v>
      </c>
      <c r="D3139" s="626" t="s">
        <v>6179</v>
      </c>
      <c r="E3139" s="636">
        <v>8000</v>
      </c>
      <c r="F3139" s="637" t="s">
        <v>7029</v>
      </c>
      <c r="G3139" s="626" t="s">
        <v>7030</v>
      </c>
      <c r="H3139" s="626" t="s">
        <v>6182</v>
      </c>
      <c r="I3139" s="638" t="s">
        <v>6095</v>
      </c>
      <c r="J3139" s="625" t="s">
        <v>6096</v>
      </c>
      <c r="K3139" s="626">
        <v>1</v>
      </c>
      <c r="L3139" s="638">
        <v>6</v>
      </c>
      <c r="M3139" s="712">
        <v>48000</v>
      </c>
      <c r="N3139" s="638">
        <v>1</v>
      </c>
      <c r="O3139" s="626">
        <v>6</v>
      </c>
      <c r="P3139" s="712">
        <f t="shared" si="30"/>
        <v>48000</v>
      </c>
    </row>
    <row r="3140" spans="1:16" s="619" customFormat="1" ht="36" x14ac:dyDescent="0.2">
      <c r="A3140" s="626" t="s">
        <v>6091</v>
      </c>
      <c r="B3140" s="626" t="s">
        <v>1908</v>
      </c>
      <c r="C3140" s="638" t="s">
        <v>104</v>
      </c>
      <c r="D3140" s="626" t="s">
        <v>6179</v>
      </c>
      <c r="E3140" s="636">
        <v>8000</v>
      </c>
      <c r="F3140" s="637" t="s">
        <v>7031</v>
      </c>
      <c r="G3140" s="626" t="s">
        <v>7032</v>
      </c>
      <c r="H3140" s="626" t="s">
        <v>6182</v>
      </c>
      <c r="I3140" s="638" t="s">
        <v>6095</v>
      </c>
      <c r="J3140" s="625" t="s">
        <v>6096</v>
      </c>
      <c r="K3140" s="626">
        <v>1</v>
      </c>
      <c r="L3140" s="638">
        <v>6</v>
      </c>
      <c r="M3140" s="712">
        <v>48000</v>
      </c>
      <c r="N3140" s="638">
        <v>1</v>
      </c>
      <c r="O3140" s="626">
        <v>6</v>
      </c>
      <c r="P3140" s="712">
        <f t="shared" si="30"/>
        <v>48000</v>
      </c>
    </row>
    <row r="3141" spans="1:16" s="619" customFormat="1" ht="24" x14ac:dyDescent="0.2">
      <c r="A3141" s="626" t="s">
        <v>6091</v>
      </c>
      <c r="B3141" s="626" t="s">
        <v>1908</v>
      </c>
      <c r="C3141" s="638" t="s">
        <v>104</v>
      </c>
      <c r="D3141" s="626" t="s">
        <v>6092</v>
      </c>
      <c r="E3141" s="636">
        <v>5000</v>
      </c>
      <c r="F3141" s="637" t="s">
        <v>7033</v>
      </c>
      <c r="G3141" s="626" t="s">
        <v>7034</v>
      </c>
      <c r="H3141" s="626" t="s">
        <v>6092</v>
      </c>
      <c r="I3141" s="638" t="s">
        <v>6095</v>
      </c>
      <c r="J3141" s="625" t="s">
        <v>6096</v>
      </c>
      <c r="K3141" s="626">
        <v>1</v>
      </c>
      <c r="L3141" s="638">
        <v>6</v>
      </c>
      <c r="M3141" s="712">
        <v>30000</v>
      </c>
      <c r="N3141" s="638">
        <v>1</v>
      </c>
      <c r="O3141" s="626">
        <v>6</v>
      </c>
      <c r="P3141" s="712">
        <f t="shared" ref="P3141:P3192" si="31">O3141*E3141</f>
        <v>30000</v>
      </c>
    </row>
    <row r="3142" spans="1:16" s="619" customFormat="1" ht="24" x14ac:dyDescent="0.2">
      <c r="A3142" s="626" t="s">
        <v>6091</v>
      </c>
      <c r="B3142" s="626" t="s">
        <v>1908</v>
      </c>
      <c r="C3142" s="638" t="s">
        <v>104</v>
      </c>
      <c r="D3142" s="626" t="s">
        <v>6179</v>
      </c>
      <c r="E3142" s="636">
        <v>8000</v>
      </c>
      <c r="F3142" s="637" t="s">
        <v>7035</v>
      </c>
      <c r="G3142" s="626" t="s">
        <v>7036</v>
      </c>
      <c r="H3142" s="626" t="s">
        <v>6182</v>
      </c>
      <c r="I3142" s="638" t="s">
        <v>6095</v>
      </c>
      <c r="J3142" s="625" t="s">
        <v>6096</v>
      </c>
      <c r="K3142" s="626">
        <v>1</v>
      </c>
      <c r="L3142" s="638">
        <v>6</v>
      </c>
      <c r="M3142" s="712">
        <v>48000</v>
      </c>
      <c r="N3142" s="638">
        <v>1</v>
      </c>
      <c r="O3142" s="626">
        <v>4</v>
      </c>
      <c r="P3142" s="712">
        <f t="shared" si="31"/>
        <v>32000</v>
      </c>
    </row>
    <row r="3143" spans="1:16" s="619" customFormat="1" ht="36" x14ac:dyDescent="0.2">
      <c r="A3143" s="626" t="s">
        <v>6091</v>
      </c>
      <c r="B3143" s="626" t="s">
        <v>1908</v>
      </c>
      <c r="C3143" s="638" t="s">
        <v>104</v>
      </c>
      <c r="D3143" s="626" t="s">
        <v>6092</v>
      </c>
      <c r="E3143" s="636">
        <v>5000</v>
      </c>
      <c r="F3143" s="637" t="s">
        <v>7037</v>
      </c>
      <c r="G3143" s="626" t="s">
        <v>7038</v>
      </c>
      <c r="H3143" s="626" t="s">
        <v>6092</v>
      </c>
      <c r="I3143" s="638" t="s">
        <v>6095</v>
      </c>
      <c r="J3143" s="625" t="s">
        <v>6096</v>
      </c>
      <c r="K3143" s="626">
        <v>1</v>
      </c>
      <c r="L3143" s="638">
        <v>6</v>
      </c>
      <c r="M3143" s="712">
        <v>30000</v>
      </c>
      <c r="N3143" s="638">
        <v>1</v>
      </c>
      <c r="O3143" s="626">
        <v>6</v>
      </c>
      <c r="P3143" s="712">
        <f t="shared" si="31"/>
        <v>30000</v>
      </c>
    </row>
    <row r="3144" spans="1:16" s="619" customFormat="1" ht="36" x14ac:dyDescent="0.2">
      <c r="A3144" s="626" t="s">
        <v>6091</v>
      </c>
      <c r="B3144" s="626" t="s">
        <v>1908</v>
      </c>
      <c r="C3144" s="638" t="s">
        <v>104</v>
      </c>
      <c r="D3144" s="626" t="s">
        <v>6092</v>
      </c>
      <c r="E3144" s="636">
        <v>5000</v>
      </c>
      <c r="F3144" s="637" t="s">
        <v>7039</v>
      </c>
      <c r="G3144" s="626" t="s">
        <v>7040</v>
      </c>
      <c r="H3144" s="626" t="s">
        <v>6092</v>
      </c>
      <c r="I3144" s="638" t="s">
        <v>6095</v>
      </c>
      <c r="J3144" s="625" t="s">
        <v>6096</v>
      </c>
      <c r="K3144" s="626">
        <v>1</v>
      </c>
      <c r="L3144" s="638">
        <v>6</v>
      </c>
      <c r="M3144" s="712">
        <v>30000</v>
      </c>
      <c r="N3144" s="638">
        <v>1</v>
      </c>
      <c r="O3144" s="626">
        <v>6</v>
      </c>
      <c r="P3144" s="712">
        <f t="shared" si="31"/>
        <v>30000</v>
      </c>
    </row>
    <row r="3145" spans="1:16" s="619" customFormat="1" ht="36" x14ac:dyDescent="0.2">
      <c r="A3145" s="626" t="s">
        <v>6091</v>
      </c>
      <c r="B3145" s="626" t="s">
        <v>1908</v>
      </c>
      <c r="C3145" s="638" t="s">
        <v>104</v>
      </c>
      <c r="D3145" s="626" t="s">
        <v>2660</v>
      </c>
      <c r="E3145" s="636">
        <v>2875</v>
      </c>
      <c r="F3145" s="637" t="s">
        <v>7041</v>
      </c>
      <c r="G3145" s="626" t="s">
        <v>7042</v>
      </c>
      <c r="H3145" s="626" t="s">
        <v>2660</v>
      </c>
      <c r="I3145" s="638" t="s">
        <v>6099</v>
      </c>
      <c r="J3145" s="625" t="s">
        <v>6100</v>
      </c>
      <c r="K3145" s="626">
        <v>1</v>
      </c>
      <c r="L3145" s="638">
        <v>6</v>
      </c>
      <c r="M3145" s="712">
        <v>17250</v>
      </c>
      <c r="N3145" s="638">
        <v>1</v>
      </c>
      <c r="O3145" s="626">
        <v>6</v>
      </c>
      <c r="P3145" s="712">
        <f t="shared" si="31"/>
        <v>17250</v>
      </c>
    </row>
    <row r="3146" spans="1:16" s="619" customFormat="1" ht="36" x14ac:dyDescent="0.2">
      <c r="A3146" s="626" t="s">
        <v>6091</v>
      </c>
      <c r="B3146" s="626" t="s">
        <v>1908</v>
      </c>
      <c r="C3146" s="638" t="s">
        <v>104</v>
      </c>
      <c r="D3146" s="626" t="s">
        <v>6876</v>
      </c>
      <c r="E3146" s="636">
        <v>3000</v>
      </c>
      <c r="F3146" s="637" t="s">
        <v>7043</v>
      </c>
      <c r="G3146" s="626" t="s">
        <v>7044</v>
      </c>
      <c r="H3146" s="626"/>
      <c r="I3146" s="638" t="s">
        <v>1919</v>
      </c>
      <c r="J3146" s="625" t="s">
        <v>6128</v>
      </c>
      <c r="K3146" s="626">
        <v>1</v>
      </c>
      <c r="L3146" s="638">
        <v>6</v>
      </c>
      <c r="M3146" s="712">
        <v>18000</v>
      </c>
      <c r="N3146" s="638">
        <v>1</v>
      </c>
      <c r="O3146" s="626">
        <v>6</v>
      </c>
      <c r="P3146" s="712">
        <f t="shared" si="31"/>
        <v>18000</v>
      </c>
    </row>
    <row r="3147" spans="1:16" s="619" customFormat="1" ht="24" x14ac:dyDescent="0.2">
      <c r="A3147" s="626" t="s">
        <v>6091</v>
      </c>
      <c r="B3147" s="626" t="s">
        <v>1908</v>
      </c>
      <c r="C3147" s="638" t="s">
        <v>104</v>
      </c>
      <c r="D3147" s="626" t="s">
        <v>6876</v>
      </c>
      <c r="E3147" s="636">
        <v>3000</v>
      </c>
      <c r="F3147" s="637" t="s">
        <v>7045</v>
      </c>
      <c r="G3147" s="626" t="s">
        <v>7046</v>
      </c>
      <c r="H3147" s="626"/>
      <c r="I3147" s="638" t="s">
        <v>1919</v>
      </c>
      <c r="J3147" s="625" t="s">
        <v>6128</v>
      </c>
      <c r="K3147" s="626">
        <v>1</v>
      </c>
      <c r="L3147" s="638">
        <v>6</v>
      </c>
      <c r="M3147" s="712">
        <v>18000</v>
      </c>
      <c r="N3147" s="638">
        <v>1</v>
      </c>
      <c r="O3147" s="626">
        <v>6</v>
      </c>
      <c r="P3147" s="712">
        <f t="shared" si="31"/>
        <v>18000</v>
      </c>
    </row>
    <row r="3148" spans="1:16" s="619" customFormat="1" ht="36" x14ac:dyDescent="0.2">
      <c r="A3148" s="626" t="s">
        <v>6091</v>
      </c>
      <c r="B3148" s="626" t="s">
        <v>1908</v>
      </c>
      <c r="C3148" s="638" t="s">
        <v>104</v>
      </c>
      <c r="D3148" s="626" t="s">
        <v>6876</v>
      </c>
      <c r="E3148" s="636">
        <v>3000</v>
      </c>
      <c r="F3148" s="637" t="s">
        <v>7047</v>
      </c>
      <c r="G3148" s="626" t="s">
        <v>7048</v>
      </c>
      <c r="H3148" s="626"/>
      <c r="I3148" s="638" t="s">
        <v>1919</v>
      </c>
      <c r="J3148" s="625" t="s">
        <v>6128</v>
      </c>
      <c r="K3148" s="626">
        <v>1</v>
      </c>
      <c r="L3148" s="638">
        <v>6</v>
      </c>
      <c r="M3148" s="712">
        <v>18000</v>
      </c>
      <c r="N3148" s="638">
        <v>1</v>
      </c>
      <c r="O3148" s="626">
        <v>6</v>
      </c>
      <c r="P3148" s="712">
        <f t="shared" si="31"/>
        <v>18000</v>
      </c>
    </row>
    <row r="3149" spans="1:16" s="619" customFormat="1" ht="36" x14ac:dyDescent="0.2">
      <c r="A3149" s="626" t="s">
        <v>6091</v>
      </c>
      <c r="B3149" s="626" t="s">
        <v>1908</v>
      </c>
      <c r="C3149" s="638" t="s">
        <v>104</v>
      </c>
      <c r="D3149" s="626" t="s">
        <v>2660</v>
      </c>
      <c r="E3149" s="636">
        <v>2875</v>
      </c>
      <c r="F3149" s="637" t="s">
        <v>7049</v>
      </c>
      <c r="G3149" s="626" t="s">
        <v>7050</v>
      </c>
      <c r="H3149" s="626" t="s">
        <v>2660</v>
      </c>
      <c r="I3149" s="638" t="s">
        <v>6099</v>
      </c>
      <c r="J3149" s="625" t="s">
        <v>6100</v>
      </c>
      <c r="K3149" s="626">
        <v>1</v>
      </c>
      <c r="L3149" s="638">
        <v>6</v>
      </c>
      <c r="M3149" s="712">
        <v>17250</v>
      </c>
      <c r="N3149" s="638">
        <v>1</v>
      </c>
      <c r="O3149" s="626">
        <v>6</v>
      </c>
      <c r="P3149" s="712">
        <f t="shared" si="31"/>
        <v>17250</v>
      </c>
    </row>
    <row r="3150" spans="1:16" s="619" customFormat="1" ht="24" x14ac:dyDescent="0.2">
      <c r="A3150" s="626" t="s">
        <v>6091</v>
      </c>
      <c r="B3150" s="626" t="s">
        <v>1908</v>
      </c>
      <c r="C3150" s="638" t="s">
        <v>104</v>
      </c>
      <c r="D3150" s="626" t="s">
        <v>6876</v>
      </c>
      <c r="E3150" s="636">
        <v>3000</v>
      </c>
      <c r="F3150" s="637" t="s">
        <v>7051</v>
      </c>
      <c r="G3150" s="626" t="s">
        <v>7052</v>
      </c>
      <c r="H3150" s="626"/>
      <c r="I3150" s="638" t="s">
        <v>1919</v>
      </c>
      <c r="J3150" s="625" t="s">
        <v>6128</v>
      </c>
      <c r="K3150" s="626">
        <v>1</v>
      </c>
      <c r="L3150" s="638">
        <v>6</v>
      </c>
      <c r="M3150" s="712">
        <v>18000</v>
      </c>
      <c r="N3150" s="638">
        <v>1</v>
      </c>
      <c r="O3150" s="626">
        <v>6</v>
      </c>
      <c r="P3150" s="712">
        <f t="shared" si="31"/>
        <v>18000</v>
      </c>
    </row>
    <row r="3151" spans="1:16" s="619" customFormat="1" ht="36" x14ac:dyDescent="0.2">
      <c r="A3151" s="626" t="s">
        <v>6091</v>
      </c>
      <c r="B3151" s="626" t="s">
        <v>1908</v>
      </c>
      <c r="C3151" s="638" t="s">
        <v>104</v>
      </c>
      <c r="D3151" s="626" t="s">
        <v>2660</v>
      </c>
      <c r="E3151" s="636">
        <v>2875</v>
      </c>
      <c r="F3151" s="637" t="s">
        <v>7053</v>
      </c>
      <c r="G3151" s="626" t="s">
        <v>7054</v>
      </c>
      <c r="H3151" s="626" t="s">
        <v>2660</v>
      </c>
      <c r="I3151" s="638" t="s">
        <v>6099</v>
      </c>
      <c r="J3151" s="625" t="s">
        <v>6100</v>
      </c>
      <c r="K3151" s="626">
        <v>1</v>
      </c>
      <c r="L3151" s="638">
        <v>6</v>
      </c>
      <c r="M3151" s="712">
        <v>17250</v>
      </c>
      <c r="N3151" s="638"/>
      <c r="O3151" s="626"/>
      <c r="P3151" s="712">
        <f t="shared" si="31"/>
        <v>0</v>
      </c>
    </row>
    <row r="3152" spans="1:16" s="619" customFormat="1" ht="24" x14ac:dyDescent="0.2">
      <c r="A3152" s="626" t="s">
        <v>6091</v>
      </c>
      <c r="B3152" s="626" t="s">
        <v>1908</v>
      </c>
      <c r="C3152" s="638" t="s">
        <v>104</v>
      </c>
      <c r="D3152" s="626" t="s">
        <v>6876</v>
      </c>
      <c r="E3152" s="636">
        <v>3000</v>
      </c>
      <c r="F3152" s="637" t="s">
        <v>7055</v>
      </c>
      <c r="G3152" s="626" t="s">
        <v>7056</v>
      </c>
      <c r="H3152" s="626"/>
      <c r="I3152" s="638" t="s">
        <v>1919</v>
      </c>
      <c r="J3152" s="625" t="s">
        <v>6128</v>
      </c>
      <c r="K3152" s="626">
        <v>1</v>
      </c>
      <c r="L3152" s="638">
        <v>6</v>
      </c>
      <c r="M3152" s="712">
        <v>18000</v>
      </c>
      <c r="N3152" s="638">
        <v>1</v>
      </c>
      <c r="O3152" s="626">
        <v>6</v>
      </c>
      <c r="P3152" s="712">
        <f t="shared" si="31"/>
        <v>18000</v>
      </c>
    </row>
    <row r="3153" spans="1:16" s="619" customFormat="1" ht="36" x14ac:dyDescent="0.2">
      <c r="A3153" s="626" t="s">
        <v>6091</v>
      </c>
      <c r="B3153" s="626" t="s">
        <v>1908</v>
      </c>
      <c r="C3153" s="638" t="s">
        <v>104</v>
      </c>
      <c r="D3153" s="626" t="s">
        <v>2660</v>
      </c>
      <c r="E3153" s="636">
        <v>2875</v>
      </c>
      <c r="F3153" s="637" t="s">
        <v>7057</v>
      </c>
      <c r="G3153" s="626" t="s">
        <v>7058</v>
      </c>
      <c r="H3153" s="626" t="s">
        <v>2660</v>
      </c>
      <c r="I3153" s="638" t="s">
        <v>6099</v>
      </c>
      <c r="J3153" s="625" t="s">
        <v>6100</v>
      </c>
      <c r="K3153" s="626">
        <v>1</v>
      </c>
      <c r="L3153" s="638">
        <v>6</v>
      </c>
      <c r="M3153" s="712">
        <v>17250</v>
      </c>
      <c r="N3153" s="638">
        <v>1</v>
      </c>
      <c r="O3153" s="626">
        <v>6</v>
      </c>
      <c r="P3153" s="712">
        <f t="shared" si="31"/>
        <v>17250</v>
      </c>
    </row>
    <row r="3154" spans="1:16" s="619" customFormat="1" ht="24" x14ac:dyDescent="0.2">
      <c r="A3154" s="626" t="s">
        <v>6091</v>
      </c>
      <c r="B3154" s="626" t="s">
        <v>1908</v>
      </c>
      <c r="C3154" s="638" t="s">
        <v>104</v>
      </c>
      <c r="D3154" s="626" t="s">
        <v>6876</v>
      </c>
      <c r="E3154" s="636">
        <v>3000</v>
      </c>
      <c r="F3154" s="637" t="s">
        <v>7059</v>
      </c>
      <c r="G3154" s="626" t="s">
        <v>7060</v>
      </c>
      <c r="H3154" s="626"/>
      <c r="I3154" s="638" t="s">
        <v>1919</v>
      </c>
      <c r="J3154" s="625" t="s">
        <v>6128</v>
      </c>
      <c r="K3154" s="626">
        <v>1</v>
      </c>
      <c r="L3154" s="638">
        <v>6</v>
      </c>
      <c r="M3154" s="712">
        <v>18000</v>
      </c>
      <c r="N3154" s="638">
        <v>1</v>
      </c>
      <c r="O3154" s="626">
        <v>6</v>
      </c>
      <c r="P3154" s="712">
        <f t="shared" si="31"/>
        <v>18000</v>
      </c>
    </row>
    <row r="3155" spans="1:16" s="619" customFormat="1" ht="36" x14ac:dyDescent="0.2">
      <c r="A3155" s="626" t="s">
        <v>6091</v>
      </c>
      <c r="B3155" s="626" t="s">
        <v>1908</v>
      </c>
      <c r="C3155" s="638" t="s">
        <v>104</v>
      </c>
      <c r="D3155" s="626" t="s">
        <v>7061</v>
      </c>
      <c r="E3155" s="636">
        <v>1544</v>
      </c>
      <c r="F3155" s="637" t="s">
        <v>7062</v>
      </c>
      <c r="G3155" s="626" t="s">
        <v>7063</v>
      </c>
      <c r="H3155" s="626"/>
      <c r="I3155" s="638" t="s">
        <v>1919</v>
      </c>
      <c r="J3155" s="625" t="s">
        <v>6128</v>
      </c>
      <c r="K3155" s="626">
        <v>1</v>
      </c>
      <c r="L3155" s="638">
        <v>6</v>
      </c>
      <c r="M3155" s="712">
        <v>9264</v>
      </c>
      <c r="N3155" s="638"/>
      <c r="O3155" s="626"/>
      <c r="P3155" s="712">
        <f t="shared" si="31"/>
        <v>0</v>
      </c>
    </row>
    <row r="3156" spans="1:16" s="619" customFormat="1" ht="36" x14ac:dyDescent="0.2">
      <c r="A3156" s="626" t="s">
        <v>6091</v>
      </c>
      <c r="B3156" s="626" t="s">
        <v>1908</v>
      </c>
      <c r="C3156" s="638" t="s">
        <v>104</v>
      </c>
      <c r="D3156" s="626" t="s">
        <v>6227</v>
      </c>
      <c r="E3156" s="636">
        <v>5000</v>
      </c>
      <c r="F3156" s="637" t="s">
        <v>7064</v>
      </c>
      <c r="G3156" s="626" t="s">
        <v>7065</v>
      </c>
      <c r="H3156" s="626" t="s">
        <v>5790</v>
      </c>
      <c r="I3156" s="638" t="s">
        <v>6095</v>
      </c>
      <c r="J3156" s="625" t="s">
        <v>6096</v>
      </c>
      <c r="K3156" s="626">
        <v>1</v>
      </c>
      <c r="L3156" s="638">
        <v>5</v>
      </c>
      <c r="M3156" s="712">
        <v>25000</v>
      </c>
      <c r="N3156" s="638">
        <v>1</v>
      </c>
      <c r="O3156" s="626">
        <v>6</v>
      </c>
      <c r="P3156" s="712">
        <f t="shared" si="31"/>
        <v>30000</v>
      </c>
    </row>
    <row r="3157" spans="1:16" s="619" customFormat="1" ht="36" x14ac:dyDescent="0.2">
      <c r="A3157" s="626" t="s">
        <v>6091</v>
      </c>
      <c r="B3157" s="626" t="s">
        <v>1908</v>
      </c>
      <c r="C3157" s="638" t="s">
        <v>104</v>
      </c>
      <c r="D3157" s="626" t="s">
        <v>2660</v>
      </c>
      <c r="E3157" s="636">
        <v>2875</v>
      </c>
      <c r="F3157" s="637" t="s">
        <v>7066</v>
      </c>
      <c r="G3157" s="626" t="s">
        <v>7067</v>
      </c>
      <c r="H3157" s="626" t="s">
        <v>2660</v>
      </c>
      <c r="I3157" s="638" t="s">
        <v>6099</v>
      </c>
      <c r="J3157" s="625" t="s">
        <v>6100</v>
      </c>
      <c r="K3157" s="626">
        <v>1</v>
      </c>
      <c r="L3157" s="638">
        <v>5</v>
      </c>
      <c r="M3157" s="712">
        <v>14375</v>
      </c>
      <c r="N3157" s="638">
        <v>1</v>
      </c>
      <c r="O3157" s="626">
        <v>6</v>
      </c>
      <c r="P3157" s="712">
        <f t="shared" si="31"/>
        <v>17250</v>
      </c>
    </row>
    <row r="3158" spans="1:16" s="619" customFormat="1" ht="24" x14ac:dyDescent="0.2">
      <c r="A3158" s="626" t="s">
        <v>6091</v>
      </c>
      <c r="B3158" s="626" t="s">
        <v>1908</v>
      </c>
      <c r="C3158" s="638" t="s">
        <v>104</v>
      </c>
      <c r="D3158" s="626" t="s">
        <v>6158</v>
      </c>
      <c r="E3158" s="636">
        <v>1000</v>
      </c>
      <c r="F3158" s="637" t="s">
        <v>7068</v>
      </c>
      <c r="G3158" s="626" t="s">
        <v>7069</v>
      </c>
      <c r="H3158" s="626">
        <v>0</v>
      </c>
      <c r="I3158" s="638" t="s">
        <v>1919</v>
      </c>
      <c r="J3158" s="625" t="s">
        <v>6128</v>
      </c>
      <c r="K3158" s="626">
        <v>1</v>
      </c>
      <c r="L3158" s="638">
        <v>5</v>
      </c>
      <c r="M3158" s="712">
        <v>5000</v>
      </c>
      <c r="N3158" s="638">
        <v>1</v>
      </c>
      <c r="O3158" s="626">
        <v>5</v>
      </c>
      <c r="P3158" s="712">
        <f t="shared" si="31"/>
        <v>5000</v>
      </c>
    </row>
    <row r="3159" spans="1:16" s="619" customFormat="1" ht="24" x14ac:dyDescent="0.2">
      <c r="A3159" s="626" t="s">
        <v>6091</v>
      </c>
      <c r="B3159" s="626" t="s">
        <v>1908</v>
      </c>
      <c r="C3159" s="638" t="s">
        <v>104</v>
      </c>
      <c r="D3159" s="626" t="s">
        <v>6876</v>
      </c>
      <c r="E3159" s="636">
        <v>2875</v>
      </c>
      <c r="F3159" s="637" t="s">
        <v>7070</v>
      </c>
      <c r="G3159" s="626" t="s">
        <v>7071</v>
      </c>
      <c r="H3159" s="626">
        <v>0</v>
      </c>
      <c r="I3159" s="638" t="s">
        <v>1919</v>
      </c>
      <c r="J3159" s="625" t="s">
        <v>6128</v>
      </c>
      <c r="K3159" s="626">
        <v>1</v>
      </c>
      <c r="L3159" s="638">
        <v>5</v>
      </c>
      <c r="M3159" s="712">
        <v>14375</v>
      </c>
      <c r="N3159" s="638">
        <v>1</v>
      </c>
      <c r="O3159" s="626">
        <v>6</v>
      </c>
      <c r="P3159" s="712">
        <f t="shared" si="31"/>
        <v>17250</v>
      </c>
    </row>
    <row r="3160" spans="1:16" s="619" customFormat="1" ht="36" x14ac:dyDescent="0.2">
      <c r="A3160" s="626" t="s">
        <v>6091</v>
      </c>
      <c r="B3160" s="626" t="s">
        <v>1908</v>
      </c>
      <c r="C3160" s="638" t="s">
        <v>104</v>
      </c>
      <c r="D3160" s="626" t="s">
        <v>6092</v>
      </c>
      <c r="E3160" s="636">
        <v>5000</v>
      </c>
      <c r="F3160" s="637" t="s">
        <v>7072</v>
      </c>
      <c r="G3160" s="626" t="s">
        <v>7073</v>
      </c>
      <c r="H3160" s="626" t="s">
        <v>6092</v>
      </c>
      <c r="I3160" s="638" t="s">
        <v>6095</v>
      </c>
      <c r="J3160" s="625" t="s">
        <v>6096</v>
      </c>
      <c r="K3160" s="626">
        <v>1</v>
      </c>
      <c r="L3160" s="638">
        <v>4</v>
      </c>
      <c r="M3160" s="712">
        <v>20000</v>
      </c>
      <c r="N3160" s="638"/>
      <c r="O3160" s="626"/>
      <c r="P3160" s="712">
        <f t="shared" si="31"/>
        <v>0</v>
      </c>
    </row>
    <row r="3161" spans="1:16" s="619" customFormat="1" ht="24" x14ac:dyDescent="0.2">
      <c r="A3161" s="626" t="s">
        <v>6091</v>
      </c>
      <c r="B3161" s="626" t="s">
        <v>1908</v>
      </c>
      <c r="C3161" s="638" t="s">
        <v>104</v>
      </c>
      <c r="D3161" s="626" t="s">
        <v>6179</v>
      </c>
      <c r="E3161" s="636">
        <v>8000</v>
      </c>
      <c r="F3161" s="637" t="s">
        <v>7074</v>
      </c>
      <c r="G3161" s="626" t="s">
        <v>7075</v>
      </c>
      <c r="H3161" s="626" t="s">
        <v>6182</v>
      </c>
      <c r="I3161" s="638" t="s">
        <v>6095</v>
      </c>
      <c r="J3161" s="625" t="s">
        <v>6096</v>
      </c>
      <c r="K3161" s="626">
        <v>1</v>
      </c>
      <c r="L3161" s="638">
        <v>5</v>
      </c>
      <c r="M3161" s="712">
        <v>40000</v>
      </c>
      <c r="N3161" s="638">
        <v>1</v>
      </c>
      <c r="O3161" s="626">
        <v>6</v>
      </c>
      <c r="P3161" s="712">
        <f t="shared" si="31"/>
        <v>48000</v>
      </c>
    </row>
    <row r="3162" spans="1:16" s="619" customFormat="1" ht="36" x14ac:dyDescent="0.2">
      <c r="A3162" s="626" t="s">
        <v>6091</v>
      </c>
      <c r="B3162" s="626" t="s">
        <v>1908</v>
      </c>
      <c r="C3162" s="638" t="s">
        <v>104</v>
      </c>
      <c r="D3162" s="626" t="s">
        <v>6092</v>
      </c>
      <c r="E3162" s="636">
        <v>5000</v>
      </c>
      <c r="F3162" s="637" t="s">
        <v>7076</v>
      </c>
      <c r="G3162" s="626" t="s">
        <v>7077</v>
      </c>
      <c r="H3162" s="626" t="s">
        <v>6092</v>
      </c>
      <c r="I3162" s="638" t="s">
        <v>6095</v>
      </c>
      <c r="J3162" s="625" t="s">
        <v>6096</v>
      </c>
      <c r="K3162" s="626">
        <v>1</v>
      </c>
      <c r="L3162" s="638">
        <v>5</v>
      </c>
      <c r="M3162" s="712">
        <v>25000</v>
      </c>
      <c r="N3162" s="638">
        <v>1</v>
      </c>
      <c r="O3162" s="626">
        <v>6</v>
      </c>
      <c r="P3162" s="712">
        <f t="shared" si="31"/>
        <v>30000</v>
      </c>
    </row>
    <row r="3163" spans="1:16" s="619" customFormat="1" ht="36" x14ac:dyDescent="0.2">
      <c r="A3163" s="626" t="s">
        <v>6091</v>
      </c>
      <c r="B3163" s="626" t="s">
        <v>1908</v>
      </c>
      <c r="C3163" s="638" t="s">
        <v>104</v>
      </c>
      <c r="D3163" s="626" t="s">
        <v>2660</v>
      </c>
      <c r="E3163" s="636">
        <v>2875</v>
      </c>
      <c r="F3163" s="637" t="s">
        <v>7078</v>
      </c>
      <c r="G3163" s="626" t="s">
        <v>7079</v>
      </c>
      <c r="H3163" s="626" t="s">
        <v>2660</v>
      </c>
      <c r="I3163" s="638" t="s">
        <v>6099</v>
      </c>
      <c r="J3163" s="625" t="s">
        <v>6100</v>
      </c>
      <c r="K3163" s="626">
        <v>1</v>
      </c>
      <c r="L3163" s="638">
        <v>5</v>
      </c>
      <c r="M3163" s="712">
        <v>14375</v>
      </c>
      <c r="N3163" s="638">
        <v>1</v>
      </c>
      <c r="O3163" s="626">
        <v>1</v>
      </c>
      <c r="P3163" s="712">
        <f t="shared" si="31"/>
        <v>2875</v>
      </c>
    </row>
    <row r="3164" spans="1:16" s="619" customFormat="1" ht="36" x14ac:dyDescent="0.2">
      <c r="A3164" s="626" t="s">
        <v>6091</v>
      </c>
      <c r="B3164" s="626" t="s">
        <v>1908</v>
      </c>
      <c r="C3164" s="638" t="s">
        <v>104</v>
      </c>
      <c r="D3164" s="626" t="s">
        <v>6092</v>
      </c>
      <c r="E3164" s="636">
        <v>5000</v>
      </c>
      <c r="F3164" s="637" t="s">
        <v>7080</v>
      </c>
      <c r="G3164" s="626" t="s">
        <v>7081</v>
      </c>
      <c r="H3164" s="626" t="s">
        <v>6182</v>
      </c>
      <c r="I3164" s="638" t="s">
        <v>6095</v>
      </c>
      <c r="J3164" s="625" t="s">
        <v>6096</v>
      </c>
      <c r="K3164" s="626">
        <v>1</v>
      </c>
      <c r="L3164" s="638">
        <v>5</v>
      </c>
      <c r="M3164" s="712">
        <v>25000</v>
      </c>
      <c r="N3164" s="638">
        <v>1</v>
      </c>
      <c r="O3164" s="626">
        <v>6</v>
      </c>
      <c r="P3164" s="712">
        <f t="shared" si="31"/>
        <v>30000</v>
      </c>
    </row>
    <row r="3165" spans="1:16" s="619" customFormat="1" ht="36" x14ac:dyDescent="0.2">
      <c r="A3165" s="626" t="s">
        <v>6091</v>
      </c>
      <c r="B3165" s="626" t="s">
        <v>1908</v>
      </c>
      <c r="C3165" s="638" t="s">
        <v>104</v>
      </c>
      <c r="D3165" s="626" t="s">
        <v>6179</v>
      </c>
      <c r="E3165" s="636">
        <v>8000</v>
      </c>
      <c r="F3165" s="637" t="s">
        <v>7082</v>
      </c>
      <c r="G3165" s="626" t="s">
        <v>7083</v>
      </c>
      <c r="H3165" s="626" t="s">
        <v>6182</v>
      </c>
      <c r="I3165" s="638" t="s">
        <v>6095</v>
      </c>
      <c r="J3165" s="625" t="s">
        <v>6096</v>
      </c>
      <c r="K3165" s="626">
        <v>1</v>
      </c>
      <c r="L3165" s="638">
        <v>5</v>
      </c>
      <c r="M3165" s="712">
        <v>40000</v>
      </c>
      <c r="N3165" s="638">
        <v>1</v>
      </c>
      <c r="O3165" s="626">
        <v>4</v>
      </c>
      <c r="P3165" s="712">
        <f t="shared" si="31"/>
        <v>32000</v>
      </c>
    </row>
    <row r="3166" spans="1:16" s="619" customFormat="1" ht="24" x14ac:dyDescent="0.2">
      <c r="A3166" s="626" t="s">
        <v>6091</v>
      </c>
      <c r="B3166" s="626" t="s">
        <v>1908</v>
      </c>
      <c r="C3166" s="638" t="s">
        <v>104</v>
      </c>
      <c r="D3166" s="626" t="s">
        <v>6876</v>
      </c>
      <c r="E3166" s="636">
        <v>2875</v>
      </c>
      <c r="F3166" s="637" t="s">
        <v>7084</v>
      </c>
      <c r="G3166" s="626" t="s">
        <v>7085</v>
      </c>
      <c r="H3166" s="626"/>
      <c r="I3166" s="638" t="s">
        <v>1919</v>
      </c>
      <c r="J3166" s="625" t="s">
        <v>6128</v>
      </c>
      <c r="K3166" s="626">
        <v>1</v>
      </c>
      <c r="L3166" s="638">
        <v>5</v>
      </c>
      <c r="M3166" s="712">
        <v>14375</v>
      </c>
      <c r="N3166" s="638">
        <v>1</v>
      </c>
      <c r="O3166" s="626">
        <v>6</v>
      </c>
      <c r="P3166" s="712">
        <f t="shared" si="31"/>
        <v>17250</v>
      </c>
    </row>
    <row r="3167" spans="1:16" s="619" customFormat="1" ht="36" x14ac:dyDescent="0.2">
      <c r="A3167" s="626" t="s">
        <v>6091</v>
      </c>
      <c r="B3167" s="626" t="s">
        <v>1908</v>
      </c>
      <c r="C3167" s="638" t="s">
        <v>104</v>
      </c>
      <c r="D3167" s="626" t="s">
        <v>6149</v>
      </c>
      <c r="E3167" s="636">
        <v>5000</v>
      </c>
      <c r="F3167" s="637" t="s">
        <v>7086</v>
      </c>
      <c r="G3167" s="626" t="s">
        <v>7087</v>
      </c>
      <c r="H3167" s="626" t="s">
        <v>6152</v>
      </c>
      <c r="I3167" s="638" t="s">
        <v>6095</v>
      </c>
      <c r="J3167" s="625" t="s">
        <v>6096</v>
      </c>
      <c r="K3167" s="626">
        <v>1</v>
      </c>
      <c r="L3167" s="638">
        <v>5</v>
      </c>
      <c r="M3167" s="712">
        <v>25000</v>
      </c>
      <c r="N3167" s="638">
        <v>1</v>
      </c>
      <c r="O3167" s="626">
        <v>4</v>
      </c>
      <c r="P3167" s="712">
        <f t="shared" si="31"/>
        <v>20000</v>
      </c>
    </row>
    <row r="3168" spans="1:16" s="619" customFormat="1" ht="24" x14ac:dyDescent="0.2">
      <c r="A3168" s="626" t="s">
        <v>6091</v>
      </c>
      <c r="B3168" s="626" t="s">
        <v>1908</v>
      </c>
      <c r="C3168" s="638" t="s">
        <v>104</v>
      </c>
      <c r="D3168" s="626" t="s">
        <v>6158</v>
      </c>
      <c r="E3168" s="636">
        <v>2000</v>
      </c>
      <c r="F3168" s="637" t="s">
        <v>7088</v>
      </c>
      <c r="G3168" s="626" t="s">
        <v>7089</v>
      </c>
      <c r="H3168" s="626"/>
      <c r="I3168" s="638" t="s">
        <v>1919</v>
      </c>
      <c r="J3168" s="625" t="s">
        <v>6128</v>
      </c>
      <c r="K3168" s="626">
        <v>1</v>
      </c>
      <c r="L3168" s="638">
        <v>4</v>
      </c>
      <c r="M3168" s="712">
        <v>8000</v>
      </c>
      <c r="N3168" s="638">
        <v>1</v>
      </c>
      <c r="O3168" s="626">
        <v>6</v>
      </c>
      <c r="P3168" s="712">
        <f t="shared" si="31"/>
        <v>12000</v>
      </c>
    </row>
    <row r="3169" spans="1:16" s="619" customFormat="1" ht="36" x14ac:dyDescent="0.2">
      <c r="A3169" s="626" t="s">
        <v>6091</v>
      </c>
      <c r="B3169" s="626" t="s">
        <v>1908</v>
      </c>
      <c r="C3169" s="638" t="s">
        <v>104</v>
      </c>
      <c r="D3169" s="626" t="s">
        <v>6179</v>
      </c>
      <c r="E3169" s="636">
        <v>9000</v>
      </c>
      <c r="F3169" s="637" t="s">
        <v>7090</v>
      </c>
      <c r="G3169" s="626" t="s">
        <v>7091</v>
      </c>
      <c r="H3169" s="626" t="s">
        <v>6182</v>
      </c>
      <c r="I3169" s="638" t="s">
        <v>6095</v>
      </c>
      <c r="J3169" s="625" t="s">
        <v>6096</v>
      </c>
      <c r="K3169" s="626">
        <v>1</v>
      </c>
      <c r="L3169" s="638">
        <v>4</v>
      </c>
      <c r="M3169" s="712">
        <v>36000</v>
      </c>
      <c r="N3169" s="638">
        <v>1</v>
      </c>
      <c r="O3169" s="626">
        <v>2</v>
      </c>
      <c r="P3169" s="712">
        <f t="shared" si="31"/>
        <v>18000</v>
      </c>
    </row>
    <row r="3170" spans="1:16" s="619" customFormat="1" ht="24" x14ac:dyDescent="0.2">
      <c r="A3170" s="626" t="s">
        <v>6091</v>
      </c>
      <c r="B3170" s="626" t="s">
        <v>1908</v>
      </c>
      <c r="C3170" s="638" t="s">
        <v>104</v>
      </c>
      <c r="D3170" s="626" t="s">
        <v>6179</v>
      </c>
      <c r="E3170" s="636">
        <v>9000</v>
      </c>
      <c r="F3170" s="637" t="s">
        <v>7092</v>
      </c>
      <c r="G3170" s="626" t="s">
        <v>7093</v>
      </c>
      <c r="H3170" s="626" t="s">
        <v>6182</v>
      </c>
      <c r="I3170" s="638" t="s">
        <v>6095</v>
      </c>
      <c r="J3170" s="625" t="s">
        <v>6096</v>
      </c>
      <c r="K3170" s="626">
        <v>1</v>
      </c>
      <c r="L3170" s="638">
        <v>4</v>
      </c>
      <c r="M3170" s="712">
        <v>36000</v>
      </c>
      <c r="N3170" s="638">
        <v>1</v>
      </c>
      <c r="O3170" s="626">
        <v>6</v>
      </c>
      <c r="P3170" s="712">
        <f t="shared" si="31"/>
        <v>54000</v>
      </c>
    </row>
    <row r="3171" spans="1:16" s="619" customFormat="1" ht="24" x14ac:dyDescent="0.2">
      <c r="A3171" s="626" t="s">
        <v>6091</v>
      </c>
      <c r="B3171" s="626" t="s">
        <v>1908</v>
      </c>
      <c r="C3171" s="638" t="s">
        <v>104</v>
      </c>
      <c r="D3171" s="626" t="s">
        <v>1996</v>
      </c>
      <c r="E3171" s="636">
        <v>2875</v>
      </c>
      <c r="F3171" s="637" t="s">
        <v>7094</v>
      </c>
      <c r="G3171" s="626" t="s">
        <v>5021</v>
      </c>
      <c r="H3171" s="626"/>
      <c r="I3171" s="638" t="s">
        <v>1919</v>
      </c>
      <c r="J3171" s="625" t="s">
        <v>6128</v>
      </c>
      <c r="K3171" s="626">
        <v>1</v>
      </c>
      <c r="L3171" s="638">
        <v>4</v>
      </c>
      <c r="M3171" s="712">
        <v>11500</v>
      </c>
      <c r="N3171" s="638"/>
      <c r="O3171" s="626"/>
      <c r="P3171" s="712">
        <f t="shared" si="31"/>
        <v>0</v>
      </c>
    </row>
    <row r="3172" spans="1:16" s="619" customFormat="1" ht="36" x14ac:dyDescent="0.2">
      <c r="A3172" s="626" t="s">
        <v>6091</v>
      </c>
      <c r="B3172" s="626" t="s">
        <v>1908</v>
      </c>
      <c r="C3172" s="638" t="s">
        <v>104</v>
      </c>
      <c r="D3172" s="626" t="s">
        <v>2660</v>
      </c>
      <c r="E3172" s="636">
        <v>3300</v>
      </c>
      <c r="F3172" s="637" t="s">
        <v>7095</v>
      </c>
      <c r="G3172" s="626" t="s">
        <v>7096</v>
      </c>
      <c r="H3172" s="626" t="s">
        <v>2660</v>
      </c>
      <c r="I3172" s="638" t="s">
        <v>6099</v>
      </c>
      <c r="J3172" s="625" t="s">
        <v>6100</v>
      </c>
      <c r="K3172" s="626">
        <v>1</v>
      </c>
      <c r="L3172" s="638">
        <v>4</v>
      </c>
      <c r="M3172" s="712">
        <v>13200</v>
      </c>
      <c r="N3172" s="638">
        <v>1</v>
      </c>
      <c r="O3172" s="626">
        <v>3</v>
      </c>
      <c r="P3172" s="712">
        <f t="shared" si="31"/>
        <v>9900</v>
      </c>
    </row>
    <row r="3173" spans="1:16" s="619" customFormat="1" ht="24" x14ac:dyDescent="0.2">
      <c r="A3173" s="626" t="s">
        <v>6091</v>
      </c>
      <c r="B3173" s="626" t="s">
        <v>1908</v>
      </c>
      <c r="C3173" s="638" t="s">
        <v>104</v>
      </c>
      <c r="D3173" s="626" t="s">
        <v>6092</v>
      </c>
      <c r="E3173" s="636">
        <v>6000</v>
      </c>
      <c r="F3173" s="637" t="s">
        <v>7097</v>
      </c>
      <c r="G3173" s="626" t="s">
        <v>7098</v>
      </c>
      <c r="H3173" s="626" t="s">
        <v>6092</v>
      </c>
      <c r="I3173" s="638" t="s">
        <v>6095</v>
      </c>
      <c r="J3173" s="625" t="s">
        <v>6096</v>
      </c>
      <c r="K3173" s="626">
        <v>1</v>
      </c>
      <c r="L3173" s="638">
        <v>4</v>
      </c>
      <c r="M3173" s="712">
        <v>24000</v>
      </c>
      <c r="N3173" s="638">
        <v>1</v>
      </c>
      <c r="O3173" s="626">
        <v>6</v>
      </c>
      <c r="P3173" s="712">
        <f t="shared" si="31"/>
        <v>36000</v>
      </c>
    </row>
    <row r="3174" spans="1:16" s="619" customFormat="1" ht="36" x14ac:dyDescent="0.2">
      <c r="A3174" s="626" t="s">
        <v>6091</v>
      </c>
      <c r="B3174" s="626" t="s">
        <v>1908</v>
      </c>
      <c r="C3174" s="638" t="s">
        <v>104</v>
      </c>
      <c r="D3174" s="626" t="s">
        <v>6299</v>
      </c>
      <c r="E3174" s="636">
        <v>2875</v>
      </c>
      <c r="F3174" s="637" t="s">
        <v>7099</v>
      </c>
      <c r="G3174" s="626" t="s">
        <v>7100</v>
      </c>
      <c r="H3174" s="626" t="s">
        <v>6273</v>
      </c>
      <c r="I3174" s="638" t="s">
        <v>6099</v>
      </c>
      <c r="J3174" s="625" t="s">
        <v>6100</v>
      </c>
      <c r="K3174" s="626">
        <v>1</v>
      </c>
      <c r="L3174" s="638">
        <v>4</v>
      </c>
      <c r="M3174" s="712">
        <v>11500</v>
      </c>
      <c r="N3174" s="638">
        <v>1</v>
      </c>
      <c r="O3174" s="626">
        <v>6</v>
      </c>
      <c r="P3174" s="712">
        <f t="shared" si="31"/>
        <v>17250</v>
      </c>
    </row>
    <row r="3175" spans="1:16" s="619" customFormat="1" ht="48" x14ac:dyDescent="0.2">
      <c r="A3175" s="626" t="s">
        <v>6091</v>
      </c>
      <c r="B3175" s="626" t="s">
        <v>1908</v>
      </c>
      <c r="C3175" s="638" t="s">
        <v>104</v>
      </c>
      <c r="D3175" s="626" t="s">
        <v>6101</v>
      </c>
      <c r="E3175" s="636">
        <v>5000</v>
      </c>
      <c r="F3175" s="637" t="s">
        <v>7101</v>
      </c>
      <c r="G3175" s="626" t="s">
        <v>7102</v>
      </c>
      <c r="H3175" s="626" t="s">
        <v>6101</v>
      </c>
      <c r="I3175" s="638" t="s">
        <v>6095</v>
      </c>
      <c r="J3175" s="625" t="s">
        <v>6096</v>
      </c>
      <c r="K3175" s="626">
        <v>1</v>
      </c>
      <c r="L3175" s="638">
        <v>4</v>
      </c>
      <c r="M3175" s="712">
        <v>20000</v>
      </c>
      <c r="N3175" s="638">
        <v>1</v>
      </c>
      <c r="O3175" s="626">
        <v>3</v>
      </c>
      <c r="P3175" s="712">
        <f t="shared" si="31"/>
        <v>15000</v>
      </c>
    </row>
    <row r="3176" spans="1:16" s="619" customFormat="1" ht="36" x14ac:dyDescent="0.2">
      <c r="A3176" s="626" t="s">
        <v>6091</v>
      </c>
      <c r="B3176" s="626" t="s">
        <v>1908</v>
      </c>
      <c r="C3176" s="638" t="s">
        <v>104</v>
      </c>
      <c r="D3176" s="626" t="s">
        <v>6158</v>
      </c>
      <c r="E3176" s="636">
        <v>1000</v>
      </c>
      <c r="F3176" s="637" t="s">
        <v>7103</v>
      </c>
      <c r="G3176" s="626" t="s">
        <v>7104</v>
      </c>
      <c r="H3176" s="626" t="s">
        <v>6557</v>
      </c>
      <c r="I3176" s="638" t="s">
        <v>6099</v>
      </c>
      <c r="J3176" s="625" t="s">
        <v>6100</v>
      </c>
      <c r="K3176" s="626">
        <v>1</v>
      </c>
      <c r="L3176" s="638">
        <v>4</v>
      </c>
      <c r="M3176" s="712">
        <v>4000</v>
      </c>
      <c r="N3176" s="638">
        <v>1</v>
      </c>
      <c r="O3176" s="626">
        <v>2</v>
      </c>
      <c r="P3176" s="712">
        <f t="shared" si="31"/>
        <v>2000</v>
      </c>
    </row>
    <row r="3177" spans="1:16" s="619" customFormat="1" ht="48" x14ac:dyDescent="0.2">
      <c r="A3177" s="626" t="s">
        <v>6091</v>
      </c>
      <c r="B3177" s="626" t="s">
        <v>1908</v>
      </c>
      <c r="C3177" s="638" t="s">
        <v>104</v>
      </c>
      <c r="D3177" s="626" t="s">
        <v>6092</v>
      </c>
      <c r="E3177" s="636">
        <v>5000</v>
      </c>
      <c r="F3177" s="637" t="s">
        <v>7105</v>
      </c>
      <c r="G3177" s="626" t="s">
        <v>7106</v>
      </c>
      <c r="H3177" s="626" t="s">
        <v>6092</v>
      </c>
      <c r="I3177" s="638" t="s">
        <v>6095</v>
      </c>
      <c r="J3177" s="625" t="s">
        <v>6096</v>
      </c>
      <c r="K3177" s="626">
        <v>1</v>
      </c>
      <c r="L3177" s="638">
        <v>4</v>
      </c>
      <c r="M3177" s="712">
        <v>20000</v>
      </c>
      <c r="N3177" s="638">
        <v>1</v>
      </c>
      <c r="O3177" s="626">
        <v>6</v>
      </c>
      <c r="P3177" s="712">
        <f t="shared" si="31"/>
        <v>30000</v>
      </c>
    </row>
    <row r="3178" spans="1:16" s="619" customFormat="1" ht="36" x14ac:dyDescent="0.2">
      <c r="A3178" s="626" t="s">
        <v>6091</v>
      </c>
      <c r="B3178" s="626" t="s">
        <v>1908</v>
      </c>
      <c r="C3178" s="638" t="s">
        <v>104</v>
      </c>
      <c r="D3178" s="626" t="s">
        <v>6092</v>
      </c>
      <c r="E3178" s="636">
        <v>5000</v>
      </c>
      <c r="F3178" s="637" t="s">
        <v>7107</v>
      </c>
      <c r="G3178" s="626" t="s">
        <v>7108</v>
      </c>
      <c r="H3178" s="626" t="s">
        <v>6092</v>
      </c>
      <c r="I3178" s="638" t="s">
        <v>6095</v>
      </c>
      <c r="J3178" s="625" t="s">
        <v>6096</v>
      </c>
      <c r="K3178" s="626">
        <v>1</v>
      </c>
      <c r="L3178" s="638">
        <v>4</v>
      </c>
      <c r="M3178" s="712">
        <v>20000</v>
      </c>
      <c r="N3178" s="638">
        <v>1</v>
      </c>
      <c r="O3178" s="626">
        <v>6</v>
      </c>
      <c r="P3178" s="712">
        <f t="shared" si="31"/>
        <v>30000</v>
      </c>
    </row>
    <row r="3179" spans="1:16" s="619" customFormat="1" ht="36" x14ac:dyDescent="0.2">
      <c r="A3179" s="626" t="s">
        <v>6091</v>
      </c>
      <c r="B3179" s="626" t="s">
        <v>1908</v>
      </c>
      <c r="C3179" s="638" t="s">
        <v>104</v>
      </c>
      <c r="D3179" s="626" t="s">
        <v>2660</v>
      </c>
      <c r="E3179" s="636">
        <v>3300</v>
      </c>
      <c r="F3179" s="637" t="s">
        <v>7109</v>
      </c>
      <c r="G3179" s="626" t="s">
        <v>7110</v>
      </c>
      <c r="H3179" s="626" t="s">
        <v>2660</v>
      </c>
      <c r="I3179" s="638" t="s">
        <v>6099</v>
      </c>
      <c r="J3179" s="625" t="s">
        <v>6100</v>
      </c>
      <c r="K3179" s="626">
        <v>1</v>
      </c>
      <c r="L3179" s="638">
        <v>4</v>
      </c>
      <c r="M3179" s="712">
        <v>13200</v>
      </c>
      <c r="N3179" s="638">
        <v>1</v>
      </c>
      <c r="O3179" s="626">
        <v>2</v>
      </c>
      <c r="P3179" s="712">
        <f t="shared" si="31"/>
        <v>6600</v>
      </c>
    </row>
    <row r="3180" spans="1:16" s="619" customFormat="1" ht="48" x14ac:dyDescent="0.2">
      <c r="A3180" s="626" t="s">
        <v>6091</v>
      </c>
      <c r="B3180" s="626" t="s">
        <v>1908</v>
      </c>
      <c r="C3180" s="638" t="s">
        <v>104</v>
      </c>
      <c r="D3180" s="626" t="s">
        <v>1996</v>
      </c>
      <c r="E3180" s="636">
        <v>2875</v>
      </c>
      <c r="F3180" s="637" t="s">
        <v>7111</v>
      </c>
      <c r="G3180" s="626" t="s">
        <v>7112</v>
      </c>
      <c r="H3180" s="626"/>
      <c r="I3180" s="638" t="s">
        <v>1919</v>
      </c>
      <c r="J3180" s="625" t="s">
        <v>6128</v>
      </c>
      <c r="K3180" s="626">
        <v>1</v>
      </c>
      <c r="L3180" s="638">
        <v>4</v>
      </c>
      <c r="M3180" s="712">
        <v>11500</v>
      </c>
      <c r="N3180" s="638">
        <v>1</v>
      </c>
      <c r="O3180" s="626">
        <v>6</v>
      </c>
      <c r="P3180" s="712">
        <f t="shared" si="31"/>
        <v>17250</v>
      </c>
    </row>
    <row r="3181" spans="1:16" s="619" customFormat="1" ht="36" x14ac:dyDescent="0.2">
      <c r="A3181" s="626" t="s">
        <v>6091</v>
      </c>
      <c r="B3181" s="626" t="s">
        <v>1908</v>
      </c>
      <c r="C3181" s="638" t="s">
        <v>104</v>
      </c>
      <c r="D3181" s="626" t="s">
        <v>6092</v>
      </c>
      <c r="E3181" s="636">
        <v>6000</v>
      </c>
      <c r="F3181" s="637" t="s">
        <v>7113</v>
      </c>
      <c r="G3181" s="626" t="s">
        <v>7114</v>
      </c>
      <c r="H3181" s="626" t="s">
        <v>6092</v>
      </c>
      <c r="I3181" s="638" t="s">
        <v>6095</v>
      </c>
      <c r="J3181" s="625" t="s">
        <v>6096</v>
      </c>
      <c r="K3181" s="626">
        <v>1</v>
      </c>
      <c r="L3181" s="638">
        <v>4</v>
      </c>
      <c r="M3181" s="712">
        <v>24000</v>
      </c>
      <c r="N3181" s="638"/>
      <c r="O3181" s="626"/>
      <c r="P3181" s="712">
        <f t="shared" si="31"/>
        <v>0</v>
      </c>
    </row>
    <row r="3182" spans="1:16" s="619" customFormat="1" ht="24" x14ac:dyDescent="0.2">
      <c r="A3182" s="626" t="s">
        <v>6091</v>
      </c>
      <c r="B3182" s="626" t="s">
        <v>1908</v>
      </c>
      <c r="C3182" s="638" t="s">
        <v>104</v>
      </c>
      <c r="D3182" s="626" t="s">
        <v>1996</v>
      </c>
      <c r="E3182" s="636">
        <v>2300</v>
      </c>
      <c r="F3182" s="637" t="s">
        <v>7115</v>
      </c>
      <c r="G3182" s="626" t="s">
        <v>7116</v>
      </c>
      <c r="H3182" s="626"/>
      <c r="I3182" s="638" t="s">
        <v>1919</v>
      </c>
      <c r="J3182" s="625" t="s">
        <v>6128</v>
      </c>
      <c r="K3182" s="626">
        <v>1</v>
      </c>
      <c r="L3182" s="638">
        <v>4</v>
      </c>
      <c r="M3182" s="712">
        <v>9200</v>
      </c>
      <c r="N3182" s="638">
        <v>1</v>
      </c>
      <c r="O3182" s="626">
        <v>6</v>
      </c>
      <c r="P3182" s="712">
        <f t="shared" si="31"/>
        <v>13800</v>
      </c>
    </row>
    <row r="3183" spans="1:16" s="619" customFormat="1" ht="24" x14ac:dyDescent="0.2">
      <c r="A3183" s="626" t="s">
        <v>6091</v>
      </c>
      <c r="B3183" s="626" t="s">
        <v>1908</v>
      </c>
      <c r="C3183" s="638" t="s">
        <v>104</v>
      </c>
      <c r="D3183" s="626" t="s">
        <v>1996</v>
      </c>
      <c r="E3183" s="636">
        <v>2875</v>
      </c>
      <c r="F3183" s="637" t="s">
        <v>7117</v>
      </c>
      <c r="G3183" s="626" t="s">
        <v>7118</v>
      </c>
      <c r="H3183" s="626"/>
      <c r="I3183" s="638" t="s">
        <v>1919</v>
      </c>
      <c r="J3183" s="625" t="s">
        <v>6128</v>
      </c>
      <c r="K3183" s="626">
        <v>1</v>
      </c>
      <c r="L3183" s="638">
        <v>4</v>
      </c>
      <c r="M3183" s="712">
        <v>11500</v>
      </c>
      <c r="N3183" s="638">
        <v>1</v>
      </c>
      <c r="O3183" s="626">
        <v>6</v>
      </c>
      <c r="P3183" s="712">
        <f t="shared" si="31"/>
        <v>17250</v>
      </c>
    </row>
    <row r="3184" spans="1:16" s="619" customFormat="1" ht="36" x14ac:dyDescent="0.2">
      <c r="A3184" s="626" t="s">
        <v>6091</v>
      </c>
      <c r="B3184" s="626" t="s">
        <v>1908</v>
      </c>
      <c r="C3184" s="638" t="s">
        <v>104</v>
      </c>
      <c r="D3184" s="626" t="s">
        <v>3606</v>
      </c>
      <c r="E3184" s="636">
        <v>3300</v>
      </c>
      <c r="F3184" s="637" t="s">
        <v>7119</v>
      </c>
      <c r="G3184" s="626" t="s">
        <v>7120</v>
      </c>
      <c r="H3184" s="626" t="s">
        <v>6557</v>
      </c>
      <c r="I3184" s="638" t="s">
        <v>6099</v>
      </c>
      <c r="J3184" s="625" t="s">
        <v>6100</v>
      </c>
      <c r="K3184" s="626">
        <v>1</v>
      </c>
      <c r="L3184" s="638">
        <v>4</v>
      </c>
      <c r="M3184" s="712">
        <v>13200</v>
      </c>
      <c r="N3184" s="638">
        <v>1</v>
      </c>
      <c r="O3184" s="626">
        <v>3</v>
      </c>
      <c r="P3184" s="712">
        <f t="shared" si="31"/>
        <v>9900</v>
      </c>
    </row>
    <row r="3185" spans="1:16" s="619" customFormat="1" ht="36" x14ac:dyDescent="0.2">
      <c r="A3185" s="626" t="s">
        <v>6091</v>
      </c>
      <c r="B3185" s="626" t="s">
        <v>1908</v>
      </c>
      <c r="C3185" s="638" t="s">
        <v>104</v>
      </c>
      <c r="D3185" s="626" t="s">
        <v>6179</v>
      </c>
      <c r="E3185" s="636">
        <v>9000</v>
      </c>
      <c r="F3185" s="637" t="s">
        <v>7121</v>
      </c>
      <c r="G3185" s="626" t="s">
        <v>7122</v>
      </c>
      <c r="H3185" s="626" t="s">
        <v>6182</v>
      </c>
      <c r="I3185" s="638" t="s">
        <v>6095</v>
      </c>
      <c r="J3185" s="625" t="s">
        <v>6096</v>
      </c>
      <c r="K3185" s="626">
        <v>1</v>
      </c>
      <c r="L3185" s="638">
        <v>4</v>
      </c>
      <c r="M3185" s="712">
        <v>36000</v>
      </c>
      <c r="N3185" s="638"/>
      <c r="O3185" s="626"/>
      <c r="P3185" s="712">
        <f t="shared" si="31"/>
        <v>0</v>
      </c>
    </row>
    <row r="3186" spans="1:16" s="619" customFormat="1" ht="36" x14ac:dyDescent="0.2">
      <c r="A3186" s="626" t="s">
        <v>6091</v>
      </c>
      <c r="B3186" s="626" t="s">
        <v>1908</v>
      </c>
      <c r="C3186" s="638" t="s">
        <v>104</v>
      </c>
      <c r="D3186" s="626" t="s">
        <v>6092</v>
      </c>
      <c r="E3186" s="636">
        <v>6000</v>
      </c>
      <c r="F3186" s="637" t="s">
        <v>7123</v>
      </c>
      <c r="G3186" s="626" t="s">
        <v>7124</v>
      </c>
      <c r="H3186" s="626" t="s">
        <v>6092</v>
      </c>
      <c r="I3186" s="638" t="s">
        <v>6095</v>
      </c>
      <c r="J3186" s="625" t="s">
        <v>6096</v>
      </c>
      <c r="K3186" s="626">
        <v>1</v>
      </c>
      <c r="L3186" s="638">
        <v>4</v>
      </c>
      <c r="M3186" s="712">
        <v>24000</v>
      </c>
      <c r="N3186" s="638">
        <v>1</v>
      </c>
      <c r="O3186" s="626">
        <v>6</v>
      </c>
      <c r="P3186" s="712">
        <f t="shared" si="31"/>
        <v>36000</v>
      </c>
    </row>
    <row r="3187" spans="1:16" s="619" customFormat="1" ht="36" x14ac:dyDescent="0.2">
      <c r="A3187" s="626" t="s">
        <v>6091</v>
      </c>
      <c r="B3187" s="626" t="s">
        <v>1908</v>
      </c>
      <c r="C3187" s="638" t="s">
        <v>104</v>
      </c>
      <c r="D3187" s="626" t="s">
        <v>6179</v>
      </c>
      <c r="E3187" s="636">
        <v>9000</v>
      </c>
      <c r="F3187" s="637" t="s">
        <v>7125</v>
      </c>
      <c r="G3187" s="626" t="s">
        <v>7126</v>
      </c>
      <c r="H3187" s="626" t="s">
        <v>6182</v>
      </c>
      <c r="I3187" s="638" t="s">
        <v>6095</v>
      </c>
      <c r="J3187" s="625" t="s">
        <v>6096</v>
      </c>
      <c r="K3187" s="626">
        <v>1</v>
      </c>
      <c r="L3187" s="638">
        <v>4</v>
      </c>
      <c r="M3187" s="712">
        <v>36000</v>
      </c>
      <c r="N3187" s="638">
        <v>1</v>
      </c>
      <c r="O3187" s="626">
        <v>4</v>
      </c>
      <c r="P3187" s="712">
        <f t="shared" si="31"/>
        <v>36000</v>
      </c>
    </row>
    <row r="3188" spans="1:16" s="619" customFormat="1" ht="36" x14ac:dyDescent="0.2">
      <c r="A3188" s="626" t="s">
        <v>6091</v>
      </c>
      <c r="B3188" s="626" t="s">
        <v>1908</v>
      </c>
      <c r="C3188" s="638" t="s">
        <v>104</v>
      </c>
      <c r="D3188" s="626" t="s">
        <v>7127</v>
      </c>
      <c r="E3188" s="636">
        <v>3300</v>
      </c>
      <c r="F3188" s="637" t="s">
        <v>7128</v>
      </c>
      <c r="G3188" s="626" t="s">
        <v>7129</v>
      </c>
      <c r="H3188" s="626" t="s">
        <v>6557</v>
      </c>
      <c r="I3188" s="638" t="s">
        <v>6099</v>
      </c>
      <c r="J3188" s="625" t="s">
        <v>6100</v>
      </c>
      <c r="K3188" s="626">
        <v>1</v>
      </c>
      <c r="L3188" s="638">
        <v>4</v>
      </c>
      <c r="M3188" s="712">
        <v>13200</v>
      </c>
      <c r="N3188" s="638">
        <v>1</v>
      </c>
      <c r="O3188" s="626">
        <v>3</v>
      </c>
      <c r="P3188" s="712">
        <f t="shared" si="31"/>
        <v>9900</v>
      </c>
    </row>
    <row r="3189" spans="1:16" s="619" customFormat="1" ht="36" x14ac:dyDescent="0.2">
      <c r="A3189" s="626" t="s">
        <v>6091</v>
      </c>
      <c r="B3189" s="626" t="s">
        <v>1908</v>
      </c>
      <c r="C3189" s="638" t="s">
        <v>104</v>
      </c>
      <c r="D3189" s="626" t="s">
        <v>2660</v>
      </c>
      <c r="E3189" s="636">
        <v>3300</v>
      </c>
      <c r="F3189" s="637" t="s">
        <v>7130</v>
      </c>
      <c r="G3189" s="626" t="s">
        <v>7131</v>
      </c>
      <c r="H3189" s="626" t="s">
        <v>2660</v>
      </c>
      <c r="I3189" s="638" t="s">
        <v>6099</v>
      </c>
      <c r="J3189" s="625" t="s">
        <v>6100</v>
      </c>
      <c r="K3189" s="626">
        <v>1</v>
      </c>
      <c r="L3189" s="638">
        <v>4</v>
      </c>
      <c r="M3189" s="712">
        <v>13200</v>
      </c>
      <c r="N3189" s="638">
        <v>1</v>
      </c>
      <c r="O3189" s="626">
        <v>6</v>
      </c>
      <c r="P3189" s="712">
        <f t="shared" si="31"/>
        <v>19800</v>
      </c>
    </row>
    <row r="3190" spans="1:16" s="619" customFormat="1" ht="36" x14ac:dyDescent="0.2">
      <c r="A3190" s="626" t="s">
        <v>6091</v>
      </c>
      <c r="B3190" s="626" t="s">
        <v>1908</v>
      </c>
      <c r="C3190" s="638" t="s">
        <v>104</v>
      </c>
      <c r="D3190" s="626" t="s">
        <v>6092</v>
      </c>
      <c r="E3190" s="636">
        <v>6000</v>
      </c>
      <c r="F3190" s="637" t="s">
        <v>7132</v>
      </c>
      <c r="G3190" s="626" t="s">
        <v>7133</v>
      </c>
      <c r="H3190" s="626" t="s">
        <v>6092</v>
      </c>
      <c r="I3190" s="638" t="s">
        <v>6095</v>
      </c>
      <c r="J3190" s="625" t="s">
        <v>6096</v>
      </c>
      <c r="K3190" s="626">
        <v>1</v>
      </c>
      <c r="L3190" s="638">
        <v>4</v>
      </c>
      <c r="M3190" s="712">
        <v>24000</v>
      </c>
      <c r="N3190" s="638">
        <v>1</v>
      </c>
      <c r="O3190" s="626">
        <v>6</v>
      </c>
      <c r="P3190" s="712">
        <f t="shared" si="31"/>
        <v>36000</v>
      </c>
    </row>
    <row r="3191" spans="1:16" s="619" customFormat="1" ht="36" x14ac:dyDescent="0.2">
      <c r="A3191" s="626" t="s">
        <v>6091</v>
      </c>
      <c r="B3191" s="626" t="s">
        <v>1908</v>
      </c>
      <c r="C3191" s="638" t="s">
        <v>104</v>
      </c>
      <c r="D3191" s="626" t="s">
        <v>2660</v>
      </c>
      <c r="E3191" s="636">
        <v>2000</v>
      </c>
      <c r="F3191" s="637" t="s">
        <v>7134</v>
      </c>
      <c r="G3191" s="626" t="s">
        <v>7135</v>
      </c>
      <c r="H3191" s="626" t="s">
        <v>2660</v>
      </c>
      <c r="I3191" s="638" t="s">
        <v>6099</v>
      </c>
      <c r="J3191" s="625" t="s">
        <v>6100</v>
      </c>
      <c r="K3191" s="626">
        <v>1</v>
      </c>
      <c r="L3191" s="638">
        <v>4</v>
      </c>
      <c r="M3191" s="712">
        <v>8000</v>
      </c>
      <c r="N3191" s="638">
        <v>1</v>
      </c>
      <c r="O3191" s="626">
        <v>5</v>
      </c>
      <c r="P3191" s="712">
        <f t="shared" si="31"/>
        <v>10000</v>
      </c>
    </row>
    <row r="3192" spans="1:16" s="619" customFormat="1" ht="36" x14ac:dyDescent="0.2">
      <c r="A3192" s="626" t="s">
        <v>6091</v>
      </c>
      <c r="B3192" s="626" t="s">
        <v>1908</v>
      </c>
      <c r="C3192" s="638" t="s">
        <v>104</v>
      </c>
      <c r="D3192" s="626" t="s">
        <v>2660</v>
      </c>
      <c r="E3192" s="636">
        <v>3300</v>
      </c>
      <c r="F3192" s="637" t="s">
        <v>7136</v>
      </c>
      <c r="G3192" s="626" t="s">
        <v>7137</v>
      </c>
      <c r="H3192" s="626" t="s">
        <v>2660</v>
      </c>
      <c r="I3192" s="638" t="s">
        <v>6099</v>
      </c>
      <c r="J3192" s="625" t="s">
        <v>6100</v>
      </c>
      <c r="K3192" s="626">
        <v>1</v>
      </c>
      <c r="L3192" s="638">
        <v>4</v>
      </c>
      <c r="M3192" s="712">
        <v>13200</v>
      </c>
      <c r="N3192" s="638">
        <v>1</v>
      </c>
      <c r="O3192" s="626">
        <v>3</v>
      </c>
      <c r="P3192" s="712">
        <f t="shared" si="31"/>
        <v>9900</v>
      </c>
    </row>
    <row r="3193" spans="1:16" s="619" customFormat="1" ht="24" x14ac:dyDescent="0.2">
      <c r="A3193" s="626" t="s">
        <v>6091</v>
      </c>
      <c r="B3193" s="626" t="s">
        <v>1908</v>
      </c>
      <c r="C3193" s="638" t="s">
        <v>104</v>
      </c>
      <c r="D3193" s="626" t="s">
        <v>2946</v>
      </c>
      <c r="E3193" s="636">
        <v>2000</v>
      </c>
      <c r="F3193" s="637" t="s">
        <v>7138</v>
      </c>
      <c r="G3193" s="626" t="s">
        <v>2529</v>
      </c>
      <c r="H3193" s="626" t="s">
        <v>1965</v>
      </c>
      <c r="I3193" s="638" t="s">
        <v>6095</v>
      </c>
      <c r="J3193" s="625" t="s">
        <v>6096</v>
      </c>
      <c r="K3193" s="713">
        <v>0</v>
      </c>
      <c r="L3193" s="638"/>
      <c r="M3193" s="712"/>
      <c r="N3193" s="638">
        <v>1</v>
      </c>
      <c r="O3193" s="626">
        <v>6</v>
      </c>
      <c r="P3193" s="712">
        <f>O3193*E3193</f>
        <v>12000</v>
      </c>
    </row>
    <row r="3194" spans="1:16" s="619" customFormat="1" ht="48" x14ac:dyDescent="0.2">
      <c r="A3194" s="626" t="s">
        <v>6091</v>
      </c>
      <c r="B3194" s="626" t="s">
        <v>1908</v>
      </c>
      <c r="C3194" s="638" t="s">
        <v>104</v>
      </c>
      <c r="D3194" s="626" t="s">
        <v>6227</v>
      </c>
      <c r="E3194" s="636">
        <v>2000</v>
      </c>
      <c r="F3194" s="637" t="s">
        <v>7139</v>
      </c>
      <c r="G3194" s="626" t="s">
        <v>7140</v>
      </c>
      <c r="H3194" s="626" t="s">
        <v>6227</v>
      </c>
      <c r="I3194" s="638" t="s">
        <v>6095</v>
      </c>
      <c r="J3194" s="625" t="s">
        <v>6096</v>
      </c>
      <c r="K3194" s="713">
        <v>0</v>
      </c>
      <c r="L3194" s="638"/>
      <c r="M3194" s="712"/>
      <c r="N3194" s="638">
        <v>1</v>
      </c>
      <c r="O3194" s="626">
        <v>6</v>
      </c>
      <c r="P3194" s="712">
        <f t="shared" ref="P3194:P3257" si="32">O3194*E3194</f>
        <v>12000</v>
      </c>
    </row>
    <row r="3195" spans="1:16" s="619" customFormat="1" ht="24" x14ac:dyDescent="0.2">
      <c r="A3195" s="626" t="s">
        <v>6091</v>
      </c>
      <c r="B3195" s="626" t="s">
        <v>1908</v>
      </c>
      <c r="C3195" s="638" t="s">
        <v>104</v>
      </c>
      <c r="D3195" s="626" t="s">
        <v>3583</v>
      </c>
      <c r="E3195" s="636">
        <v>1600</v>
      </c>
      <c r="F3195" s="637" t="s">
        <v>7141</v>
      </c>
      <c r="G3195" s="626" t="s">
        <v>7142</v>
      </c>
      <c r="H3195" s="626" t="s">
        <v>4253</v>
      </c>
      <c r="I3195" s="638" t="s">
        <v>6095</v>
      </c>
      <c r="J3195" s="625" t="s">
        <v>3587</v>
      </c>
      <c r="K3195" s="713">
        <v>0</v>
      </c>
      <c r="L3195" s="638"/>
      <c r="M3195" s="712"/>
      <c r="N3195" s="638">
        <v>1</v>
      </c>
      <c r="O3195" s="626">
        <v>6</v>
      </c>
      <c r="P3195" s="712">
        <f t="shared" si="32"/>
        <v>9600</v>
      </c>
    </row>
    <row r="3196" spans="1:16" s="619" customFormat="1" ht="36" x14ac:dyDescent="0.2">
      <c r="A3196" s="626" t="s">
        <v>6091</v>
      </c>
      <c r="B3196" s="626" t="s">
        <v>1908</v>
      </c>
      <c r="C3196" s="638" t="s">
        <v>104</v>
      </c>
      <c r="D3196" s="626" t="s">
        <v>4762</v>
      </c>
      <c r="E3196" s="636">
        <v>2500</v>
      </c>
      <c r="F3196" s="637" t="s">
        <v>7143</v>
      </c>
      <c r="G3196" s="626" t="s">
        <v>2485</v>
      </c>
      <c r="H3196" s="626" t="s">
        <v>4762</v>
      </c>
      <c r="I3196" s="638" t="s">
        <v>6095</v>
      </c>
      <c r="J3196" s="625" t="s">
        <v>6096</v>
      </c>
      <c r="K3196" s="713">
        <v>0</v>
      </c>
      <c r="L3196" s="638"/>
      <c r="M3196" s="712"/>
      <c r="N3196" s="638">
        <v>1</v>
      </c>
      <c r="O3196" s="626">
        <v>6</v>
      </c>
      <c r="P3196" s="712">
        <f t="shared" si="32"/>
        <v>15000</v>
      </c>
    </row>
    <row r="3197" spans="1:16" s="619" customFormat="1" ht="36" x14ac:dyDescent="0.2">
      <c r="A3197" s="626" t="s">
        <v>6091</v>
      </c>
      <c r="B3197" s="626" t="s">
        <v>1908</v>
      </c>
      <c r="C3197" s="638" t="s">
        <v>104</v>
      </c>
      <c r="D3197" s="626" t="s">
        <v>6227</v>
      </c>
      <c r="E3197" s="636">
        <v>3300</v>
      </c>
      <c r="F3197" s="637" t="s">
        <v>7144</v>
      </c>
      <c r="G3197" s="626" t="s">
        <v>7145</v>
      </c>
      <c r="H3197" s="626" t="s">
        <v>6227</v>
      </c>
      <c r="I3197" s="638" t="s">
        <v>6095</v>
      </c>
      <c r="J3197" s="625" t="s">
        <v>6096</v>
      </c>
      <c r="K3197" s="713">
        <v>0</v>
      </c>
      <c r="L3197" s="638"/>
      <c r="M3197" s="712"/>
      <c r="N3197" s="638">
        <v>1</v>
      </c>
      <c r="O3197" s="626">
        <v>6</v>
      </c>
      <c r="P3197" s="712">
        <f t="shared" si="32"/>
        <v>19800</v>
      </c>
    </row>
    <row r="3198" spans="1:16" s="619" customFormat="1" ht="24" x14ac:dyDescent="0.2">
      <c r="A3198" s="626" t="s">
        <v>6091</v>
      </c>
      <c r="B3198" s="626" t="s">
        <v>1908</v>
      </c>
      <c r="C3198" s="638" t="s">
        <v>104</v>
      </c>
      <c r="D3198" s="626" t="s">
        <v>6092</v>
      </c>
      <c r="E3198" s="636">
        <v>3300</v>
      </c>
      <c r="F3198" s="637" t="s">
        <v>7146</v>
      </c>
      <c r="G3198" s="626" t="s">
        <v>7147</v>
      </c>
      <c r="H3198" s="626" t="s">
        <v>6092</v>
      </c>
      <c r="I3198" s="638" t="s">
        <v>6095</v>
      </c>
      <c r="J3198" s="625" t="s">
        <v>6096</v>
      </c>
      <c r="K3198" s="713">
        <v>0</v>
      </c>
      <c r="L3198" s="638"/>
      <c r="M3198" s="712"/>
      <c r="N3198" s="638">
        <v>1</v>
      </c>
      <c r="O3198" s="626">
        <v>6</v>
      </c>
      <c r="P3198" s="712">
        <f t="shared" si="32"/>
        <v>19800</v>
      </c>
    </row>
    <row r="3199" spans="1:16" s="619" customFormat="1" ht="24" x14ac:dyDescent="0.2">
      <c r="A3199" s="626" t="s">
        <v>6091</v>
      </c>
      <c r="B3199" s="626" t="s">
        <v>1908</v>
      </c>
      <c r="C3199" s="638" t="s">
        <v>104</v>
      </c>
      <c r="D3199" s="626" t="s">
        <v>6227</v>
      </c>
      <c r="E3199" s="636">
        <v>3300</v>
      </c>
      <c r="F3199" s="637" t="s">
        <v>7148</v>
      </c>
      <c r="G3199" s="626" t="s">
        <v>7149</v>
      </c>
      <c r="H3199" s="626" t="s">
        <v>6227</v>
      </c>
      <c r="I3199" s="638" t="s">
        <v>6095</v>
      </c>
      <c r="J3199" s="625" t="s">
        <v>6096</v>
      </c>
      <c r="K3199" s="713">
        <v>0</v>
      </c>
      <c r="L3199" s="638"/>
      <c r="M3199" s="712"/>
      <c r="N3199" s="638">
        <v>1</v>
      </c>
      <c r="O3199" s="626">
        <v>6</v>
      </c>
      <c r="P3199" s="712">
        <f t="shared" si="32"/>
        <v>19800</v>
      </c>
    </row>
    <row r="3200" spans="1:16" s="619" customFormat="1" ht="48" x14ac:dyDescent="0.2">
      <c r="A3200" s="626" t="s">
        <v>6091</v>
      </c>
      <c r="B3200" s="626" t="s">
        <v>1908</v>
      </c>
      <c r="C3200" s="638" t="s">
        <v>104</v>
      </c>
      <c r="D3200" s="626" t="s">
        <v>6738</v>
      </c>
      <c r="E3200" s="636">
        <v>8000</v>
      </c>
      <c r="F3200" s="637" t="s">
        <v>7150</v>
      </c>
      <c r="G3200" s="626" t="s">
        <v>7151</v>
      </c>
      <c r="H3200" s="626" t="s">
        <v>6179</v>
      </c>
      <c r="I3200" s="638" t="s">
        <v>6095</v>
      </c>
      <c r="J3200" s="625" t="s">
        <v>6096</v>
      </c>
      <c r="K3200" s="713">
        <v>0</v>
      </c>
      <c r="L3200" s="638"/>
      <c r="M3200" s="712"/>
      <c r="N3200" s="638">
        <v>1</v>
      </c>
      <c r="O3200" s="626">
        <v>6</v>
      </c>
      <c r="P3200" s="712">
        <f t="shared" si="32"/>
        <v>48000</v>
      </c>
    </row>
    <row r="3201" spans="1:16" s="619" customFormat="1" ht="48" x14ac:dyDescent="0.2">
      <c r="A3201" s="626" t="s">
        <v>6091</v>
      </c>
      <c r="B3201" s="626" t="s">
        <v>1908</v>
      </c>
      <c r="C3201" s="638" t="s">
        <v>104</v>
      </c>
      <c r="D3201" s="626" t="s">
        <v>6227</v>
      </c>
      <c r="E3201" s="636">
        <v>3300</v>
      </c>
      <c r="F3201" s="637" t="s">
        <v>7152</v>
      </c>
      <c r="G3201" s="626" t="s">
        <v>7153</v>
      </c>
      <c r="H3201" s="626" t="s">
        <v>6227</v>
      </c>
      <c r="I3201" s="638" t="s">
        <v>6095</v>
      </c>
      <c r="J3201" s="625" t="s">
        <v>6096</v>
      </c>
      <c r="K3201" s="713">
        <v>0</v>
      </c>
      <c r="L3201" s="638"/>
      <c r="M3201" s="712"/>
      <c r="N3201" s="638">
        <v>1</v>
      </c>
      <c r="O3201" s="626">
        <v>6</v>
      </c>
      <c r="P3201" s="712">
        <f t="shared" si="32"/>
        <v>19800</v>
      </c>
    </row>
    <row r="3202" spans="1:16" s="619" customFormat="1" ht="24" x14ac:dyDescent="0.2">
      <c r="A3202" s="626" t="s">
        <v>6091</v>
      </c>
      <c r="B3202" s="626" t="s">
        <v>1908</v>
      </c>
      <c r="C3202" s="638" t="s">
        <v>104</v>
      </c>
      <c r="D3202" s="626" t="s">
        <v>3529</v>
      </c>
      <c r="E3202" s="636">
        <v>2000</v>
      </c>
      <c r="F3202" s="637" t="s">
        <v>7154</v>
      </c>
      <c r="G3202" s="626" t="s">
        <v>7155</v>
      </c>
      <c r="H3202" s="626" t="s">
        <v>7156</v>
      </c>
      <c r="I3202" s="638" t="s">
        <v>6095</v>
      </c>
      <c r="J3202" s="625" t="s">
        <v>6096</v>
      </c>
      <c r="K3202" s="713">
        <v>0</v>
      </c>
      <c r="L3202" s="638"/>
      <c r="M3202" s="712"/>
      <c r="N3202" s="638">
        <v>1</v>
      </c>
      <c r="O3202" s="626">
        <v>2</v>
      </c>
      <c r="P3202" s="712">
        <f t="shared" si="32"/>
        <v>4000</v>
      </c>
    </row>
    <row r="3203" spans="1:16" s="619" customFormat="1" ht="48" x14ac:dyDescent="0.2">
      <c r="A3203" s="626" t="s">
        <v>6091</v>
      </c>
      <c r="B3203" s="626" t="s">
        <v>1908</v>
      </c>
      <c r="C3203" s="638" t="s">
        <v>104</v>
      </c>
      <c r="D3203" s="626" t="s">
        <v>6092</v>
      </c>
      <c r="E3203" s="636">
        <v>3300</v>
      </c>
      <c r="F3203" s="637" t="s">
        <v>7157</v>
      </c>
      <c r="G3203" s="626" t="s">
        <v>7158</v>
      </c>
      <c r="H3203" s="626" t="s">
        <v>6092</v>
      </c>
      <c r="I3203" s="638" t="s">
        <v>6095</v>
      </c>
      <c r="J3203" s="625" t="s">
        <v>6096</v>
      </c>
      <c r="K3203" s="713">
        <v>0</v>
      </c>
      <c r="L3203" s="638"/>
      <c r="M3203" s="712"/>
      <c r="N3203" s="638">
        <v>1</v>
      </c>
      <c r="O3203" s="626">
        <v>6</v>
      </c>
      <c r="P3203" s="712">
        <f t="shared" si="32"/>
        <v>19800</v>
      </c>
    </row>
    <row r="3204" spans="1:16" s="619" customFormat="1" ht="36" x14ac:dyDescent="0.2">
      <c r="A3204" s="626" t="s">
        <v>6091</v>
      </c>
      <c r="B3204" s="626" t="s">
        <v>1908</v>
      </c>
      <c r="C3204" s="638" t="s">
        <v>104</v>
      </c>
      <c r="D3204" s="626" t="s">
        <v>6227</v>
      </c>
      <c r="E3204" s="636">
        <v>2500</v>
      </c>
      <c r="F3204" s="637" t="s">
        <v>7159</v>
      </c>
      <c r="G3204" s="626" t="s">
        <v>7160</v>
      </c>
      <c r="H3204" s="626" t="s">
        <v>6227</v>
      </c>
      <c r="I3204" s="638" t="s">
        <v>6095</v>
      </c>
      <c r="J3204" s="625" t="s">
        <v>6096</v>
      </c>
      <c r="K3204" s="713">
        <v>0</v>
      </c>
      <c r="L3204" s="638"/>
      <c r="M3204" s="712"/>
      <c r="N3204" s="638">
        <v>1</v>
      </c>
      <c r="O3204" s="626">
        <v>3</v>
      </c>
      <c r="P3204" s="712">
        <f t="shared" si="32"/>
        <v>7500</v>
      </c>
    </row>
    <row r="3205" spans="1:16" s="619" customFormat="1" ht="36" x14ac:dyDescent="0.2">
      <c r="A3205" s="626" t="s">
        <v>6091</v>
      </c>
      <c r="B3205" s="626" t="s">
        <v>1908</v>
      </c>
      <c r="C3205" s="638" t="s">
        <v>104</v>
      </c>
      <c r="D3205" s="626" t="s">
        <v>7161</v>
      </c>
      <c r="E3205" s="636">
        <v>1600</v>
      </c>
      <c r="F3205" s="637" t="s">
        <v>7162</v>
      </c>
      <c r="G3205" s="626" t="s">
        <v>7163</v>
      </c>
      <c r="H3205" s="626" t="s">
        <v>7161</v>
      </c>
      <c r="I3205" s="638" t="s">
        <v>6095</v>
      </c>
      <c r="J3205" s="625" t="s">
        <v>3587</v>
      </c>
      <c r="K3205" s="713">
        <v>0</v>
      </c>
      <c r="L3205" s="638"/>
      <c r="M3205" s="712"/>
      <c r="N3205" s="638">
        <v>1</v>
      </c>
      <c r="O3205" s="626">
        <v>6</v>
      </c>
      <c r="P3205" s="712">
        <f t="shared" si="32"/>
        <v>9600</v>
      </c>
    </row>
    <row r="3206" spans="1:16" s="619" customFormat="1" ht="36" x14ac:dyDescent="0.2">
      <c r="A3206" s="626" t="s">
        <v>6091</v>
      </c>
      <c r="B3206" s="626" t="s">
        <v>1908</v>
      </c>
      <c r="C3206" s="638" t="s">
        <v>104</v>
      </c>
      <c r="D3206" s="626" t="s">
        <v>6227</v>
      </c>
      <c r="E3206" s="636">
        <v>3300</v>
      </c>
      <c r="F3206" s="637" t="s">
        <v>7164</v>
      </c>
      <c r="G3206" s="626" t="s">
        <v>7165</v>
      </c>
      <c r="H3206" s="626" t="s">
        <v>6227</v>
      </c>
      <c r="I3206" s="638" t="s">
        <v>6095</v>
      </c>
      <c r="J3206" s="625" t="s">
        <v>6096</v>
      </c>
      <c r="K3206" s="713">
        <v>0</v>
      </c>
      <c r="L3206" s="638"/>
      <c r="M3206" s="712"/>
      <c r="N3206" s="638">
        <v>1</v>
      </c>
      <c r="O3206" s="626">
        <v>6</v>
      </c>
      <c r="P3206" s="712">
        <f t="shared" si="32"/>
        <v>19800</v>
      </c>
    </row>
    <row r="3207" spans="1:16" s="619" customFormat="1" ht="24" x14ac:dyDescent="0.2">
      <c r="A3207" s="626" t="s">
        <v>6091</v>
      </c>
      <c r="B3207" s="626" t="s">
        <v>1908</v>
      </c>
      <c r="C3207" s="638" t="s">
        <v>104</v>
      </c>
      <c r="D3207" s="626" t="s">
        <v>6227</v>
      </c>
      <c r="E3207" s="636">
        <v>3300</v>
      </c>
      <c r="F3207" s="637" t="s">
        <v>7166</v>
      </c>
      <c r="G3207" s="626" t="s">
        <v>7167</v>
      </c>
      <c r="H3207" s="626" t="s">
        <v>6227</v>
      </c>
      <c r="I3207" s="638" t="s">
        <v>6095</v>
      </c>
      <c r="J3207" s="625" t="s">
        <v>6096</v>
      </c>
      <c r="K3207" s="713">
        <v>0</v>
      </c>
      <c r="L3207" s="638"/>
      <c r="M3207" s="712"/>
      <c r="N3207" s="638">
        <v>1</v>
      </c>
      <c r="O3207" s="626">
        <v>6</v>
      </c>
      <c r="P3207" s="712">
        <f t="shared" si="32"/>
        <v>19800</v>
      </c>
    </row>
    <row r="3208" spans="1:16" s="619" customFormat="1" ht="36" x14ac:dyDescent="0.2">
      <c r="A3208" s="626" t="s">
        <v>6091</v>
      </c>
      <c r="B3208" s="626" t="s">
        <v>1908</v>
      </c>
      <c r="C3208" s="638" t="s">
        <v>104</v>
      </c>
      <c r="D3208" s="626" t="s">
        <v>6828</v>
      </c>
      <c r="E3208" s="636">
        <v>2000</v>
      </c>
      <c r="F3208" s="637" t="s">
        <v>7168</v>
      </c>
      <c r="G3208" s="626" t="s">
        <v>7169</v>
      </c>
      <c r="H3208" s="626" t="s">
        <v>2232</v>
      </c>
      <c r="I3208" s="638" t="s">
        <v>6095</v>
      </c>
      <c r="J3208" s="625" t="s">
        <v>6096</v>
      </c>
      <c r="K3208" s="713">
        <v>0</v>
      </c>
      <c r="L3208" s="638"/>
      <c r="M3208" s="712"/>
      <c r="N3208" s="638">
        <v>1</v>
      </c>
      <c r="O3208" s="626">
        <v>6</v>
      </c>
      <c r="P3208" s="712">
        <f t="shared" si="32"/>
        <v>12000</v>
      </c>
    </row>
    <row r="3209" spans="1:16" s="619" customFormat="1" ht="36" x14ac:dyDescent="0.2">
      <c r="A3209" s="626" t="s">
        <v>6091</v>
      </c>
      <c r="B3209" s="626" t="s">
        <v>1908</v>
      </c>
      <c r="C3209" s="638" t="s">
        <v>104</v>
      </c>
      <c r="D3209" s="626" t="s">
        <v>1925</v>
      </c>
      <c r="E3209" s="636">
        <v>4000</v>
      </c>
      <c r="F3209" s="637" t="s">
        <v>7170</v>
      </c>
      <c r="G3209" s="626" t="s">
        <v>7171</v>
      </c>
      <c r="H3209" s="626" t="s">
        <v>1925</v>
      </c>
      <c r="I3209" s="638" t="s">
        <v>6095</v>
      </c>
      <c r="J3209" s="625" t="s">
        <v>6096</v>
      </c>
      <c r="K3209" s="713">
        <v>0</v>
      </c>
      <c r="L3209" s="638"/>
      <c r="M3209" s="712"/>
      <c r="N3209" s="638">
        <v>1</v>
      </c>
      <c r="O3209" s="626">
        <v>6</v>
      </c>
      <c r="P3209" s="712">
        <f t="shared" si="32"/>
        <v>24000</v>
      </c>
    </row>
    <row r="3210" spans="1:16" s="619" customFormat="1" ht="48" x14ac:dyDescent="0.2">
      <c r="A3210" s="626" t="s">
        <v>6091</v>
      </c>
      <c r="B3210" s="626" t="s">
        <v>1908</v>
      </c>
      <c r="C3210" s="638" t="s">
        <v>104</v>
      </c>
      <c r="D3210" s="626" t="s">
        <v>6092</v>
      </c>
      <c r="E3210" s="636">
        <v>3300</v>
      </c>
      <c r="F3210" s="637" t="s">
        <v>7172</v>
      </c>
      <c r="G3210" s="626" t="s">
        <v>7173</v>
      </c>
      <c r="H3210" s="626" t="s">
        <v>6092</v>
      </c>
      <c r="I3210" s="638" t="s">
        <v>6095</v>
      </c>
      <c r="J3210" s="625" t="s">
        <v>6096</v>
      </c>
      <c r="K3210" s="713">
        <v>0</v>
      </c>
      <c r="L3210" s="638"/>
      <c r="M3210" s="712"/>
      <c r="N3210" s="638">
        <v>1</v>
      </c>
      <c r="O3210" s="626">
        <v>6</v>
      </c>
      <c r="P3210" s="712">
        <f t="shared" si="32"/>
        <v>19800</v>
      </c>
    </row>
    <row r="3211" spans="1:16" s="619" customFormat="1" ht="36" x14ac:dyDescent="0.2">
      <c r="A3211" s="626" t="s">
        <v>6091</v>
      </c>
      <c r="B3211" s="626" t="s">
        <v>1908</v>
      </c>
      <c r="C3211" s="638" t="s">
        <v>104</v>
      </c>
      <c r="D3211" s="626" t="s">
        <v>6092</v>
      </c>
      <c r="E3211" s="636">
        <v>3300</v>
      </c>
      <c r="F3211" s="637" t="s">
        <v>7174</v>
      </c>
      <c r="G3211" s="626" t="s">
        <v>7175</v>
      </c>
      <c r="H3211" s="626" t="s">
        <v>6092</v>
      </c>
      <c r="I3211" s="638" t="s">
        <v>6095</v>
      </c>
      <c r="J3211" s="625" t="s">
        <v>6096</v>
      </c>
      <c r="K3211" s="713">
        <v>0</v>
      </c>
      <c r="L3211" s="638"/>
      <c r="M3211" s="712"/>
      <c r="N3211" s="638">
        <v>1</v>
      </c>
      <c r="O3211" s="626">
        <v>6</v>
      </c>
      <c r="P3211" s="712">
        <f t="shared" si="32"/>
        <v>19800</v>
      </c>
    </row>
    <row r="3212" spans="1:16" s="619" customFormat="1" ht="24" x14ac:dyDescent="0.2">
      <c r="A3212" s="626" t="s">
        <v>6091</v>
      </c>
      <c r="B3212" s="626" t="s">
        <v>1908</v>
      </c>
      <c r="C3212" s="638" t="s">
        <v>104</v>
      </c>
      <c r="D3212" s="626" t="s">
        <v>6227</v>
      </c>
      <c r="E3212" s="636">
        <v>2300</v>
      </c>
      <c r="F3212" s="637" t="s">
        <v>7176</v>
      </c>
      <c r="G3212" s="626" t="s">
        <v>7177</v>
      </c>
      <c r="H3212" s="626" t="s">
        <v>6227</v>
      </c>
      <c r="I3212" s="638" t="s">
        <v>6095</v>
      </c>
      <c r="J3212" s="625" t="s">
        <v>6096</v>
      </c>
      <c r="K3212" s="713">
        <v>0</v>
      </c>
      <c r="L3212" s="638"/>
      <c r="M3212" s="712"/>
      <c r="N3212" s="638">
        <v>1</v>
      </c>
      <c r="O3212" s="626">
        <v>6</v>
      </c>
      <c r="P3212" s="712">
        <f t="shared" si="32"/>
        <v>13800</v>
      </c>
    </row>
    <row r="3213" spans="1:16" s="619" customFormat="1" ht="36" x14ac:dyDescent="0.2">
      <c r="A3213" s="626" t="s">
        <v>6091</v>
      </c>
      <c r="B3213" s="626" t="s">
        <v>1908</v>
      </c>
      <c r="C3213" s="638" t="s">
        <v>104</v>
      </c>
      <c r="D3213" s="626" t="s">
        <v>1925</v>
      </c>
      <c r="E3213" s="636">
        <v>7000</v>
      </c>
      <c r="F3213" s="637" t="s">
        <v>7178</v>
      </c>
      <c r="G3213" s="626" t="s">
        <v>7179</v>
      </c>
      <c r="H3213" s="626" t="s">
        <v>1925</v>
      </c>
      <c r="I3213" s="638" t="s">
        <v>6095</v>
      </c>
      <c r="J3213" s="625" t="s">
        <v>6096</v>
      </c>
      <c r="K3213" s="713">
        <v>0</v>
      </c>
      <c r="L3213" s="638"/>
      <c r="M3213" s="712"/>
      <c r="N3213" s="638">
        <v>1</v>
      </c>
      <c r="O3213" s="626">
        <v>6</v>
      </c>
      <c r="P3213" s="712">
        <f t="shared" si="32"/>
        <v>42000</v>
      </c>
    </row>
    <row r="3214" spans="1:16" s="619" customFormat="1" ht="24" x14ac:dyDescent="0.2">
      <c r="A3214" s="626" t="s">
        <v>6091</v>
      </c>
      <c r="B3214" s="626" t="s">
        <v>1908</v>
      </c>
      <c r="C3214" s="638" t="s">
        <v>104</v>
      </c>
      <c r="D3214" s="626" t="s">
        <v>4503</v>
      </c>
      <c r="E3214" s="636">
        <v>6000</v>
      </c>
      <c r="F3214" s="637" t="s">
        <v>7180</v>
      </c>
      <c r="G3214" s="626" t="s">
        <v>7181</v>
      </c>
      <c r="H3214" s="626" t="s">
        <v>6152</v>
      </c>
      <c r="I3214" s="638" t="s">
        <v>6095</v>
      </c>
      <c r="J3214" s="625" t="s">
        <v>6096</v>
      </c>
      <c r="K3214" s="713">
        <v>0</v>
      </c>
      <c r="L3214" s="638"/>
      <c r="M3214" s="712"/>
      <c r="N3214" s="638">
        <v>1</v>
      </c>
      <c r="O3214" s="626">
        <v>6</v>
      </c>
      <c r="P3214" s="712">
        <f t="shared" si="32"/>
        <v>36000</v>
      </c>
    </row>
    <row r="3215" spans="1:16" s="619" customFormat="1" ht="36" x14ac:dyDescent="0.2">
      <c r="A3215" s="626" t="s">
        <v>6091</v>
      </c>
      <c r="B3215" s="626" t="s">
        <v>1908</v>
      </c>
      <c r="C3215" s="638" t="s">
        <v>104</v>
      </c>
      <c r="D3215" s="626" t="s">
        <v>2660</v>
      </c>
      <c r="E3215" s="636">
        <v>2000</v>
      </c>
      <c r="F3215" s="637" t="s">
        <v>7182</v>
      </c>
      <c r="G3215" s="626" t="s">
        <v>7183</v>
      </c>
      <c r="H3215" s="626" t="s">
        <v>2660</v>
      </c>
      <c r="I3215" s="638" t="s">
        <v>6099</v>
      </c>
      <c r="J3215" s="625" t="s">
        <v>6100</v>
      </c>
      <c r="K3215" s="713">
        <v>0</v>
      </c>
      <c r="L3215" s="638"/>
      <c r="M3215" s="712"/>
      <c r="N3215" s="638">
        <v>1</v>
      </c>
      <c r="O3215" s="626">
        <v>6</v>
      </c>
      <c r="P3215" s="712">
        <f t="shared" si="32"/>
        <v>12000</v>
      </c>
    </row>
    <row r="3216" spans="1:16" s="619" customFormat="1" ht="24" x14ac:dyDescent="0.2">
      <c r="A3216" s="626" t="s">
        <v>6091</v>
      </c>
      <c r="B3216" s="626" t="s">
        <v>1908</v>
      </c>
      <c r="C3216" s="638" t="s">
        <v>104</v>
      </c>
      <c r="D3216" s="626" t="s">
        <v>3548</v>
      </c>
      <c r="E3216" s="636">
        <v>1013</v>
      </c>
      <c r="F3216" s="637" t="s">
        <v>7184</v>
      </c>
      <c r="G3216" s="626" t="s">
        <v>7185</v>
      </c>
      <c r="H3216" s="626" t="s">
        <v>3548</v>
      </c>
      <c r="I3216" s="638" t="s">
        <v>1919</v>
      </c>
      <c r="J3216" s="625" t="s">
        <v>6128</v>
      </c>
      <c r="K3216" s="713">
        <v>0</v>
      </c>
      <c r="L3216" s="638"/>
      <c r="M3216" s="712"/>
      <c r="N3216" s="638">
        <v>1</v>
      </c>
      <c r="O3216" s="626">
        <v>6</v>
      </c>
      <c r="P3216" s="712">
        <f t="shared" si="32"/>
        <v>6078</v>
      </c>
    </row>
    <row r="3217" spans="1:16" s="619" customFormat="1" ht="36" x14ac:dyDescent="0.2">
      <c r="A3217" s="626" t="s">
        <v>6091</v>
      </c>
      <c r="B3217" s="626" t="s">
        <v>1908</v>
      </c>
      <c r="C3217" s="638" t="s">
        <v>104</v>
      </c>
      <c r="D3217" s="626" t="s">
        <v>3548</v>
      </c>
      <c r="E3217" s="636">
        <v>2000</v>
      </c>
      <c r="F3217" s="637" t="s">
        <v>7186</v>
      </c>
      <c r="G3217" s="626" t="s">
        <v>7187</v>
      </c>
      <c r="H3217" s="626" t="s">
        <v>3548</v>
      </c>
      <c r="I3217" s="638" t="s">
        <v>1919</v>
      </c>
      <c r="J3217" s="625" t="s">
        <v>6128</v>
      </c>
      <c r="K3217" s="713">
        <v>0</v>
      </c>
      <c r="L3217" s="638"/>
      <c r="M3217" s="712"/>
      <c r="N3217" s="638">
        <v>1</v>
      </c>
      <c r="O3217" s="626">
        <v>6</v>
      </c>
      <c r="P3217" s="712">
        <f t="shared" si="32"/>
        <v>12000</v>
      </c>
    </row>
    <row r="3218" spans="1:16" s="619" customFormat="1" ht="36" x14ac:dyDescent="0.2">
      <c r="A3218" s="626" t="s">
        <v>6091</v>
      </c>
      <c r="B3218" s="626" t="s">
        <v>1908</v>
      </c>
      <c r="C3218" s="638" t="s">
        <v>104</v>
      </c>
      <c r="D3218" s="626" t="s">
        <v>3606</v>
      </c>
      <c r="E3218" s="636">
        <v>1200</v>
      </c>
      <c r="F3218" s="637" t="s">
        <v>7188</v>
      </c>
      <c r="G3218" s="626" t="s">
        <v>7189</v>
      </c>
      <c r="H3218" s="626" t="s">
        <v>2087</v>
      </c>
      <c r="I3218" s="638" t="s">
        <v>6099</v>
      </c>
      <c r="J3218" s="625" t="s">
        <v>6100</v>
      </c>
      <c r="K3218" s="713">
        <v>0</v>
      </c>
      <c r="L3218" s="638"/>
      <c r="M3218" s="712"/>
      <c r="N3218" s="638">
        <v>1</v>
      </c>
      <c r="O3218" s="626">
        <v>6</v>
      </c>
      <c r="P3218" s="712">
        <f t="shared" si="32"/>
        <v>7200</v>
      </c>
    </row>
    <row r="3219" spans="1:16" s="619" customFormat="1" ht="24" x14ac:dyDescent="0.2">
      <c r="A3219" s="626" t="s">
        <v>6091</v>
      </c>
      <c r="B3219" s="626" t="s">
        <v>1908</v>
      </c>
      <c r="C3219" s="638" t="s">
        <v>104</v>
      </c>
      <c r="D3219" s="626" t="s">
        <v>3548</v>
      </c>
      <c r="E3219" s="636">
        <v>2000</v>
      </c>
      <c r="F3219" s="637" t="s">
        <v>7190</v>
      </c>
      <c r="G3219" s="626" t="s">
        <v>7191</v>
      </c>
      <c r="H3219" s="626" t="s">
        <v>3548</v>
      </c>
      <c r="I3219" s="638" t="s">
        <v>1919</v>
      </c>
      <c r="J3219" s="625" t="s">
        <v>6100</v>
      </c>
      <c r="K3219" s="713">
        <v>0</v>
      </c>
      <c r="L3219" s="638"/>
      <c r="M3219" s="712"/>
      <c r="N3219" s="638">
        <v>1</v>
      </c>
      <c r="O3219" s="626">
        <v>6</v>
      </c>
      <c r="P3219" s="712">
        <f t="shared" si="32"/>
        <v>12000</v>
      </c>
    </row>
    <row r="3220" spans="1:16" s="619" customFormat="1" ht="36" x14ac:dyDescent="0.2">
      <c r="A3220" s="626" t="s">
        <v>6091</v>
      </c>
      <c r="B3220" s="626" t="s">
        <v>1908</v>
      </c>
      <c r="C3220" s="638" t="s">
        <v>104</v>
      </c>
      <c r="D3220" s="626" t="s">
        <v>2660</v>
      </c>
      <c r="E3220" s="636">
        <v>1200</v>
      </c>
      <c r="F3220" s="637" t="s">
        <v>7192</v>
      </c>
      <c r="G3220" s="626" t="s">
        <v>7193</v>
      </c>
      <c r="H3220" s="626" t="s">
        <v>2660</v>
      </c>
      <c r="I3220" s="638" t="s">
        <v>6099</v>
      </c>
      <c r="J3220" s="625" t="s">
        <v>6100</v>
      </c>
      <c r="K3220" s="713">
        <v>0</v>
      </c>
      <c r="L3220" s="638"/>
      <c r="M3220" s="712"/>
      <c r="N3220" s="638">
        <v>1</v>
      </c>
      <c r="O3220" s="626">
        <v>6</v>
      </c>
      <c r="P3220" s="712">
        <f t="shared" si="32"/>
        <v>7200</v>
      </c>
    </row>
    <row r="3221" spans="1:16" s="619" customFormat="1" ht="36" x14ac:dyDescent="0.2">
      <c r="A3221" s="626" t="s">
        <v>6091</v>
      </c>
      <c r="B3221" s="626" t="s">
        <v>1908</v>
      </c>
      <c r="C3221" s="638" t="s">
        <v>104</v>
      </c>
      <c r="D3221" s="626" t="s">
        <v>3606</v>
      </c>
      <c r="E3221" s="636">
        <v>1200</v>
      </c>
      <c r="F3221" s="637" t="s">
        <v>7194</v>
      </c>
      <c r="G3221" s="626" t="s">
        <v>7195</v>
      </c>
      <c r="H3221" s="626" t="s">
        <v>3606</v>
      </c>
      <c r="I3221" s="638" t="s">
        <v>6099</v>
      </c>
      <c r="J3221" s="625" t="s">
        <v>6100</v>
      </c>
      <c r="K3221" s="713">
        <v>0</v>
      </c>
      <c r="L3221" s="638"/>
      <c r="M3221" s="712"/>
      <c r="N3221" s="638">
        <v>1</v>
      </c>
      <c r="O3221" s="626">
        <v>6</v>
      </c>
      <c r="P3221" s="712">
        <f t="shared" si="32"/>
        <v>7200</v>
      </c>
    </row>
    <row r="3222" spans="1:16" s="619" customFormat="1" ht="36" x14ac:dyDescent="0.2">
      <c r="A3222" s="626" t="s">
        <v>6091</v>
      </c>
      <c r="B3222" s="626" t="s">
        <v>1908</v>
      </c>
      <c r="C3222" s="638" t="s">
        <v>104</v>
      </c>
      <c r="D3222" s="626" t="s">
        <v>2660</v>
      </c>
      <c r="E3222" s="636">
        <v>1200</v>
      </c>
      <c r="F3222" s="637" t="s">
        <v>7196</v>
      </c>
      <c r="G3222" s="626" t="s">
        <v>7197</v>
      </c>
      <c r="H3222" s="626" t="s">
        <v>2660</v>
      </c>
      <c r="I3222" s="638" t="s">
        <v>6099</v>
      </c>
      <c r="J3222" s="625" t="s">
        <v>6100</v>
      </c>
      <c r="K3222" s="713">
        <v>0</v>
      </c>
      <c r="L3222" s="638"/>
      <c r="M3222" s="712"/>
      <c r="N3222" s="638">
        <v>1</v>
      </c>
      <c r="O3222" s="626">
        <v>6</v>
      </c>
      <c r="P3222" s="712">
        <f t="shared" si="32"/>
        <v>7200</v>
      </c>
    </row>
    <row r="3223" spans="1:16" s="619" customFormat="1" ht="36" x14ac:dyDescent="0.2">
      <c r="A3223" s="626" t="s">
        <v>6091</v>
      </c>
      <c r="B3223" s="626" t="s">
        <v>1908</v>
      </c>
      <c r="C3223" s="638" t="s">
        <v>104</v>
      </c>
      <c r="D3223" s="626" t="s">
        <v>2660</v>
      </c>
      <c r="E3223" s="636">
        <v>1200</v>
      </c>
      <c r="F3223" s="637" t="s">
        <v>7198</v>
      </c>
      <c r="G3223" s="626" t="s">
        <v>7199</v>
      </c>
      <c r="H3223" s="626" t="s">
        <v>2660</v>
      </c>
      <c r="I3223" s="638" t="s">
        <v>6099</v>
      </c>
      <c r="J3223" s="625" t="s">
        <v>6100</v>
      </c>
      <c r="K3223" s="713">
        <v>0</v>
      </c>
      <c r="L3223" s="638"/>
      <c r="M3223" s="712"/>
      <c r="N3223" s="638">
        <v>1</v>
      </c>
      <c r="O3223" s="626">
        <v>6</v>
      </c>
      <c r="P3223" s="712">
        <f t="shared" si="32"/>
        <v>7200</v>
      </c>
    </row>
    <row r="3224" spans="1:16" s="619" customFormat="1" ht="24" x14ac:dyDescent="0.2">
      <c r="A3224" s="626" t="s">
        <v>6091</v>
      </c>
      <c r="B3224" s="626" t="s">
        <v>1908</v>
      </c>
      <c r="C3224" s="638" t="s">
        <v>104</v>
      </c>
      <c r="D3224" s="626" t="s">
        <v>6227</v>
      </c>
      <c r="E3224" s="636">
        <v>2500</v>
      </c>
      <c r="F3224" s="637" t="s">
        <v>7200</v>
      </c>
      <c r="G3224" s="626" t="s">
        <v>7201</v>
      </c>
      <c r="H3224" s="626" t="s">
        <v>6227</v>
      </c>
      <c r="I3224" s="638" t="s">
        <v>6095</v>
      </c>
      <c r="J3224" s="625" t="s">
        <v>6096</v>
      </c>
      <c r="K3224" s="713">
        <v>0</v>
      </c>
      <c r="L3224" s="638"/>
      <c r="M3224" s="712"/>
      <c r="N3224" s="638">
        <v>1</v>
      </c>
      <c r="O3224" s="626">
        <v>2</v>
      </c>
      <c r="P3224" s="712">
        <f t="shared" si="32"/>
        <v>5000</v>
      </c>
    </row>
    <row r="3225" spans="1:16" s="619" customFormat="1" ht="36" x14ac:dyDescent="0.2">
      <c r="A3225" s="626" t="s">
        <v>6091</v>
      </c>
      <c r="B3225" s="626" t="s">
        <v>1908</v>
      </c>
      <c r="C3225" s="638" t="s">
        <v>104</v>
      </c>
      <c r="D3225" s="626" t="s">
        <v>2660</v>
      </c>
      <c r="E3225" s="636">
        <v>1200</v>
      </c>
      <c r="F3225" s="637" t="s">
        <v>7202</v>
      </c>
      <c r="G3225" s="626" t="s">
        <v>7203</v>
      </c>
      <c r="H3225" s="626" t="s">
        <v>2660</v>
      </c>
      <c r="I3225" s="638" t="s">
        <v>6099</v>
      </c>
      <c r="J3225" s="625" t="s">
        <v>6100</v>
      </c>
      <c r="K3225" s="713">
        <v>0</v>
      </c>
      <c r="L3225" s="638"/>
      <c r="M3225" s="712"/>
      <c r="N3225" s="638">
        <v>1</v>
      </c>
      <c r="O3225" s="626">
        <v>6</v>
      </c>
      <c r="P3225" s="712">
        <f t="shared" si="32"/>
        <v>7200</v>
      </c>
    </row>
    <row r="3226" spans="1:16" s="619" customFormat="1" ht="36" x14ac:dyDescent="0.2">
      <c r="A3226" s="626" t="s">
        <v>6091</v>
      </c>
      <c r="B3226" s="626" t="s">
        <v>1908</v>
      </c>
      <c r="C3226" s="638" t="s">
        <v>104</v>
      </c>
      <c r="D3226" s="626" t="s">
        <v>2660</v>
      </c>
      <c r="E3226" s="636">
        <v>1200</v>
      </c>
      <c r="F3226" s="637" t="s">
        <v>7204</v>
      </c>
      <c r="G3226" s="626" t="s">
        <v>7205</v>
      </c>
      <c r="H3226" s="626" t="s">
        <v>2660</v>
      </c>
      <c r="I3226" s="638" t="s">
        <v>6099</v>
      </c>
      <c r="J3226" s="625" t="s">
        <v>6100</v>
      </c>
      <c r="K3226" s="713">
        <v>0</v>
      </c>
      <c r="L3226" s="638"/>
      <c r="M3226" s="712"/>
      <c r="N3226" s="638">
        <v>1</v>
      </c>
      <c r="O3226" s="626">
        <v>6</v>
      </c>
      <c r="P3226" s="712">
        <f t="shared" si="32"/>
        <v>7200</v>
      </c>
    </row>
    <row r="3227" spans="1:16" s="619" customFormat="1" ht="48" x14ac:dyDescent="0.2">
      <c r="A3227" s="626" t="s">
        <v>6091</v>
      </c>
      <c r="B3227" s="626" t="s">
        <v>1908</v>
      </c>
      <c r="C3227" s="638" t="s">
        <v>104</v>
      </c>
      <c r="D3227" s="626" t="s">
        <v>6198</v>
      </c>
      <c r="E3227" s="636">
        <v>3300</v>
      </c>
      <c r="F3227" s="637" t="s">
        <v>7206</v>
      </c>
      <c r="G3227" s="626" t="s">
        <v>7207</v>
      </c>
      <c r="H3227" s="626" t="s">
        <v>6198</v>
      </c>
      <c r="I3227" s="638" t="s">
        <v>6095</v>
      </c>
      <c r="J3227" s="625" t="s">
        <v>6096</v>
      </c>
      <c r="K3227" s="713">
        <v>0</v>
      </c>
      <c r="L3227" s="638"/>
      <c r="M3227" s="712"/>
      <c r="N3227" s="638">
        <v>1</v>
      </c>
      <c r="O3227" s="626">
        <v>5</v>
      </c>
      <c r="P3227" s="712">
        <f t="shared" si="32"/>
        <v>16500</v>
      </c>
    </row>
    <row r="3228" spans="1:16" s="619" customFormat="1" ht="36" x14ac:dyDescent="0.2">
      <c r="A3228" s="626" t="s">
        <v>6091</v>
      </c>
      <c r="B3228" s="626" t="s">
        <v>1908</v>
      </c>
      <c r="C3228" s="638" t="s">
        <v>104</v>
      </c>
      <c r="D3228" s="626" t="s">
        <v>6101</v>
      </c>
      <c r="E3228" s="636">
        <v>2500</v>
      </c>
      <c r="F3228" s="637" t="s">
        <v>7208</v>
      </c>
      <c r="G3228" s="626" t="s">
        <v>7209</v>
      </c>
      <c r="H3228" s="626" t="s">
        <v>6101</v>
      </c>
      <c r="I3228" s="638" t="s">
        <v>6095</v>
      </c>
      <c r="J3228" s="625" t="s">
        <v>6096</v>
      </c>
      <c r="K3228" s="713">
        <v>0</v>
      </c>
      <c r="L3228" s="638"/>
      <c r="M3228" s="712"/>
      <c r="N3228" s="638">
        <v>1</v>
      </c>
      <c r="O3228" s="626">
        <v>6</v>
      </c>
      <c r="P3228" s="712">
        <f t="shared" si="32"/>
        <v>15000</v>
      </c>
    </row>
    <row r="3229" spans="1:16" s="619" customFormat="1" ht="36" x14ac:dyDescent="0.2">
      <c r="A3229" s="626" t="s">
        <v>6091</v>
      </c>
      <c r="B3229" s="626" t="s">
        <v>1908</v>
      </c>
      <c r="C3229" s="638" t="s">
        <v>104</v>
      </c>
      <c r="D3229" s="626" t="s">
        <v>2660</v>
      </c>
      <c r="E3229" s="636">
        <v>1200</v>
      </c>
      <c r="F3229" s="637" t="s">
        <v>7210</v>
      </c>
      <c r="G3229" s="626" t="s">
        <v>7211</v>
      </c>
      <c r="H3229" s="626" t="s">
        <v>2660</v>
      </c>
      <c r="I3229" s="638" t="s">
        <v>6099</v>
      </c>
      <c r="J3229" s="625" t="s">
        <v>6100</v>
      </c>
      <c r="K3229" s="713">
        <v>0</v>
      </c>
      <c r="L3229" s="638"/>
      <c r="M3229" s="712"/>
      <c r="N3229" s="638">
        <v>1</v>
      </c>
      <c r="O3229" s="626">
        <v>6</v>
      </c>
      <c r="P3229" s="712">
        <f t="shared" si="32"/>
        <v>7200</v>
      </c>
    </row>
    <row r="3230" spans="1:16" s="619" customFormat="1" ht="24" x14ac:dyDescent="0.2">
      <c r="A3230" s="626" t="s">
        <v>6091</v>
      </c>
      <c r="B3230" s="626" t="s">
        <v>1908</v>
      </c>
      <c r="C3230" s="638" t="s">
        <v>104</v>
      </c>
      <c r="D3230" s="626" t="s">
        <v>3548</v>
      </c>
      <c r="E3230" s="636">
        <v>1200</v>
      </c>
      <c r="F3230" s="637" t="s">
        <v>7212</v>
      </c>
      <c r="G3230" s="626" t="s">
        <v>7213</v>
      </c>
      <c r="H3230" s="626" t="s">
        <v>3548</v>
      </c>
      <c r="I3230" s="638" t="s">
        <v>1919</v>
      </c>
      <c r="J3230" s="625" t="s">
        <v>6128</v>
      </c>
      <c r="K3230" s="713">
        <v>0</v>
      </c>
      <c r="L3230" s="638"/>
      <c r="M3230" s="712"/>
      <c r="N3230" s="638">
        <v>1</v>
      </c>
      <c r="O3230" s="626">
        <v>6</v>
      </c>
      <c r="P3230" s="712">
        <f t="shared" si="32"/>
        <v>7200</v>
      </c>
    </row>
    <row r="3231" spans="1:16" s="619" customFormat="1" ht="36" x14ac:dyDescent="0.2">
      <c r="A3231" s="626" t="s">
        <v>6091</v>
      </c>
      <c r="B3231" s="626" t="s">
        <v>1908</v>
      </c>
      <c r="C3231" s="638" t="s">
        <v>104</v>
      </c>
      <c r="D3231" s="626" t="s">
        <v>6198</v>
      </c>
      <c r="E3231" s="636">
        <v>2300</v>
      </c>
      <c r="F3231" s="637" t="s">
        <v>7214</v>
      </c>
      <c r="G3231" s="626" t="s">
        <v>7215</v>
      </c>
      <c r="H3231" s="626" t="s">
        <v>6198</v>
      </c>
      <c r="I3231" s="638" t="s">
        <v>6095</v>
      </c>
      <c r="J3231" s="625" t="s">
        <v>6096</v>
      </c>
      <c r="K3231" s="713">
        <v>0</v>
      </c>
      <c r="L3231" s="638"/>
      <c r="M3231" s="712"/>
      <c r="N3231" s="638">
        <v>1</v>
      </c>
      <c r="O3231" s="626">
        <v>2</v>
      </c>
      <c r="P3231" s="712">
        <f t="shared" si="32"/>
        <v>4600</v>
      </c>
    </row>
    <row r="3232" spans="1:16" s="619" customFormat="1" ht="36" x14ac:dyDescent="0.2">
      <c r="A3232" s="626" t="s">
        <v>6091</v>
      </c>
      <c r="B3232" s="626" t="s">
        <v>1908</v>
      </c>
      <c r="C3232" s="638" t="s">
        <v>104</v>
      </c>
      <c r="D3232" s="626" t="s">
        <v>6198</v>
      </c>
      <c r="E3232" s="636">
        <v>2000</v>
      </c>
      <c r="F3232" s="637" t="s">
        <v>7216</v>
      </c>
      <c r="G3232" s="626" t="s">
        <v>7217</v>
      </c>
      <c r="H3232" s="626" t="s">
        <v>6198</v>
      </c>
      <c r="I3232" s="638" t="s">
        <v>6095</v>
      </c>
      <c r="J3232" s="625" t="s">
        <v>6096</v>
      </c>
      <c r="K3232" s="713">
        <v>0</v>
      </c>
      <c r="L3232" s="638"/>
      <c r="M3232" s="712"/>
      <c r="N3232" s="638">
        <v>1</v>
      </c>
      <c r="O3232" s="626">
        <v>6</v>
      </c>
      <c r="P3232" s="712">
        <f t="shared" si="32"/>
        <v>12000</v>
      </c>
    </row>
    <row r="3233" spans="1:16" s="619" customFormat="1" ht="36" x14ac:dyDescent="0.2">
      <c r="A3233" s="626" t="s">
        <v>6091</v>
      </c>
      <c r="B3233" s="626" t="s">
        <v>1908</v>
      </c>
      <c r="C3233" s="638" t="s">
        <v>104</v>
      </c>
      <c r="D3233" s="626" t="s">
        <v>6101</v>
      </c>
      <c r="E3233" s="636">
        <v>2000</v>
      </c>
      <c r="F3233" s="637" t="s">
        <v>7218</v>
      </c>
      <c r="G3233" s="626" t="s">
        <v>7219</v>
      </c>
      <c r="H3233" s="626" t="s">
        <v>6101</v>
      </c>
      <c r="I3233" s="638" t="s">
        <v>6095</v>
      </c>
      <c r="J3233" s="625" t="s">
        <v>6096</v>
      </c>
      <c r="K3233" s="713">
        <v>0</v>
      </c>
      <c r="L3233" s="638"/>
      <c r="M3233" s="712"/>
      <c r="N3233" s="638">
        <v>1</v>
      </c>
      <c r="O3233" s="626">
        <v>6</v>
      </c>
      <c r="P3233" s="712">
        <f t="shared" si="32"/>
        <v>12000</v>
      </c>
    </row>
    <row r="3234" spans="1:16" s="619" customFormat="1" ht="36" x14ac:dyDescent="0.2">
      <c r="A3234" s="626" t="s">
        <v>6091</v>
      </c>
      <c r="B3234" s="626" t="s">
        <v>1908</v>
      </c>
      <c r="C3234" s="638" t="s">
        <v>104</v>
      </c>
      <c r="D3234" s="626" t="s">
        <v>6198</v>
      </c>
      <c r="E3234" s="636">
        <v>2700</v>
      </c>
      <c r="F3234" s="637" t="s">
        <v>7220</v>
      </c>
      <c r="G3234" s="626" t="s">
        <v>7221</v>
      </c>
      <c r="H3234" s="626" t="s">
        <v>6198</v>
      </c>
      <c r="I3234" s="638" t="s">
        <v>6095</v>
      </c>
      <c r="J3234" s="625" t="s">
        <v>6096</v>
      </c>
      <c r="K3234" s="713">
        <v>0</v>
      </c>
      <c r="L3234" s="638"/>
      <c r="M3234" s="712"/>
      <c r="N3234" s="638">
        <v>1</v>
      </c>
      <c r="O3234" s="626">
        <v>3</v>
      </c>
      <c r="P3234" s="712">
        <f t="shared" si="32"/>
        <v>8100</v>
      </c>
    </row>
    <row r="3235" spans="1:16" s="619" customFormat="1" ht="48" x14ac:dyDescent="0.2">
      <c r="A3235" s="626" t="s">
        <v>6091</v>
      </c>
      <c r="B3235" s="626" t="s">
        <v>1908</v>
      </c>
      <c r="C3235" s="638" t="s">
        <v>104</v>
      </c>
      <c r="D3235" s="626" t="s">
        <v>6092</v>
      </c>
      <c r="E3235" s="636">
        <v>3300</v>
      </c>
      <c r="F3235" s="637" t="s">
        <v>7222</v>
      </c>
      <c r="G3235" s="626" t="s">
        <v>7223</v>
      </c>
      <c r="H3235" s="626" t="s">
        <v>6092</v>
      </c>
      <c r="I3235" s="638" t="s">
        <v>6095</v>
      </c>
      <c r="J3235" s="625" t="s">
        <v>6096</v>
      </c>
      <c r="K3235" s="713">
        <v>0</v>
      </c>
      <c r="L3235" s="638"/>
      <c r="M3235" s="712"/>
      <c r="N3235" s="638">
        <v>1</v>
      </c>
      <c r="O3235" s="626">
        <v>6</v>
      </c>
      <c r="P3235" s="712">
        <f t="shared" si="32"/>
        <v>19800</v>
      </c>
    </row>
    <row r="3236" spans="1:16" s="619" customFormat="1" ht="48" x14ac:dyDescent="0.2">
      <c r="A3236" s="626" t="s">
        <v>6091</v>
      </c>
      <c r="B3236" s="626" t="s">
        <v>1908</v>
      </c>
      <c r="C3236" s="638" t="s">
        <v>104</v>
      </c>
      <c r="D3236" s="626" t="s">
        <v>7224</v>
      </c>
      <c r="E3236" s="636">
        <v>3300</v>
      </c>
      <c r="F3236" s="637" t="s">
        <v>7225</v>
      </c>
      <c r="G3236" s="626" t="s">
        <v>7226</v>
      </c>
      <c r="H3236" s="626" t="s">
        <v>6123</v>
      </c>
      <c r="I3236" s="638" t="s">
        <v>6099</v>
      </c>
      <c r="J3236" s="625" t="s">
        <v>6100</v>
      </c>
      <c r="K3236" s="713">
        <v>0</v>
      </c>
      <c r="L3236" s="638"/>
      <c r="M3236" s="712"/>
      <c r="N3236" s="638">
        <v>1</v>
      </c>
      <c r="O3236" s="626">
        <v>6</v>
      </c>
      <c r="P3236" s="712">
        <f t="shared" si="32"/>
        <v>19800</v>
      </c>
    </row>
    <row r="3237" spans="1:16" s="619" customFormat="1" ht="36" x14ac:dyDescent="0.2">
      <c r="A3237" s="626" t="s">
        <v>6091</v>
      </c>
      <c r="B3237" s="626" t="s">
        <v>1908</v>
      </c>
      <c r="C3237" s="638" t="s">
        <v>104</v>
      </c>
      <c r="D3237" s="626" t="s">
        <v>6548</v>
      </c>
      <c r="E3237" s="636">
        <v>3300</v>
      </c>
      <c r="F3237" s="637" t="s">
        <v>7227</v>
      </c>
      <c r="G3237" s="626" t="s">
        <v>7228</v>
      </c>
      <c r="H3237" s="626" t="s">
        <v>6548</v>
      </c>
      <c r="I3237" s="638" t="s">
        <v>6095</v>
      </c>
      <c r="J3237" s="625" t="s">
        <v>6096</v>
      </c>
      <c r="K3237" s="713">
        <v>0</v>
      </c>
      <c r="L3237" s="638"/>
      <c r="M3237" s="712"/>
      <c r="N3237" s="638">
        <v>1</v>
      </c>
      <c r="O3237" s="626">
        <v>5</v>
      </c>
      <c r="P3237" s="712">
        <f t="shared" si="32"/>
        <v>16500</v>
      </c>
    </row>
    <row r="3238" spans="1:16" s="619" customFormat="1" ht="36" x14ac:dyDescent="0.2">
      <c r="A3238" s="626" t="s">
        <v>6091</v>
      </c>
      <c r="B3238" s="626" t="s">
        <v>1908</v>
      </c>
      <c r="C3238" s="638" t="s">
        <v>104</v>
      </c>
      <c r="D3238" s="626" t="s">
        <v>6092</v>
      </c>
      <c r="E3238" s="636">
        <v>3300</v>
      </c>
      <c r="F3238" s="637" t="s">
        <v>7229</v>
      </c>
      <c r="G3238" s="626" t="s">
        <v>7230</v>
      </c>
      <c r="H3238" s="626" t="s">
        <v>6092</v>
      </c>
      <c r="I3238" s="638" t="s">
        <v>6095</v>
      </c>
      <c r="J3238" s="625" t="s">
        <v>6096</v>
      </c>
      <c r="K3238" s="713">
        <v>0</v>
      </c>
      <c r="L3238" s="638"/>
      <c r="M3238" s="712"/>
      <c r="N3238" s="638">
        <v>1</v>
      </c>
      <c r="O3238" s="626">
        <v>6</v>
      </c>
      <c r="P3238" s="712">
        <f t="shared" si="32"/>
        <v>19800</v>
      </c>
    </row>
    <row r="3239" spans="1:16" s="619" customFormat="1" ht="24" x14ac:dyDescent="0.2">
      <c r="A3239" s="626" t="s">
        <v>6091</v>
      </c>
      <c r="B3239" s="626" t="s">
        <v>1908</v>
      </c>
      <c r="C3239" s="638" t="s">
        <v>104</v>
      </c>
      <c r="D3239" s="626" t="s">
        <v>6227</v>
      </c>
      <c r="E3239" s="636">
        <v>3300</v>
      </c>
      <c r="F3239" s="637" t="s">
        <v>7231</v>
      </c>
      <c r="G3239" s="626" t="s">
        <v>2251</v>
      </c>
      <c r="H3239" s="626" t="s">
        <v>6227</v>
      </c>
      <c r="I3239" s="638" t="s">
        <v>6095</v>
      </c>
      <c r="J3239" s="625" t="s">
        <v>6096</v>
      </c>
      <c r="K3239" s="713">
        <v>0</v>
      </c>
      <c r="L3239" s="638"/>
      <c r="M3239" s="712"/>
      <c r="N3239" s="638">
        <v>1</v>
      </c>
      <c r="O3239" s="626">
        <v>6</v>
      </c>
      <c r="P3239" s="712">
        <f t="shared" si="32"/>
        <v>19800</v>
      </c>
    </row>
    <row r="3240" spans="1:16" s="619" customFormat="1" ht="24" x14ac:dyDescent="0.2">
      <c r="A3240" s="626" t="s">
        <v>6091</v>
      </c>
      <c r="B3240" s="626" t="s">
        <v>1908</v>
      </c>
      <c r="C3240" s="638" t="s">
        <v>104</v>
      </c>
      <c r="D3240" s="626" t="s">
        <v>6179</v>
      </c>
      <c r="E3240" s="636">
        <v>6500</v>
      </c>
      <c r="F3240" s="637" t="s">
        <v>7232</v>
      </c>
      <c r="G3240" s="626" t="s">
        <v>7233</v>
      </c>
      <c r="H3240" s="626" t="s">
        <v>6179</v>
      </c>
      <c r="I3240" s="638" t="s">
        <v>6095</v>
      </c>
      <c r="J3240" s="625" t="s">
        <v>6096</v>
      </c>
      <c r="K3240" s="713">
        <v>0</v>
      </c>
      <c r="L3240" s="638"/>
      <c r="M3240" s="712"/>
      <c r="N3240" s="638">
        <v>1</v>
      </c>
      <c r="O3240" s="626">
        <v>4</v>
      </c>
      <c r="P3240" s="712">
        <f t="shared" si="32"/>
        <v>26000</v>
      </c>
    </row>
    <row r="3241" spans="1:16" s="619" customFormat="1" ht="24" x14ac:dyDescent="0.2">
      <c r="A3241" s="626" t="s">
        <v>6091</v>
      </c>
      <c r="B3241" s="626" t="s">
        <v>1908</v>
      </c>
      <c r="C3241" s="638" t="s">
        <v>104</v>
      </c>
      <c r="D3241" s="626" t="s">
        <v>3548</v>
      </c>
      <c r="E3241" s="636">
        <v>3300</v>
      </c>
      <c r="F3241" s="637" t="s">
        <v>7234</v>
      </c>
      <c r="G3241" s="626" t="s">
        <v>7235</v>
      </c>
      <c r="H3241" s="626" t="s">
        <v>3548</v>
      </c>
      <c r="I3241" s="638" t="s">
        <v>1919</v>
      </c>
      <c r="J3241" s="625" t="s">
        <v>6128</v>
      </c>
      <c r="K3241" s="713">
        <v>0</v>
      </c>
      <c r="L3241" s="638"/>
      <c r="M3241" s="712"/>
      <c r="N3241" s="638">
        <v>1</v>
      </c>
      <c r="O3241" s="626">
        <v>6</v>
      </c>
      <c r="P3241" s="712">
        <f t="shared" si="32"/>
        <v>19800</v>
      </c>
    </row>
    <row r="3242" spans="1:16" s="619" customFormat="1" ht="36" x14ac:dyDescent="0.2">
      <c r="A3242" s="626" t="s">
        <v>6091</v>
      </c>
      <c r="B3242" s="626" t="s">
        <v>1908</v>
      </c>
      <c r="C3242" s="638" t="s">
        <v>104</v>
      </c>
      <c r="D3242" s="626" t="s">
        <v>6227</v>
      </c>
      <c r="E3242" s="636">
        <v>3300</v>
      </c>
      <c r="F3242" s="637" t="s">
        <v>7236</v>
      </c>
      <c r="G3242" s="626" t="s">
        <v>7237</v>
      </c>
      <c r="H3242" s="626" t="s">
        <v>6227</v>
      </c>
      <c r="I3242" s="638" t="s">
        <v>6095</v>
      </c>
      <c r="J3242" s="625" t="s">
        <v>6096</v>
      </c>
      <c r="K3242" s="713">
        <v>0</v>
      </c>
      <c r="L3242" s="638"/>
      <c r="M3242" s="712"/>
      <c r="N3242" s="638">
        <v>1</v>
      </c>
      <c r="O3242" s="626">
        <v>6</v>
      </c>
      <c r="P3242" s="712">
        <f t="shared" si="32"/>
        <v>19800</v>
      </c>
    </row>
    <row r="3243" spans="1:16" s="619" customFormat="1" ht="24" x14ac:dyDescent="0.2">
      <c r="A3243" s="626" t="s">
        <v>6091</v>
      </c>
      <c r="B3243" s="626" t="s">
        <v>1908</v>
      </c>
      <c r="C3243" s="638" t="s">
        <v>104</v>
      </c>
      <c r="D3243" s="626" t="s">
        <v>6158</v>
      </c>
      <c r="E3243" s="636">
        <v>1800</v>
      </c>
      <c r="F3243" s="637" t="s">
        <v>7238</v>
      </c>
      <c r="G3243" s="626" t="s">
        <v>7239</v>
      </c>
      <c r="H3243" s="626" t="s">
        <v>6158</v>
      </c>
      <c r="I3243" s="638" t="s">
        <v>1919</v>
      </c>
      <c r="J3243" s="625" t="s">
        <v>6128</v>
      </c>
      <c r="K3243" s="713">
        <v>0</v>
      </c>
      <c r="L3243" s="638"/>
      <c r="M3243" s="712"/>
      <c r="N3243" s="638">
        <v>1</v>
      </c>
      <c r="O3243" s="626">
        <v>6</v>
      </c>
      <c r="P3243" s="712">
        <f t="shared" si="32"/>
        <v>10800</v>
      </c>
    </row>
    <row r="3244" spans="1:16" s="619" customFormat="1" ht="36" x14ac:dyDescent="0.2">
      <c r="A3244" s="626" t="s">
        <v>6091</v>
      </c>
      <c r="B3244" s="626" t="s">
        <v>1908</v>
      </c>
      <c r="C3244" s="638" t="s">
        <v>104</v>
      </c>
      <c r="D3244" s="626" t="s">
        <v>6240</v>
      </c>
      <c r="E3244" s="636">
        <v>2000</v>
      </c>
      <c r="F3244" s="637" t="s">
        <v>7240</v>
      </c>
      <c r="G3244" s="626" t="s">
        <v>7241</v>
      </c>
      <c r="H3244" s="626" t="s">
        <v>6240</v>
      </c>
      <c r="I3244" s="638" t="s">
        <v>6099</v>
      </c>
      <c r="J3244" s="625" t="s">
        <v>6100</v>
      </c>
      <c r="K3244" s="713">
        <v>0</v>
      </c>
      <c r="L3244" s="638"/>
      <c r="M3244" s="712"/>
      <c r="N3244" s="638">
        <v>1</v>
      </c>
      <c r="O3244" s="626">
        <v>2</v>
      </c>
      <c r="P3244" s="712">
        <f t="shared" si="32"/>
        <v>4000</v>
      </c>
    </row>
    <row r="3245" spans="1:16" s="619" customFormat="1" ht="24" x14ac:dyDescent="0.2">
      <c r="A3245" s="626" t="s">
        <v>6091</v>
      </c>
      <c r="B3245" s="626" t="s">
        <v>1908</v>
      </c>
      <c r="C3245" s="638" t="s">
        <v>104</v>
      </c>
      <c r="D3245" s="626" t="s">
        <v>3548</v>
      </c>
      <c r="E3245" s="636">
        <v>1800</v>
      </c>
      <c r="F3245" s="637" t="s">
        <v>7242</v>
      </c>
      <c r="G3245" s="626" t="s">
        <v>7243</v>
      </c>
      <c r="H3245" s="626" t="s">
        <v>3548</v>
      </c>
      <c r="I3245" s="638" t="s">
        <v>1919</v>
      </c>
      <c r="J3245" s="625" t="s">
        <v>6128</v>
      </c>
      <c r="K3245" s="713">
        <v>0</v>
      </c>
      <c r="L3245" s="638"/>
      <c r="M3245" s="712"/>
      <c r="N3245" s="638">
        <v>1</v>
      </c>
      <c r="O3245" s="626">
        <v>6</v>
      </c>
      <c r="P3245" s="712">
        <f t="shared" si="32"/>
        <v>10800</v>
      </c>
    </row>
    <row r="3246" spans="1:16" s="619" customFormat="1" ht="24" x14ac:dyDescent="0.2">
      <c r="A3246" s="626" t="s">
        <v>6091</v>
      </c>
      <c r="B3246" s="626" t="s">
        <v>1908</v>
      </c>
      <c r="C3246" s="638" t="s">
        <v>104</v>
      </c>
      <c r="D3246" s="626" t="s">
        <v>6158</v>
      </c>
      <c r="E3246" s="636">
        <v>1500</v>
      </c>
      <c r="F3246" s="637" t="s">
        <v>7244</v>
      </c>
      <c r="G3246" s="626" t="s">
        <v>7245</v>
      </c>
      <c r="H3246" s="626" t="s">
        <v>6158</v>
      </c>
      <c r="I3246" s="638" t="s">
        <v>1919</v>
      </c>
      <c r="J3246" s="625" t="s">
        <v>6128</v>
      </c>
      <c r="K3246" s="713">
        <v>0</v>
      </c>
      <c r="L3246" s="638"/>
      <c r="M3246" s="712"/>
      <c r="N3246" s="638">
        <v>1</v>
      </c>
      <c r="O3246" s="626">
        <v>6</v>
      </c>
      <c r="P3246" s="712">
        <f t="shared" si="32"/>
        <v>9000</v>
      </c>
    </row>
    <row r="3247" spans="1:16" s="619" customFormat="1" ht="24" x14ac:dyDescent="0.2">
      <c r="A3247" s="626" t="s">
        <v>6091</v>
      </c>
      <c r="B3247" s="626" t="s">
        <v>1908</v>
      </c>
      <c r="C3247" s="638" t="s">
        <v>104</v>
      </c>
      <c r="D3247" s="626" t="s">
        <v>6158</v>
      </c>
      <c r="E3247" s="636">
        <v>1800</v>
      </c>
      <c r="F3247" s="637" t="s">
        <v>7246</v>
      </c>
      <c r="G3247" s="626" t="s">
        <v>7247</v>
      </c>
      <c r="H3247" s="626" t="s">
        <v>6158</v>
      </c>
      <c r="I3247" s="638" t="s">
        <v>1919</v>
      </c>
      <c r="J3247" s="625" t="s">
        <v>6128</v>
      </c>
      <c r="K3247" s="713">
        <v>0</v>
      </c>
      <c r="L3247" s="638"/>
      <c r="M3247" s="712"/>
      <c r="N3247" s="638">
        <v>1</v>
      </c>
      <c r="O3247" s="626">
        <v>6</v>
      </c>
      <c r="P3247" s="712">
        <f t="shared" si="32"/>
        <v>10800</v>
      </c>
    </row>
    <row r="3248" spans="1:16" s="619" customFormat="1" ht="36" x14ac:dyDescent="0.2">
      <c r="A3248" s="626" t="s">
        <v>6091</v>
      </c>
      <c r="B3248" s="626" t="s">
        <v>1908</v>
      </c>
      <c r="C3248" s="638" t="s">
        <v>104</v>
      </c>
      <c r="D3248" s="626" t="s">
        <v>6240</v>
      </c>
      <c r="E3248" s="636">
        <v>2000</v>
      </c>
      <c r="F3248" s="637" t="s">
        <v>7248</v>
      </c>
      <c r="G3248" s="626" t="s">
        <v>7249</v>
      </c>
      <c r="H3248" s="626" t="s">
        <v>6240</v>
      </c>
      <c r="I3248" s="638" t="s">
        <v>6099</v>
      </c>
      <c r="J3248" s="625" t="s">
        <v>6100</v>
      </c>
      <c r="K3248" s="713">
        <v>0</v>
      </c>
      <c r="L3248" s="638"/>
      <c r="M3248" s="712"/>
      <c r="N3248" s="638">
        <v>1</v>
      </c>
      <c r="O3248" s="626">
        <v>1</v>
      </c>
      <c r="P3248" s="712">
        <f t="shared" si="32"/>
        <v>2000</v>
      </c>
    </row>
    <row r="3249" spans="1:16" s="619" customFormat="1" ht="36" x14ac:dyDescent="0.2">
      <c r="A3249" s="626" t="s">
        <v>6091</v>
      </c>
      <c r="B3249" s="626" t="s">
        <v>1908</v>
      </c>
      <c r="C3249" s="638" t="s">
        <v>104</v>
      </c>
      <c r="D3249" s="626" t="s">
        <v>2660</v>
      </c>
      <c r="E3249" s="636">
        <v>2000</v>
      </c>
      <c r="F3249" s="637" t="s">
        <v>7250</v>
      </c>
      <c r="G3249" s="626" t="s">
        <v>7251</v>
      </c>
      <c r="H3249" s="626" t="s">
        <v>2660</v>
      </c>
      <c r="I3249" s="638" t="s">
        <v>6099</v>
      </c>
      <c r="J3249" s="625" t="s">
        <v>6100</v>
      </c>
      <c r="K3249" s="713">
        <v>0</v>
      </c>
      <c r="L3249" s="638"/>
      <c r="M3249" s="712"/>
      <c r="N3249" s="638">
        <v>1</v>
      </c>
      <c r="O3249" s="626">
        <v>6</v>
      </c>
      <c r="P3249" s="712">
        <f t="shared" si="32"/>
        <v>12000</v>
      </c>
    </row>
    <row r="3250" spans="1:16" s="619" customFormat="1" ht="36" x14ac:dyDescent="0.2">
      <c r="A3250" s="626" t="s">
        <v>6091</v>
      </c>
      <c r="B3250" s="626" t="s">
        <v>1908</v>
      </c>
      <c r="C3250" s="638" t="s">
        <v>104</v>
      </c>
      <c r="D3250" s="626" t="s">
        <v>2660</v>
      </c>
      <c r="E3250" s="636">
        <v>3300</v>
      </c>
      <c r="F3250" s="637" t="s">
        <v>7252</v>
      </c>
      <c r="G3250" s="626" t="s">
        <v>2659</v>
      </c>
      <c r="H3250" s="626" t="s">
        <v>2660</v>
      </c>
      <c r="I3250" s="638" t="s">
        <v>6099</v>
      </c>
      <c r="J3250" s="625" t="s">
        <v>6100</v>
      </c>
      <c r="K3250" s="713">
        <v>0</v>
      </c>
      <c r="L3250" s="638"/>
      <c r="M3250" s="712"/>
      <c r="N3250" s="638">
        <v>1</v>
      </c>
      <c r="O3250" s="626">
        <v>6</v>
      </c>
      <c r="P3250" s="712">
        <f t="shared" si="32"/>
        <v>19800</v>
      </c>
    </row>
    <row r="3251" spans="1:16" s="619" customFormat="1" ht="36" x14ac:dyDescent="0.2">
      <c r="A3251" s="626" t="s">
        <v>6091</v>
      </c>
      <c r="B3251" s="626" t="s">
        <v>1908</v>
      </c>
      <c r="C3251" s="638" t="s">
        <v>104</v>
      </c>
      <c r="D3251" s="626" t="s">
        <v>6548</v>
      </c>
      <c r="E3251" s="636">
        <v>3300</v>
      </c>
      <c r="F3251" s="637" t="s">
        <v>7253</v>
      </c>
      <c r="G3251" s="626" t="s">
        <v>7254</v>
      </c>
      <c r="H3251" s="626" t="s">
        <v>6548</v>
      </c>
      <c r="I3251" s="638" t="s">
        <v>6095</v>
      </c>
      <c r="J3251" s="625" t="s">
        <v>6096</v>
      </c>
      <c r="K3251" s="713">
        <v>0</v>
      </c>
      <c r="L3251" s="638"/>
      <c r="M3251" s="712"/>
      <c r="N3251" s="638">
        <v>1</v>
      </c>
      <c r="O3251" s="626">
        <v>6</v>
      </c>
      <c r="P3251" s="712">
        <f t="shared" si="32"/>
        <v>19800</v>
      </c>
    </row>
    <row r="3252" spans="1:16" s="619" customFormat="1" ht="24" x14ac:dyDescent="0.2">
      <c r="A3252" s="626" t="s">
        <v>6091</v>
      </c>
      <c r="B3252" s="626" t="s">
        <v>1908</v>
      </c>
      <c r="C3252" s="638" t="s">
        <v>104</v>
      </c>
      <c r="D3252" s="626" t="s">
        <v>6158</v>
      </c>
      <c r="E3252" s="636">
        <v>3300</v>
      </c>
      <c r="F3252" s="637" t="s">
        <v>7255</v>
      </c>
      <c r="G3252" s="626" t="s">
        <v>7256</v>
      </c>
      <c r="H3252" s="626" t="s">
        <v>6158</v>
      </c>
      <c r="I3252" s="638" t="s">
        <v>1919</v>
      </c>
      <c r="J3252" s="625" t="s">
        <v>6128</v>
      </c>
      <c r="K3252" s="713">
        <v>0</v>
      </c>
      <c r="L3252" s="638"/>
      <c r="M3252" s="712"/>
      <c r="N3252" s="638">
        <v>1</v>
      </c>
      <c r="O3252" s="626">
        <v>6</v>
      </c>
      <c r="P3252" s="712">
        <f t="shared" si="32"/>
        <v>19800</v>
      </c>
    </row>
    <row r="3253" spans="1:16" s="619" customFormat="1" ht="24" x14ac:dyDescent="0.2">
      <c r="A3253" s="626" t="s">
        <v>6091</v>
      </c>
      <c r="B3253" s="626" t="s">
        <v>1908</v>
      </c>
      <c r="C3253" s="638" t="s">
        <v>104</v>
      </c>
      <c r="D3253" s="626" t="s">
        <v>6092</v>
      </c>
      <c r="E3253" s="636">
        <v>6000</v>
      </c>
      <c r="F3253" s="637" t="s">
        <v>7257</v>
      </c>
      <c r="G3253" s="626" t="s">
        <v>7258</v>
      </c>
      <c r="H3253" s="626" t="s">
        <v>6092</v>
      </c>
      <c r="I3253" s="638" t="s">
        <v>6095</v>
      </c>
      <c r="J3253" s="625" t="s">
        <v>6096</v>
      </c>
      <c r="K3253" s="713">
        <v>0</v>
      </c>
      <c r="L3253" s="638"/>
      <c r="M3253" s="712"/>
      <c r="N3253" s="638">
        <v>1</v>
      </c>
      <c r="O3253" s="626">
        <v>5</v>
      </c>
      <c r="P3253" s="712">
        <f t="shared" si="32"/>
        <v>30000</v>
      </c>
    </row>
    <row r="3254" spans="1:16" s="619" customFormat="1" ht="24" x14ac:dyDescent="0.2">
      <c r="A3254" s="626" t="s">
        <v>6091</v>
      </c>
      <c r="B3254" s="626" t="s">
        <v>1908</v>
      </c>
      <c r="C3254" s="638" t="s">
        <v>104</v>
      </c>
      <c r="D3254" s="626" t="s">
        <v>2563</v>
      </c>
      <c r="E3254" s="636">
        <v>2000</v>
      </c>
      <c r="F3254" s="637" t="s">
        <v>7259</v>
      </c>
      <c r="G3254" s="626" t="s">
        <v>7260</v>
      </c>
      <c r="H3254" s="626" t="s">
        <v>2563</v>
      </c>
      <c r="I3254" s="638" t="s">
        <v>6095</v>
      </c>
      <c r="J3254" s="625" t="s">
        <v>6096</v>
      </c>
      <c r="K3254" s="713">
        <v>0</v>
      </c>
      <c r="L3254" s="638"/>
      <c r="M3254" s="712"/>
      <c r="N3254" s="638">
        <v>1</v>
      </c>
      <c r="O3254" s="626">
        <v>5</v>
      </c>
      <c r="P3254" s="712">
        <f t="shared" si="32"/>
        <v>10000</v>
      </c>
    </row>
    <row r="3255" spans="1:16" s="619" customFormat="1" ht="48" x14ac:dyDescent="0.2">
      <c r="A3255" s="626" t="s">
        <v>6091</v>
      </c>
      <c r="B3255" s="626" t="s">
        <v>1908</v>
      </c>
      <c r="C3255" s="638" t="s">
        <v>104</v>
      </c>
      <c r="D3255" s="626" t="s">
        <v>7224</v>
      </c>
      <c r="E3255" s="636">
        <v>1200</v>
      </c>
      <c r="F3255" s="637" t="s">
        <v>7261</v>
      </c>
      <c r="G3255" s="626" t="s">
        <v>7262</v>
      </c>
      <c r="H3255" s="626" t="s">
        <v>6123</v>
      </c>
      <c r="I3255" s="638" t="s">
        <v>6099</v>
      </c>
      <c r="J3255" s="625" t="s">
        <v>6100</v>
      </c>
      <c r="K3255" s="713">
        <v>0</v>
      </c>
      <c r="L3255" s="638"/>
      <c r="M3255" s="712"/>
      <c r="N3255" s="638">
        <v>1</v>
      </c>
      <c r="O3255" s="626">
        <v>1</v>
      </c>
      <c r="P3255" s="712">
        <f t="shared" si="32"/>
        <v>1200</v>
      </c>
    </row>
    <row r="3256" spans="1:16" s="619" customFormat="1" ht="24" x14ac:dyDescent="0.2">
      <c r="A3256" s="626" t="s">
        <v>6091</v>
      </c>
      <c r="B3256" s="626" t="s">
        <v>1908</v>
      </c>
      <c r="C3256" s="638" t="s">
        <v>104</v>
      </c>
      <c r="D3256" s="626" t="s">
        <v>7263</v>
      </c>
      <c r="E3256" s="636">
        <v>6000</v>
      </c>
      <c r="F3256" s="637" t="s">
        <v>7264</v>
      </c>
      <c r="G3256" s="626" t="s">
        <v>2502</v>
      </c>
      <c r="H3256" s="626" t="s">
        <v>1965</v>
      </c>
      <c r="I3256" s="638" t="s">
        <v>6095</v>
      </c>
      <c r="J3256" s="625" t="s">
        <v>6096</v>
      </c>
      <c r="K3256" s="713">
        <v>0</v>
      </c>
      <c r="L3256" s="638"/>
      <c r="M3256" s="712"/>
      <c r="N3256" s="638">
        <v>1</v>
      </c>
      <c r="O3256" s="626">
        <v>5</v>
      </c>
      <c r="P3256" s="712">
        <f t="shared" si="32"/>
        <v>30000</v>
      </c>
    </row>
    <row r="3257" spans="1:16" s="619" customFormat="1" ht="48" x14ac:dyDescent="0.2">
      <c r="A3257" s="626" t="s">
        <v>6091</v>
      </c>
      <c r="B3257" s="626" t="s">
        <v>1908</v>
      </c>
      <c r="C3257" s="638" t="s">
        <v>104</v>
      </c>
      <c r="D3257" s="626" t="s">
        <v>6149</v>
      </c>
      <c r="E3257" s="636">
        <v>2000</v>
      </c>
      <c r="F3257" s="637" t="s">
        <v>7265</v>
      </c>
      <c r="G3257" s="626" t="s">
        <v>7266</v>
      </c>
      <c r="H3257" s="626" t="s">
        <v>6149</v>
      </c>
      <c r="I3257" s="638" t="s">
        <v>6095</v>
      </c>
      <c r="J3257" s="625" t="s">
        <v>6096</v>
      </c>
      <c r="K3257" s="713">
        <v>0</v>
      </c>
      <c r="L3257" s="638"/>
      <c r="M3257" s="712"/>
      <c r="N3257" s="638">
        <v>1</v>
      </c>
      <c r="O3257" s="626">
        <v>5</v>
      </c>
      <c r="P3257" s="712">
        <f t="shared" si="32"/>
        <v>10000</v>
      </c>
    </row>
    <row r="3258" spans="1:16" s="619" customFormat="1" ht="36" x14ac:dyDescent="0.2">
      <c r="A3258" s="626" t="s">
        <v>6091</v>
      </c>
      <c r="B3258" s="626" t="s">
        <v>1908</v>
      </c>
      <c r="C3258" s="638" t="s">
        <v>104</v>
      </c>
      <c r="D3258" s="626" t="s">
        <v>6092</v>
      </c>
      <c r="E3258" s="636">
        <v>2000</v>
      </c>
      <c r="F3258" s="637" t="s">
        <v>7267</v>
      </c>
      <c r="G3258" s="626" t="s">
        <v>7268</v>
      </c>
      <c r="H3258" s="626" t="s">
        <v>6092</v>
      </c>
      <c r="I3258" s="638" t="s">
        <v>6095</v>
      </c>
      <c r="J3258" s="625" t="s">
        <v>6096</v>
      </c>
      <c r="K3258" s="713">
        <v>0</v>
      </c>
      <c r="L3258" s="638"/>
      <c r="M3258" s="712"/>
      <c r="N3258" s="638">
        <v>1</v>
      </c>
      <c r="O3258" s="626">
        <v>5</v>
      </c>
      <c r="P3258" s="712">
        <f t="shared" ref="P3258:P3321" si="33">O3258*E3258</f>
        <v>10000</v>
      </c>
    </row>
    <row r="3259" spans="1:16" s="619" customFormat="1" ht="36" x14ac:dyDescent="0.2">
      <c r="A3259" s="626" t="s">
        <v>6091</v>
      </c>
      <c r="B3259" s="626" t="s">
        <v>1908</v>
      </c>
      <c r="C3259" s="638" t="s">
        <v>104</v>
      </c>
      <c r="D3259" s="626" t="s">
        <v>2660</v>
      </c>
      <c r="E3259" s="636">
        <v>1400</v>
      </c>
      <c r="F3259" s="637" t="s">
        <v>7269</v>
      </c>
      <c r="G3259" s="626" t="s">
        <v>7270</v>
      </c>
      <c r="H3259" s="626" t="s">
        <v>2660</v>
      </c>
      <c r="I3259" s="638" t="s">
        <v>6099</v>
      </c>
      <c r="J3259" s="625" t="s">
        <v>6100</v>
      </c>
      <c r="K3259" s="713">
        <v>0</v>
      </c>
      <c r="L3259" s="638"/>
      <c r="M3259" s="712"/>
      <c r="N3259" s="638">
        <v>1</v>
      </c>
      <c r="O3259" s="626">
        <v>5</v>
      </c>
      <c r="P3259" s="712">
        <f t="shared" si="33"/>
        <v>7000</v>
      </c>
    </row>
    <row r="3260" spans="1:16" s="619" customFormat="1" ht="36" x14ac:dyDescent="0.2">
      <c r="A3260" s="626" t="s">
        <v>6091</v>
      </c>
      <c r="B3260" s="626" t="s">
        <v>1908</v>
      </c>
      <c r="C3260" s="638" t="s">
        <v>104</v>
      </c>
      <c r="D3260" s="626" t="s">
        <v>2660</v>
      </c>
      <c r="E3260" s="636">
        <v>1400</v>
      </c>
      <c r="F3260" s="637" t="s">
        <v>7271</v>
      </c>
      <c r="G3260" s="626" t="s">
        <v>7272</v>
      </c>
      <c r="H3260" s="626" t="s">
        <v>2660</v>
      </c>
      <c r="I3260" s="638" t="s">
        <v>6099</v>
      </c>
      <c r="J3260" s="625" t="s">
        <v>6100</v>
      </c>
      <c r="K3260" s="713">
        <v>0</v>
      </c>
      <c r="L3260" s="638"/>
      <c r="M3260" s="712"/>
      <c r="N3260" s="638">
        <v>1</v>
      </c>
      <c r="O3260" s="626">
        <v>5</v>
      </c>
      <c r="P3260" s="712">
        <f t="shared" si="33"/>
        <v>7000</v>
      </c>
    </row>
    <row r="3261" spans="1:16" s="619" customFormat="1" ht="24" x14ac:dyDescent="0.2">
      <c r="A3261" s="626" t="s">
        <v>6091</v>
      </c>
      <c r="B3261" s="626" t="s">
        <v>1908</v>
      </c>
      <c r="C3261" s="638" t="s">
        <v>104</v>
      </c>
      <c r="D3261" s="626" t="s">
        <v>6092</v>
      </c>
      <c r="E3261" s="636">
        <v>2000</v>
      </c>
      <c r="F3261" s="637" t="s">
        <v>7273</v>
      </c>
      <c r="G3261" s="626" t="s">
        <v>7274</v>
      </c>
      <c r="H3261" s="626" t="s">
        <v>6092</v>
      </c>
      <c r="I3261" s="638" t="s">
        <v>6095</v>
      </c>
      <c r="J3261" s="625" t="s">
        <v>6096</v>
      </c>
      <c r="K3261" s="713">
        <v>0</v>
      </c>
      <c r="L3261" s="638"/>
      <c r="M3261" s="712"/>
      <c r="N3261" s="638">
        <v>1</v>
      </c>
      <c r="O3261" s="626">
        <v>1</v>
      </c>
      <c r="P3261" s="712">
        <f t="shared" si="33"/>
        <v>2000</v>
      </c>
    </row>
    <row r="3262" spans="1:16" s="619" customFormat="1" ht="36" x14ac:dyDescent="0.2">
      <c r="A3262" s="626" t="s">
        <v>6091</v>
      </c>
      <c r="B3262" s="626" t="s">
        <v>1908</v>
      </c>
      <c r="C3262" s="638" t="s">
        <v>104</v>
      </c>
      <c r="D3262" s="626" t="s">
        <v>6092</v>
      </c>
      <c r="E3262" s="636">
        <v>2000</v>
      </c>
      <c r="F3262" s="637" t="s">
        <v>7275</v>
      </c>
      <c r="G3262" s="626" t="s">
        <v>7276</v>
      </c>
      <c r="H3262" s="626" t="s">
        <v>6092</v>
      </c>
      <c r="I3262" s="638" t="s">
        <v>6095</v>
      </c>
      <c r="J3262" s="625" t="s">
        <v>6096</v>
      </c>
      <c r="K3262" s="713">
        <v>0</v>
      </c>
      <c r="L3262" s="638"/>
      <c r="M3262" s="712"/>
      <c r="N3262" s="638">
        <v>1</v>
      </c>
      <c r="O3262" s="626">
        <v>3</v>
      </c>
      <c r="P3262" s="712">
        <f t="shared" si="33"/>
        <v>6000</v>
      </c>
    </row>
    <row r="3263" spans="1:16" s="619" customFormat="1" ht="24" x14ac:dyDescent="0.2">
      <c r="A3263" s="626" t="s">
        <v>6091</v>
      </c>
      <c r="B3263" s="626" t="s">
        <v>1908</v>
      </c>
      <c r="C3263" s="638" t="s">
        <v>104</v>
      </c>
      <c r="D3263" s="626" t="s">
        <v>6198</v>
      </c>
      <c r="E3263" s="636">
        <v>2000</v>
      </c>
      <c r="F3263" s="637" t="s">
        <v>7277</v>
      </c>
      <c r="G3263" s="626" t="s">
        <v>7278</v>
      </c>
      <c r="H3263" s="626" t="s">
        <v>6198</v>
      </c>
      <c r="I3263" s="638" t="s">
        <v>6095</v>
      </c>
      <c r="J3263" s="625" t="s">
        <v>6096</v>
      </c>
      <c r="K3263" s="713">
        <v>0</v>
      </c>
      <c r="L3263" s="638"/>
      <c r="M3263" s="712"/>
      <c r="N3263" s="638">
        <v>1</v>
      </c>
      <c r="O3263" s="626">
        <v>5</v>
      </c>
      <c r="P3263" s="712">
        <f t="shared" si="33"/>
        <v>10000</v>
      </c>
    </row>
    <row r="3264" spans="1:16" s="619" customFormat="1" ht="36" x14ac:dyDescent="0.2">
      <c r="A3264" s="626" t="s">
        <v>6091</v>
      </c>
      <c r="B3264" s="626" t="s">
        <v>1908</v>
      </c>
      <c r="C3264" s="638" t="s">
        <v>104</v>
      </c>
      <c r="D3264" s="626" t="s">
        <v>6299</v>
      </c>
      <c r="E3264" s="636">
        <v>1400</v>
      </c>
      <c r="F3264" s="637" t="s">
        <v>7279</v>
      </c>
      <c r="G3264" s="626" t="s">
        <v>7280</v>
      </c>
      <c r="H3264" s="626" t="s">
        <v>6299</v>
      </c>
      <c r="I3264" s="638" t="s">
        <v>6099</v>
      </c>
      <c r="J3264" s="625" t="s">
        <v>6100</v>
      </c>
      <c r="K3264" s="713">
        <v>0</v>
      </c>
      <c r="L3264" s="638"/>
      <c r="M3264" s="712"/>
      <c r="N3264" s="638">
        <v>1</v>
      </c>
      <c r="O3264" s="626">
        <v>5</v>
      </c>
      <c r="P3264" s="712">
        <f t="shared" si="33"/>
        <v>7000</v>
      </c>
    </row>
    <row r="3265" spans="1:16" s="619" customFormat="1" ht="36" x14ac:dyDescent="0.2">
      <c r="A3265" s="626" t="s">
        <v>6091</v>
      </c>
      <c r="B3265" s="626" t="s">
        <v>1908</v>
      </c>
      <c r="C3265" s="638" t="s">
        <v>104</v>
      </c>
      <c r="D3265" s="626" t="s">
        <v>6198</v>
      </c>
      <c r="E3265" s="636">
        <v>2000</v>
      </c>
      <c r="F3265" s="637" t="s">
        <v>7281</v>
      </c>
      <c r="G3265" s="626" t="s">
        <v>7282</v>
      </c>
      <c r="H3265" s="626" t="s">
        <v>6198</v>
      </c>
      <c r="I3265" s="638" t="s">
        <v>6095</v>
      </c>
      <c r="J3265" s="625" t="s">
        <v>6096</v>
      </c>
      <c r="K3265" s="713">
        <v>0</v>
      </c>
      <c r="L3265" s="638"/>
      <c r="M3265" s="712"/>
      <c r="N3265" s="638">
        <v>1</v>
      </c>
      <c r="O3265" s="626">
        <v>5</v>
      </c>
      <c r="P3265" s="712">
        <f t="shared" si="33"/>
        <v>10000</v>
      </c>
    </row>
    <row r="3266" spans="1:16" s="619" customFormat="1" ht="36" x14ac:dyDescent="0.2">
      <c r="A3266" s="626" t="s">
        <v>6091</v>
      </c>
      <c r="B3266" s="626" t="s">
        <v>1908</v>
      </c>
      <c r="C3266" s="638" t="s">
        <v>104</v>
      </c>
      <c r="D3266" s="626" t="s">
        <v>2660</v>
      </c>
      <c r="E3266" s="636">
        <v>3300</v>
      </c>
      <c r="F3266" s="637" t="s">
        <v>7283</v>
      </c>
      <c r="G3266" s="626" t="s">
        <v>7284</v>
      </c>
      <c r="H3266" s="626" t="s">
        <v>2660</v>
      </c>
      <c r="I3266" s="638" t="s">
        <v>6099</v>
      </c>
      <c r="J3266" s="625" t="s">
        <v>6100</v>
      </c>
      <c r="K3266" s="713">
        <v>0</v>
      </c>
      <c r="L3266" s="638"/>
      <c r="M3266" s="712"/>
      <c r="N3266" s="638">
        <v>1</v>
      </c>
      <c r="O3266" s="626">
        <v>5</v>
      </c>
      <c r="P3266" s="712">
        <f t="shared" si="33"/>
        <v>16500</v>
      </c>
    </row>
    <row r="3267" spans="1:16" s="619" customFormat="1" ht="36" x14ac:dyDescent="0.2">
      <c r="A3267" s="626" t="s">
        <v>6091</v>
      </c>
      <c r="B3267" s="626" t="s">
        <v>1908</v>
      </c>
      <c r="C3267" s="638" t="s">
        <v>104</v>
      </c>
      <c r="D3267" s="626" t="s">
        <v>3545</v>
      </c>
      <c r="E3267" s="636">
        <v>1200</v>
      </c>
      <c r="F3267" s="637" t="s">
        <v>7285</v>
      </c>
      <c r="G3267" s="626" t="s">
        <v>7286</v>
      </c>
      <c r="H3267" s="626" t="s">
        <v>4589</v>
      </c>
      <c r="I3267" s="638" t="s">
        <v>6099</v>
      </c>
      <c r="J3267" s="625" t="s">
        <v>6100</v>
      </c>
      <c r="K3267" s="713">
        <v>0</v>
      </c>
      <c r="L3267" s="638"/>
      <c r="M3267" s="712"/>
      <c r="N3267" s="638">
        <v>1</v>
      </c>
      <c r="O3267" s="626">
        <v>3</v>
      </c>
      <c r="P3267" s="712">
        <f t="shared" si="33"/>
        <v>3600</v>
      </c>
    </row>
    <row r="3268" spans="1:16" s="619" customFormat="1" ht="48" x14ac:dyDescent="0.2">
      <c r="A3268" s="626" t="s">
        <v>6091</v>
      </c>
      <c r="B3268" s="626" t="s">
        <v>1908</v>
      </c>
      <c r="C3268" s="638" t="s">
        <v>104</v>
      </c>
      <c r="D3268" s="626" t="s">
        <v>4782</v>
      </c>
      <c r="E3268" s="636">
        <v>1200</v>
      </c>
      <c r="F3268" s="637" t="s">
        <v>7287</v>
      </c>
      <c r="G3268" s="626" t="s">
        <v>7288</v>
      </c>
      <c r="H3268" s="626" t="s">
        <v>4782</v>
      </c>
      <c r="I3268" s="638" t="s">
        <v>6099</v>
      </c>
      <c r="J3268" s="625" t="s">
        <v>6100</v>
      </c>
      <c r="K3268" s="713">
        <v>0</v>
      </c>
      <c r="L3268" s="638"/>
      <c r="M3268" s="712"/>
      <c r="N3268" s="638">
        <v>1</v>
      </c>
      <c r="O3268" s="626">
        <v>4</v>
      </c>
      <c r="P3268" s="712">
        <f t="shared" si="33"/>
        <v>4800</v>
      </c>
    </row>
    <row r="3269" spans="1:16" s="619" customFormat="1" ht="36" x14ac:dyDescent="0.2">
      <c r="A3269" s="626" t="s">
        <v>6091</v>
      </c>
      <c r="B3269" s="626" t="s">
        <v>1908</v>
      </c>
      <c r="C3269" s="638" t="s">
        <v>104</v>
      </c>
      <c r="D3269" s="626" t="s">
        <v>2660</v>
      </c>
      <c r="E3269" s="636">
        <v>1200</v>
      </c>
      <c r="F3269" s="637" t="s">
        <v>7289</v>
      </c>
      <c r="G3269" s="626" t="s">
        <v>7290</v>
      </c>
      <c r="H3269" s="626" t="s">
        <v>2660</v>
      </c>
      <c r="I3269" s="638" t="s">
        <v>6099</v>
      </c>
      <c r="J3269" s="625" t="s">
        <v>6100</v>
      </c>
      <c r="K3269" s="713">
        <v>0</v>
      </c>
      <c r="L3269" s="638"/>
      <c r="M3269" s="712"/>
      <c r="N3269" s="638">
        <v>1</v>
      </c>
      <c r="O3269" s="626">
        <v>4</v>
      </c>
      <c r="P3269" s="712">
        <f t="shared" si="33"/>
        <v>4800</v>
      </c>
    </row>
    <row r="3270" spans="1:16" s="619" customFormat="1" ht="48" x14ac:dyDescent="0.2">
      <c r="A3270" s="626" t="s">
        <v>6091</v>
      </c>
      <c r="B3270" s="626" t="s">
        <v>1908</v>
      </c>
      <c r="C3270" s="638" t="s">
        <v>104</v>
      </c>
      <c r="D3270" s="626" t="s">
        <v>6187</v>
      </c>
      <c r="E3270" s="636">
        <v>1200</v>
      </c>
      <c r="F3270" s="637" t="s">
        <v>7291</v>
      </c>
      <c r="G3270" s="626" t="s">
        <v>7292</v>
      </c>
      <c r="H3270" s="626" t="s">
        <v>6123</v>
      </c>
      <c r="I3270" s="638" t="s">
        <v>6099</v>
      </c>
      <c r="J3270" s="625" t="s">
        <v>6100</v>
      </c>
      <c r="K3270" s="713">
        <v>0</v>
      </c>
      <c r="L3270" s="638"/>
      <c r="M3270" s="712"/>
      <c r="N3270" s="638">
        <v>1</v>
      </c>
      <c r="O3270" s="626">
        <v>4</v>
      </c>
      <c r="P3270" s="712">
        <f t="shared" si="33"/>
        <v>4800</v>
      </c>
    </row>
    <row r="3271" spans="1:16" s="619" customFormat="1" ht="36" x14ac:dyDescent="0.2">
      <c r="A3271" s="626" t="s">
        <v>6091</v>
      </c>
      <c r="B3271" s="626" t="s">
        <v>1908</v>
      </c>
      <c r="C3271" s="638" t="s">
        <v>104</v>
      </c>
      <c r="D3271" s="626" t="s">
        <v>2660</v>
      </c>
      <c r="E3271" s="636">
        <v>1200</v>
      </c>
      <c r="F3271" s="637" t="s">
        <v>7293</v>
      </c>
      <c r="G3271" s="626" t="s">
        <v>7294</v>
      </c>
      <c r="H3271" s="626" t="s">
        <v>2660</v>
      </c>
      <c r="I3271" s="638" t="s">
        <v>6099</v>
      </c>
      <c r="J3271" s="625" t="s">
        <v>6100</v>
      </c>
      <c r="K3271" s="713">
        <v>0</v>
      </c>
      <c r="L3271" s="638"/>
      <c r="M3271" s="712"/>
      <c r="N3271" s="638">
        <v>1</v>
      </c>
      <c r="O3271" s="626">
        <v>4</v>
      </c>
      <c r="P3271" s="712">
        <f t="shared" si="33"/>
        <v>4800</v>
      </c>
    </row>
    <row r="3272" spans="1:16" s="619" customFormat="1" ht="36" x14ac:dyDescent="0.2">
      <c r="A3272" s="626" t="s">
        <v>6091</v>
      </c>
      <c r="B3272" s="626" t="s">
        <v>1908</v>
      </c>
      <c r="C3272" s="638" t="s">
        <v>104</v>
      </c>
      <c r="D3272" s="626" t="s">
        <v>2660</v>
      </c>
      <c r="E3272" s="636">
        <v>1200</v>
      </c>
      <c r="F3272" s="637" t="s">
        <v>7295</v>
      </c>
      <c r="G3272" s="626" t="s">
        <v>7296</v>
      </c>
      <c r="H3272" s="626" t="s">
        <v>2660</v>
      </c>
      <c r="I3272" s="638" t="s">
        <v>6099</v>
      </c>
      <c r="J3272" s="625" t="s">
        <v>6100</v>
      </c>
      <c r="K3272" s="713">
        <v>0</v>
      </c>
      <c r="L3272" s="638"/>
      <c r="M3272" s="712"/>
      <c r="N3272" s="638">
        <v>1</v>
      </c>
      <c r="O3272" s="626">
        <v>4</v>
      </c>
      <c r="P3272" s="712">
        <f t="shared" si="33"/>
        <v>4800</v>
      </c>
    </row>
    <row r="3273" spans="1:16" s="619" customFormat="1" ht="24" x14ac:dyDescent="0.2">
      <c r="A3273" s="626" t="s">
        <v>6091</v>
      </c>
      <c r="B3273" s="626" t="s">
        <v>1908</v>
      </c>
      <c r="C3273" s="638" t="s">
        <v>104</v>
      </c>
      <c r="D3273" s="626" t="s">
        <v>6227</v>
      </c>
      <c r="E3273" s="636">
        <v>2500</v>
      </c>
      <c r="F3273" s="637" t="s">
        <v>7297</v>
      </c>
      <c r="G3273" s="626" t="s">
        <v>7298</v>
      </c>
      <c r="H3273" s="626" t="s">
        <v>6227</v>
      </c>
      <c r="I3273" s="638" t="s">
        <v>6095</v>
      </c>
      <c r="J3273" s="625" t="s">
        <v>6096</v>
      </c>
      <c r="K3273" s="713">
        <v>0</v>
      </c>
      <c r="L3273" s="638"/>
      <c r="M3273" s="712"/>
      <c r="N3273" s="638">
        <v>1</v>
      </c>
      <c r="O3273" s="626">
        <v>3</v>
      </c>
      <c r="P3273" s="712">
        <f t="shared" si="33"/>
        <v>7500</v>
      </c>
    </row>
    <row r="3274" spans="1:16" s="619" customFormat="1" ht="36" x14ac:dyDescent="0.2">
      <c r="A3274" s="626" t="s">
        <v>6091</v>
      </c>
      <c r="B3274" s="626" t="s">
        <v>1908</v>
      </c>
      <c r="C3274" s="638" t="s">
        <v>104</v>
      </c>
      <c r="D3274" s="626" t="s">
        <v>6240</v>
      </c>
      <c r="E3274" s="636">
        <v>2000</v>
      </c>
      <c r="F3274" s="637" t="s">
        <v>7299</v>
      </c>
      <c r="G3274" s="626" t="s">
        <v>7300</v>
      </c>
      <c r="H3274" s="626" t="s">
        <v>6240</v>
      </c>
      <c r="I3274" s="638" t="s">
        <v>6099</v>
      </c>
      <c r="J3274" s="625" t="s">
        <v>6100</v>
      </c>
      <c r="K3274" s="713">
        <v>0</v>
      </c>
      <c r="L3274" s="638"/>
      <c r="M3274" s="712"/>
      <c r="N3274" s="638">
        <v>1</v>
      </c>
      <c r="O3274" s="626">
        <v>4</v>
      </c>
      <c r="P3274" s="712">
        <f t="shared" si="33"/>
        <v>8000</v>
      </c>
    </row>
    <row r="3275" spans="1:16" s="619" customFormat="1" ht="24" x14ac:dyDescent="0.2">
      <c r="A3275" s="626" t="s">
        <v>6091</v>
      </c>
      <c r="B3275" s="626" t="s">
        <v>1908</v>
      </c>
      <c r="C3275" s="638" t="s">
        <v>104</v>
      </c>
      <c r="D3275" s="626" t="s">
        <v>1986</v>
      </c>
      <c r="E3275" s="636">
        <v>6500</v>
      </c>
      <c r="F3275" s="637" t="s">
        <v>7301</v>
      </c>
      <c r="G3275" s="626" t="s">
        <v>7302</v>
      </c>
      <c r="H3275" s="626" t="s">
        <v>1986</v>
      </c>
      <c r="I3275" s="638" t="s">
        <v>6095</v>
      </c>
      <c r="J3275" s="625" t="s">
        <v>6096</v>
      </c>
      <c r="K3275" s="713">
        <v>0</v>
      </c>
      <c r="L3275" s="638"/>
      <c r="M3275" s="712"/>
      <c r="N3275" s="638">
        <v>1</v>
      </c>
      <c r="O3275" s="626">
        <v>2</v>
      </c>
      <c r="P3275" s="712">
        <f t="shared" si="33"/>
        <v>13000</v>
      </c>
    </row>
    <row r="3276" spans="1:16" s="619" customFormat="1" ht="36" x14ac:dyDescent="0.2">
      <c r="A3276" s="626" t="s">
        <v>6091</v>
      </c>
      <c r="B3276" s="626" t="s">
        <v>1908</v>
      </c>
      <c r="C3276" s="638" t="s">
        <v>104</v>
      </c>
      <c r="D3276" s="626" t="s">
        <v>6179</v>
      </c>
      <c r="E3276" s="636">
        <v>3300</v>
      </c>
      <c r="F3276" s="637" t="s">
        <v>7303</v>
      </c>
      <c r="G3276" s="626" t="s">
        <v>7304</v>
      </c>
      <c r="H3276" s="626" t="s">
        <v>6179</v>
      </c>
      <c r="I3276" s="638" t="s">
        <v>6095</v>
      </c>
      <c r="J3276" s="625" t="s">
        <v>6096</v>
      </c>
      <c r="K3276" s="713">
        <v>0</v>
      </c>
      <c r="L3276" s="638"/>
      <c r="M3276" s="712"/>
      <c r="N3276" s="638">
        <v>1</v>
      </c>
      <c r="O3276" s="626">
        <v>2</v>
      </c>
      <c r="P3276" s="712">
        <f t="shared" si="33"/>
        <v>6600</v>
      </c>
    </row>
    <row r="3277" spans="1:16" s="619" customFormat="1" ht="36" x14ac:dyDescent="0.2">
      <c r="A3277" s="626" t="s">
        <v>6091</v>
      </c>
      <c r="B3277" s="626" t="s">
        <v>1908</v>
      </c>
      <c r="C3277" s="638" t="s">
        <v>104</v>
      </c>
      <c r="D3277" s="626" t="s">
        <v>6092</v>
      </c>
      <c r="E3277" s="636">
        <v>3300</v>
      </c>
      <c r="F3277" s="637" t="s">
        <v>7305</v>
      </c>
      <c r="G3277" s="626" t="s">
        <v>7306</v>
      </c>
      <c r="H3277" s="626" t="s">
        <v>6092</v>
      </c>
      <c r="I3277" s="638" t="s">
        <v>6095</v>
      </c>
      <c r="J3277" s="625" t="s">
        <v>6096</v>
      </c>
      <c r="K3277" s="713">
        <v>0</v>
      </c>
      <c r="L3277" s="638"/>
      <c r="M3277" s="712"/>
      <c r="N3277" s="638">
        <v>1</v>
      </c>
      <c r="O3277" s="626">
        <v>2</v>
      </c>
      <c r="P3277" s="712">
        <f t="shared" si="33"/>
        <v>6600</v>
      </c>
    </row>
    <row r="3278" spans="1:16" s="619" customFormat="1" ht="24" x14ac:dyDescent="0.2">
      <c r="A3278" s="626" t="s">
        <v>6091</v>
      </c>
      <c r="B3278" s="626" t="s">
        <v>1908</v>
      </c>
      <c r="C3278" s="638" t="s">
        <v>104</v>
      </c>
      <c r="D3278" s="626" t="s">
        <v>6092</v>
      </c>
      <c r="E3278" s="636">
        <v>2000</v>
      </c>
      <c r="F3278" s="637" t="s">
        <v>7307</v>
      </c>
      <c r="G3278" s="626" t="s">
        <v>7308</v>
      </c>
      <c r="H3278" s="626" t="s">
        <v>6092</v>
      </c>
      <c r="I3278" s="638" t="s">
        <v>6095</v>
      </c>
      <c r="J3278" s="625" t="s">
        <v>6096</v>
      </c>
      <c r="K3278" s="713">
        <v>0</v>
      </c>
      <c r="L3278" s="638"/>
      <c r="M3278" s="712"/>
      <c r="N3278" s="638">
        <v>1</v>
      </c>
      <c r="O3278" s="626">
        <v>2</v>
      </c>
      <c r="P3278" s="712">
        <f t="shared" si="33"/>
        <v>4000</v>
      </c>
    </row>
    <row r="3279" spans="1:16" s="619" customFormat="1" ht="36" x14ac:dyDescent="0.2">
      <c r="A3279" s="626" t="s">
        <v>6091</v>
      </c>
      <c r="B3279" s="626" t="s">
        <v>1908</v>
      </c>
      <c r="C3279" s="638" t="s">
        <v>104</v>
      </c>
      <c r="D3279" s="626" t="s">
        <v>3606</v>
      </c>
      <c r="E3279" s="636">
        <v>2000</v>
      </c>
      <c r="F3279" s="637" t="s">
        <v>7309</v>
      </c>
      <c r="G3279" s="626" t="s">
        <v>7310</v>
      </c>
      <c r="H3279" s="626" t="s">
        <v>3606</v>
      </c>
      <c r="I3279" s="638" t="s">
        <v>6099</v>
      </c>
      <c r="J3279" s="625" t="s">
        <v>6100</v>
      </c>
      <c r="K3279" s="713">
        <v>0</v>
      </c>
      <c r="L3279" s="638"/>
      <c r="M3279" s="712"/>
      <c r="N3279" s="638">
        <v>1</v>
      </c>
      <c r="O3279" s="626">
        <v>2</v>
      </c>
      <c r="P3279" s="712">
        <f t="shared" si="33"/>
        <v>4000</v>
      </c>
    </row>
    <row r="3280" spans="1:16" s="619" customFormat="1" ht="24" x14ac:dyDescent="0.2">
      <c r="A3280" s="626" t="s">
        <v>6091</v>
      </c>
      <c r="B3280" s="626" t="s">
        <v>1908</v>
      </c>
      <c r="C3280" s="638" t="s">
        <v>104</v>
      </c>
      <c r="D3280" s="626" t="s">
        <v>7263</v>
      </c>
      <c r="E3280" s="636">
        <v>5000</v>
      </c>
      <c r="F3280" s="637" t="s">
        <v>7311</v>
      </c>
      <c r="G3280" s="626" t="s">
        <v>7312</v>
      </c>
      <c r="H3280" s="626" t="s">
        <v>7156</v>
      </c>
      <c r="I3280" s="638" t="s">
        <v>6095</v>
      </c>
      <c r="J3280" s="625" t="s">
        <v>6096</v>
      </c>
      <c r="K3280" s="713">
        <v>0</v>
      </c>
      <c r="L3280" s="638"/>
      <c r="M3280" s="712"/>
      <c r="N3280" s="638">
        <v>1</v>
      </c>
      <c r="O3280" s="626">
        <v>1</v>
      </c>
      <c r="P3280" s="712">
        <f t="shared" si="33"/>
        <v>5000</v>
      </c>
    </row>
    <row r="3281" spans="1:16" s="619" customFormat="1" ht="36" x14ac:dyDescent="0.2">
      <c r="A3281" s="626" t="s">
        <v>6091</v>
      </c>
      <c r="B3281" s="626" t="s">
        <v>1908</v>
      </c>
      <c r="C3281" s="638" t="s">
        <v>104</v>
      </c>
      <c r="D3281" s="626" t="s">
        <v>6179</v>
      </c>
      <c r="E3281" s="636">
        <v>9000</v>
      </c>
      <c r="F3281" s="637" t="s">
        <v>7313</v>
      </c>
      <c r="G3281" s="626" t="s">
        <v>7314</v>
      </c>
      <c r="H3281" s="626" t="s">
        <v>6179</v>
      </c>
      <c r="I3281" s="638" t="s">
        <v>6095</v>
      </c>
      <c r="J3281" s="625" t="s">
        <v>6096</v>
      </c>
      <c r="K3281" s="713">
        <v>0</v>
      </c>
      <c r="L3281" s="638"/>
      <c r="M3281" s="712"/>
      <c r="N3281" s="638">
        <v>1</v>
      </c>
      <c r="O3281" s="626">
        <v>2</v>
      </c>
      <c r="P3281" s="712">
        <f t="shared" si="33"/>
        <v>18000</v>
      </c>
    </row>
    <row r="3282" spans="1:16" s="619" customFormat="1" ht="24" x14ac:dyDescent="0.2">
      <c r="A3282" s="626" t="s">
        <v>6091</v>
      </c>
      <c r="B3282" s="626" t="s">
        <v>1908</v>
      </c>
      <c r="C3282" s="638" t="s">
        <v>104</v>
      </c>
      <c r="D3282" s="626" t="s">
        <v>6101</v>
      </c>
      <c r="E3282" s="636">
        <v>5000</v>
      </c>
      <c r="F3282" s="637" t="s">
        <v>7315</v>
      </c>
      <c r="G3282" s="626" t="s">
        <v>7316</v>
      </c>
      <c r="H3282" s="626" t="s">
        <v>6101</v>
      </c>
      <c r="I3282" s="638" t="s">
        <v>6095</v>
      </c>
      <c r="J3282" s="625" t="s">
        <v>6096</v>
      </c>
      <c r="K3282" s="713">
        <v>0</v>
      </c>
      <c r="L3282" s="638"/>
      <c r="M3282" s="712"/>
      <c r="N3282" s="638">
        <v>1</v>
      </c>
      <c r="O3282" s="626">
        <v>3</v>
      </c>
      <c r="P3282" s="712">
        <f t="shared" si="33"/>
        <v>15000</v>
      </c>
    </row>
    <row r="3283" spans="1:16" s="619" customFormat="1" ht="36" x14ac:dyDescent="0.2">
      <c r="A3283" s="626" t="s">
        <v>6091</v>
      </c>
      <c r="B3283" s="626" t="s">
        <v>1908</v>
      </c>
      <c r="C3283" s="638" t="s">
        <v>104</v>
      </c>
      <c r="D3283" s="626" t="s">
        <v>6101</v>
      </c>
      <c r="E3283" s="636">
        <v>5000</v>
      </c>
      <c r="F3283" s="637" t="s">
        <v>7317</v>
      </c>
      <c r="G3283" s="626" t="s">
        <v>7318</v>
      </c>
      <c r="H3283" s="626" t="s">
        <v>6101</v>
      </c>
      <c r="I3283" s="638" t="s">
        <v>6095</v>
      </c>
      <c r="J3283" s="625" t="s">
        <v>6096</v>
      </c>
      <c r="K3283" s="713">
        <v>0</v>
      </c>
      <c r="L3283" s="638"/>
      <c r="M3283" s="712"/>
      <c r="N3283" s="638">
        <v>1</v>
      </c>
      <c r="O3283" s="626">
        <v>4</v>
      </c>
      <c r="P3283" s="712">
        <f t="shared" si="33"/>
        <v>20000</v>
      </c>
    </row>
    <row r="3284" spans="1:16" s="619" customFormat="1" ht="36" x14ac:dyDescent="0.2">
      <c r="A3284" s="626" t="s">
        <v>6091</v>
      </c>
      <c r="B3284" s="626" t="s">
        <v>1908</v>
      </c>
      <c r="C3284" s="638" t="s">
        <v>104</v>
      </c>
      <c r="D3284" s="626" t="s">
        <v>6092</v>
      </c>
      <c r="E3284" s="636">
        <v>5000</v>
      </c>
      <c r="F3284" s="637" t="s">
        <v>7319</v>
      </c>
      <c r="G3284" s="626" t="s">
        <v>7320</v>
      </c>
      <c r="H3284" s="626" t="s">
        <v>6092</v>
      </c>
      <c r="I3284" s="638" t="s">
        <v>6095</v>
      </c>
      <c r="J3284" s="625" t="s">
        <v>6096</v>
      </c>
      <c r="K3284" s="713">
        <v>0</v>
      </c>
      <c r="L3284" s="638"/>
      <c r="M3284" s="712"/>
      <c r="N3284" s="638">
        <v>1</v>
      </c>
      <c r="O3284" s="626">
        <v>6</v>
      </c>
      <c r="P3284" s="712">
        <f t="shared" si="33"/>
        <v>30000</v>
      </c>
    </row>
    <row r="3285" spans="1:16" s="619" customFormat="1" ht="24" x14ac:dyDescent="0.2">
      <c r="A3285" s="626" t="s">
        <v>6091</v>
      </c>
      <c r="B3285" s="626" t="s">
        <v>1908</v>
      </c>
      <c r="C3285" s="638" t="s">
        <v>104</v>
      </c>
      <c r="D3285" s="626" t="s">
        <v>6179</v>
      </c>
      <c r="E3285" s="636">
        <v>8000</v>
      </c>
      <c r="F3285" s="637" t="s">
        <v>7321</v>
      </c>
      <c r="G3285" s="626" t="s">
        <v>7322</v>
      </c>
      <c r="H3285" s="626" t="s">
        <v>6179</v>
      </c>
      <c r="I3285" s="638" t="s">
        <v>6095</v>
      </c>
      <c r="J3285" s="625" t="s">
        <v>6096</v>
      </c>
      <c r="K3285" s="713">
        <v>0</v>
      </c>
      <c r="L3285" s="638"/>
      <c r="M3285" s="712"/>
      <c r="N3285" s="638">
        <v>1</v>
      </c>
      <c r="O3285" s="626">
        <v>6</v>
      </c>
      <c r="P3285" s="712">
        <f t="shared" si="33"/>
        <v>48000</v>
      </c>
    </row>
    <row r="3286" spans="1:16" s="619" customFormat="1" ht="24" x14ac:dyDescent="0.2">
      <c r="A3286" s="626" t="s">
        <v>6091</v>
      </c>
      <c r="B3286" s="626" t="s">
        <v>1908</v>
      </c>
      <c r="C3286" s="638" t="s">
        <v>104</v>
      </c>
      <c r="D3286" s="626" t="s">
        <v>6092</v>
      </c>
      <c r="E3286" s="636">
        <v>5000</v>
      </c>
      <c r="F3286" s="637" t="s">
        <v>7323</v>
      </c>
      <c r="G3286" s="626" t="s">
        <v>7324</v>
      </c>
      <c r="H3286" s="626" t="s">
        <v>6092</v>
      </c>
      <c r="I3286" s="638" t="s">
        <v>6095</v>
      </c>
      <c r="J3286" s="625" t="s">
        <v>6096</v>
      </c>
      <c r="K3286" s="713">
        <v>0</v>
      </c>
      <c r="L3286" s="638"/>
      <c r="M3286" s="712"/>
      <c r="N3286" s="638">
        <v>1</v>
      </c>
      <c r="O3286" s="626">
        <v>3</v>
      </c>
      <c r="P3286" s="712">
        <f t="shared" si="33"/>
        <v>15000</v>
      </c>
    </row>
    <row r="3287" spans="1:16" s="619" customFormat="1" ht="24" x14ac:dyDescent="0.2">
      <c r="A3287" s="626" t="s">
        <v>6091</v>
      </c>
      <c r="B3287" s="626" t="s">
        <v>1908</v>
      </c>
      <c r="C3287" s="638" t="s">
        <v>104</v>
      </c>
      <c r="D3287" s="626" t="s">
        <v>6092</v>
      </c>
      <c r="E3287" s="636">
        <v>5000</v>
      </c>
      <c r="F3287" s="637" t="s">
        <v>7325</v>
      </c>
      <c r="G3287" s="626" t="s">
        <v>1992</v>
      </c>
      <c r="H3287" s="626" t="s">
        <v>6092</v>
      </c>
      <c r="I3287" s="638" t="s">
        <v>6095</v>
      </c>
      <c r="J3287" s="625" t="s">
        <v>6096</v>
      </c>
      <c r="K3287" s="713">
        <v>0</v>
      </c>
      <c r="L3287" s="638"/>
      <c r="M3287" s="712"/>
      <c r="N3287" s="638">
        <v>1</v>
      </c>
      <c r="O3287" s="626">
        <v>6</v>
      </c>
      <c r="P3287" s="712">
        <f t="shared" si="33"/>
        <v>30000</v>
      </c>
    </row>
    <row r="3288" spans="1:16" s="619" customFormat="1" ht="24" x14ac:dyDescent="0.2">
      <c r="A3288" s="626" t="s">
        <v>6091</v>
      </c>
      <c r="B3288" s="626" t="s">
        <v>1908</v>
      </c>
      <c r="C3288" s="638" t="s">
        <v>104</v>
      </c>
      <c r="D3288" s="626" t="s">
        <v>6179</v>
      </c>
      <c r="E3288" s="636">
        <v>9000</v>
      </c>
      <c r="F3288" s="637" t="s">
        <v>7326</v>
      </c>
      <c r="G3288" s="626" t="s">
        <v>7327</v>
      </c>
      <c r="H3288" s="626" t="s">
        <v>6179</v>
      </c>
      <c r="I3288" s="638" t="s">
        <v>6095</v>
      </c>
      <c r="J3288" s="625" t="s">
        <v>6096</v>
      </c>
      <c r="K3288" s="713">
        <v>0</v>
      </c>
      <c r="L3288" s="638"/>
      <c r="M3288" s="712"/>
      <c r="N3288" s="638">
        <v>1</v>
      </c>
      <c r="O3288" s="626">
        <v>6</v>
      </c>
      <c r="P3288" s="712">
        <f t="shared" si="33"/>
        <v>54000</v>
      </c>
    </row>
    <row r="3289" spans="1:16" s="619" customFormat="1" ht="36" x14ac:dyDescent="0.2">
      <c r="A3289" s="626" t="s">
        <v>6091</v>
      </c>
      <c r="B3289" s="626" t="s">
        <v>1908</v>
      </c>
      <c r="C3289" s="638" t="s">
        <v>104</v>
      </c>
      <c r="D3289" s="626" t="s">
        <v>6179</v>
      </c>
      <c r="E3289" s="636">
        <v>8000</v>
      </c>
      <c r="F3289" s="637" t="s">
        <v>7328</v>
      </c>
      <c r="G3289" s="626" t="s">
        <v>7329</v>
      </c>
      <c r="H3289" s="626" t="s">
        <v>6179</v>
      </c>
      <c r="I3289" s="638" t="s">
        <v>6095</v>
      </c>
      <c r="J3289" s="625" t="s">
        <v>6096</v>
      </c>
      <c r="K3289" s="713">
        <v>0</v>
      </c>
      <c r="L3289" s="638"/>
      <c r="M3289" s="712"/>
      <c r="N3289" s="638">
        <v>1</v>
      </c>
      <c r="O3289" s="626">
        <v>6</v>
      </c>
      <c r="P3289" s="712">
        <f t="shared" si="33"/>
        <v>48000</v>
      </c>
    </row>
    <row r="3290" spans="1:16" s="619" customFormat="1" ht="48" x14ac:dyDescent="0.2">
      <c r="A3290" s="626" t="s">
        <v>6091</v>
      </c>
      <c r="B3290" s="626" t="s">
        <v>1908</v>
      </c>
      <c r="C3290" s="638" t="s">
        <v>104</v>
      </c>
      <c r="D3290" s="626" t="s">
        <v>6548</v>
      </c>
      <c r="E3290" s="636">
        <v>5000</v>
      </c>
      <c r="F3290" s="637" t="s">
        <v>7330</v>
      </c>
      <c r="G3290" s="626" t="s">
        <v>7331</v>
      </c>
      <c r="H3290" s="626" t="s">
        <v>6548</v>
      </c>
      <c r="I3290" s="638" t="s">
        <v>6095</v>
      </c>
      <c r="J3290" s="625" t="s">
        <v>6096</v>
      </c>
      <c r="K3290" s="713">
        <v>0</v>
      </c>
      <c r="L3290" s="638"/>
      <c r="M3290" s="712"/>
      <c r="N3290" s="638">
        <v>1</v>
      </c>
      <c r="O3290" s="626">
        <v>6</v>
      </c>
      <c r="P3290" s="712">
        <f t="shared" si="33"/>
        <v>30000</v>
      </c>
    </row>
    <row r="3291" spans="1:16" s="619" customFormat="1" ht="24" x14ac:dyDescent="0.2">
      <c r="A3291" s="626" t="s">
        <v>6091</v>
      </c>
      <c r="B3291" s="626" t="s">
        <v>1908</v>
      </c>
      <c r="C3291" s="638" t="s">
        <v>104</v>
      </c>
      <c r="D3291" s="626" t="s">
        <v>6149</v>
      </c>
      <c r="E3291" s="636">
        <v>5000</v>
      </c>
      <c r="F3291" s="637" t="s">
        <v>7332</v>
      </c>
      <c r="G3291" s="626" t="s">
        <v>7333</v>
      </c>
      <c r="H3291" s="626" t="s">
        <v>6149</v>
      </c>
      <c r="I3291" s="638" t="s">
        <v>6095</v>
      </c>
      <c r="J3291" s="625" t="s">
        <v>6096</v>
      </c>
      <c r="K3291" s="713">
        <v>0</v>
      </c>
      <c r="L3291" s="638"/>
      <c r="M3291" s="712"/>
      <c r="N3291" s="638">
        <v>1</v>
      </c>
      <c r="O3291" s="626">
        <v>6</v>
      </c>
      <c r="P3291" s="712">
        <f t="shared" si="33"/>
        <v>30000</v>
      </c>
    </row>
    <row r="3292" spans="1:16" s="619" customFormat="1" ht="24" x14ac:dyDescent="0.2">
      <c r="A3292" s="626" t="s">
        <v>6091</v>
      </c>
      <c r="B3292" s="626" t="s">
        <v>1908</v>
      </c>
      <c r="C3292" s="638" t="s">
        <v>104</v>
      </c>
      <c r="D3292" s="626" t="s">
        <v>6548</v>
      </c>
      <c r="E3292" s="636">
        <v>5000</v>
      </c>
      <c r="F3292" s="637" t="s">
        <v>7334</v>
      </c>
      <c r="G3292" s="626" t="s">
        <v>7335</v>
      </c>
      <c r="H3292" s="626" t="s">
        <v>6548</v>
      </c>
      <c r="I3292" s="638" t="s">
        <v>6095</v>
      </c>
      <c r="J3292" s="625" t="s">
        <v>6096</v>
      </c>
      <c r="K3292" s="713">
        <v>0</v>
      </c>
      <c r="L3292" s="638"/>
      <c r="M3292" s="712"/>
      <c r="N3292" s="638">
        <v>1</v>
      </c>
      <c r="O3292" s="626">
        <v>6</v>
      </c>
      <c r="P3292" s="712">
        <f t="shared" si="33"/>
        <v>30000</v>
      </c>
    </row>
    <row r="3293" spans="1:16" s="619" customFormat="1" ht="48" x14ac:dyDescent="0.2">
      <c r="A3293" s="626" t="s">
        <v>6091</v>
      </c>
      <c r="B3293" s="626" t="s">
        <v>1908</v>
      </c>
      <c r="C3293" s="638" t="s">
        <v>104</v>
      </c>
      <c r="D3293" s="626" t="s">
        <v>6548</v>
      </c>
      <c r="E3293" s="636">
        <v>5000</v>
      </c>
      <c r="F3293" s="637" t="s">
        <v>7336</v>
      </c>
      <c r="G3293" s="626" t="s">
        <v>7337</v>
      </c>
      <c r="H3293" s="626" t="s">
        <v>6548</v>
      </c>
      <c r="I3293" s="638" t="s">
        <v>6095</v>
      </c>
      <c r="J3293" s="625" t="s">
        <v>6096</v>
      </c>
      <c r="K3293" s="713">
        <v>0</v>
      </c>
      <c r="L3293" s="638"/>
      <c r="M3293" s="712"/>
      <c r="N3293" s="638">
        <v>1</v>
      </c>
      <c r="O3293" s="626">
        <v>6</v>
      </c>
      <c r="P3293" s="712">
        <f t="shared" si="33"/>
        <v>30000</v>
      </c>
    </row>
    <row r="3294" spans="1:16" s="619" customFormat="1" ht="24" x14ac:dyDescent="0.2">
      <c r="A3294" s="626" t="s">
        <v>6091</v>
      </c>
      <c r="B3294" s="626" t="s">
        <v>1908</v>
      </c>
      <c r="C3294" s="638" t="s">
        <v>104</v>
      </c>
      <c r="D3294" s="626" t="s">
        <v>6149</v>
      </c>
      <c r="E3294" s="636">
        <v>5000</v>
      </c>
      <c r="F3294" s="637" t="s">
        <v>7338</v>
      </c>
      <c r="G3294" s="626" t="s">
        <v>7339</v>
      </c>
      <c r="H3294" s="626" t="s">
        <v>6149</v>
      </c>
      <c r="I3294" s="638" t="s">
        <v>6095</v>
      </c>
      <c r="J3294" s="625" t="s">
        <v>6096</v>
      </c>
      <c r="K3294" s="713">
        <v>0</v>
      </c>
      <c r="L3294" s="638"/>
      <c r="M3294" s="712"/>
      <c r="N3294" s="638">
        <v>1</v>
      </c>
      <c r="O3294" s="626">
        <v>6</v>
      </c>
      <c r="P3294" s="712">
        <f t="shared" si="33"/>
        <v>30000</v>
      </c>
    </row>
    <row r="3295" spans="1:16" s="619" customFormat="1" ht="36" x14ac:dyDescent="0.2">
      <c r="A3295" s="626" t="s">
        <v>6091</v>
      </c>
      <c r="B3295" s="626" t="s">
        <v>1908</v>
      </c>
      <c r="C3295" s="638" t="s">
        <v>104</v>
      </c>
      <c r="D3295" s="626" t="s">
        <v>2660</v>
      </c>
      <c r="E3295" s="636">
        <v>2875</v>
      </c>
      <c r="F3295" s="637" t="s">
        <v>7340</v>
      </c>
      <c r="G3295" s="626" t="s">
        <v>7341</v>
      </c>
      <c r="H3295" s="626" t="s">
        <v>2660</v>
      </c>
      <c r="I3295" s="638" t="s">
        <v>6099</v>
      </c>
      <c r="J3295" s="625" t="s">
        <v>6100</v>
      </c>
      <c r="K3295" s="713">
        <v>0</v>
      </c>
      <c r="L3295" s="638"/>
      <c r="M3295" s="712"/>
      <c r="N3295" s="638">
        <v>1</v>
      </c>
      <c r="O3295" s="626">
        <v>6</v>
      </c>
      <c r="P3295" s="712">
        <f t="shared" si="33"/>
        <v>17250</v>
      </c>
    </row>
    <row r="3296" spans="1:16" s="619" customFormat="1" ht="36" x14ac:dyDescent="0.2">
      <c r="A3296" s="626" t="s">
        <v>6091</v>
      </c>
      <c r="B3296" s="626" t="s">
        <v>1908</v>
      </c>
      <c r="C3296" s="638" t="s">
        <v>104</v>
      </c>
      <c r="D3296" s="626" t="s">
        <v>2660</v>
      </c>
      <c r="E3296" s="636">
        <v>2875</v>
      </c>
      <c r="F3296" s="637" t="s">
        <v>7342</v>
      </c>
      <c r="G3296" s="626" t="s">
        <v>7343</v>
      </c>
      <c r="H3296" s="626" t="s">
        <v>2660</v>
      </c>
      <c r="I3296" s="638" t="s">
        <v>6099</v>
      </c>
      <c r="J3296" s="625" t="s">
        <v>6100</v>
      </c>
      <c r="K3296" s="713">
        <v>0</v>
      </c>
      <c r="L3296" s="638"/>
      <c r="M3296" s="712"/>
      <c r="N3296" s="638">
        <v>1</v>
      </c>
      <c r="O3296" s="626">
        <v>6</v>
      </c>
      <c r="P3296" s="712">
        <f t="shared" si="33"/>
        <v>17250</v>
      </c>
    </row>
    <row r="3297" spans="1:16" s="619" customFormat="1" ht="36" x14ac:dyDescent="0.2">
      <c r="A3297" s="626" t="s">
        <v>6091</v>
      </c>
      <c r="B3297" s="626" t="s">
        <v>1908</v>
      </c>
      <c r="C3297" s="638" t="s">
        <v>104</v>
      </c>
      <c r="D3297" s="626" t="s">
        <v>6299</v>
      </c>
      <c r="E3297" s="636">
        <v>2875</v>
      </c>
      <c r="F3297" s="637" t="s">
        <v>7344</v>
      </c>
      <c r="G3297" s="626" t="s">
        <v>7345</v>
      </c>
      <c r="H3297" s="626" t="s">
        <v>6299</v>
      </c>
      <c r="I3297" s="638" t="s">
        <v>6099</v>
      </c>
      <c r="J3297" s="625" t="s">
        <v>6100</v>
      </c>
      <c r="K3297" s="713">
        <v>0</v>
      </c>
      <c r="L3297" s="638"/>
      <c r="M3297" s="712"/>
      <c r="N3297" s="638">
        <v>1</v>
      </c>
      <c r="O3297" s="626">
        <v>3</v>
      </c>
      <c r="P3297" s="712">
        <f t="shared" si="33"/>
        <v>8625</v>
      </c>
    </row>
    <row r="3298" spans="1:16" s="619" customFormat="1" ht="36" x14ac:dyDescent="0.2">
      <c r="A3298" s="626" t="s">
        <v>6091</v>
      </c>
      <c r="B3298" s="626" t="s">
        <v>1908</v>
      </c>
      <c r="C3298" s="638" t="s">
        <v>104</v>
      </c>
      <c r="D3298" s="626" t="s">
        <v>2660</v>
      </c>
      <c r="E3298" s="636">
        <v>2875</v>
      </c>
      <c r="F3298" s="637" t="s">
        <v>7346</v>
      </c>
      <c r="G3298" s="626" t="s">
        <v>7347</v>
      </c>
      <c r="H3298" s="626" t="s">
        <v>2660</v>
      </c>
      <c r="I3298" s="638" t="s">
        <v>6099</v>
      </c>
      <c r="J3298" s="625" t="s">
        <v>6100</v>
      </c>
      <c r="K3298" s="713">
        <v>0</v>
      </c>
      <c r="L3298" s="638"/>
      <c r="M3298" s="712"/>
      <c r="N3298" s="638">
        <v>1</v>
      </c>
      <c r="O3298" s="626">
        <v>6</v>
      </c>
      <c r="P3298" s="712">
        <f t="shared" si="33"/>
        <v>17250</v>
      </c>
    </row>
    <row r="3299" spans="1:16" s="619" customFormat="1" ht="36" x14ac:dyDescent="0.2">
      <c r="A3299" s="626" t="s">
        <v>6091</v>
      </c>
      <c r="B3299" s="626" t="s">
        <v>1908</v>
      </c>
      <c r="C3299" s="638" t="s">
        <v>104</v>
      </c>
      <c r="D3299" s="626" t="s">
        <v>2660</v>
      </c>
      <c r="E3299" s="636">
        <v>2875</v>
      </c>
      <c r="F3299" s="637" t="s">
        <v>7348</v>
      </c>
      <c r="G3299" s="626" t="s">
        <v>7349</v>
      </c>
      <c r="H3299" s="626" t="s">
        <v>2660</v>
      </c>
      <c r="I3299" s="638" t="s">
        <v>6099</v>
      </c>
      <c r="J3299" s="625" t="s">
        <v>6100</v>
      </c>
      <c r="K3299" s="713">
        <v>0</v>
      </c>
      <c r="L3299" s="638"/>
      <c r="M3299" s="712"/>
      <c r="N3299" s="638">
        <v>1</v>
      </c>
      <c r="O3299" s="626">
        <v>6</v>
      </c>
      <c r="P3299" s="712">
        <f t="shared" si="33"/>
        <v>17250</v>
      </c>
    </row>
    <row r="3300" spans="1:16" s="619" customFormat="1" ht="36" x14ac:dyDescent="0.2">
      <c r="A3300" s="626" t="s">
        <v>6091</v>
      </c>
      <c r="B3300" s="626" t="s">
        <v>1908</v>
      </c>
      <c r="C3300" s="638" t="s">
        <v>104</v>
      </c>
      <c r="D3300" s="626" t="s">
        <v>2660</v>
      </c>
      <c r="E3300" s="636">
        <v>2875</v>
      </c>
      <c r="F3300" s="637" t="s">
        <v>7350</v>
      </c>
      <c r="G3300" s="626" t="s">
        <v>7351</v>
      </c>
      <c r="H3300" s="626" t="s">
        <v>2660</v>
      </c>
      <c r="I3300" s="638" t="s">
        <v>6099</v>
      </c>
      <c r="J3300" s="625" t="s">
        <v>6100</v>
      </c>
      <c r="K3300" s="713">
        <v>0</v>
      </c>
      <c r="L3300" s="638"/>
      <c r="M3300" s="712"/>
      <c r="N3300" s="638">
        <v>1</v>
      </c>
      <c r="O3300" s="626">
        <v>6</v>
      </c>
      <c r="P3300" s="712">
        <f t="shared" si="33"/>
        <v>17250</v>
      </c>
    </row>
    <row r="3301" spans="1:16" s="619" customFormat="1" ht="36" x14ac:dyDescent="0.2">
      <c r="A3301" s="626" t="s">
        <v>6091</v>
      </c>
      <c r="B3301" s="626" t="s">
        <v>1908</v>
      </c>
      <c r="C3301" s="638" t="s">
        <v>104</v>
      </c>
      <c r="D3301" s="626" t="s">
        <v>6240</v>
      </c>
      <c r="E3301" s="636">
        <v>2875</v>
      </c>
      <c r="F3301" s="637" t="s">
        <v>7352</v>
      </c>
      <c r="G3301" s="626" t="s">
        <v>7353</v>
      </c>
      <c r="H3301" s="626" t="s">
        <v>6240</v>
      </c>
      <c r="I3301" s="638" t="s">
        <v>6099</v>
      </c>
      <c r="J3301" s="625" t="s">
        <v>6100</v>
      </c>
      <c r="K3301" s="713">
        <v>0</v>
      </c>
      <c r="L3301" s="638"/>
      <c r="M3301" s="712"/>
      <c r="N3301" s="638">
        <v>1</v>
      </c>
      <c r="O3301" s="626">
        <v>6</v>
      </c>
      <c r="P3301" s="712">
        <f t="shared" si="33"/>
        <v>17250</v>
      </c>
    </row>
    <row r="3302" spans="1:16" s="619" customFormat="1" ht="36" x14ac:dyDescent="0.2">
      <c r="A3302" s="626" t="s">
        <v>6091</v>
      </c>
      <c r="B3302" s="626" t="s">
        <v>1908</v>
      </c>
      <c r="C3302" s="638" t="s">
        <v>104</v>
      </c>
      <c r="D3302" s="626" t="s">
        <v>2660</v>
      </c>
      <c r="E3302" s="636">
        <v>2875</v>
      </c>
      <c r="F3302" s="637" t="s">
        <v>7354</v>
      </c>
      <c r="G3302" s="626" t="s">
        <v>7355</v>
      </c>
      <c r="H3302" s="626" t="s">
        <v>2660</v>
      </c>
      <c r="I3302" s="638" t="s">
        <v>6099</v>
      </c>
      <c r="J3302" s="625" t="s">
        <v>6100</v>
      </c>
      <c r="K3302" s="713">
        <v>0</v>
      </c>
      <c r="L3302" s="638"/>
      <c r="M3302" s="712"/>
      <c r="N3302" s="638">
        <v>1</v>
      </c>
      <c r="O3302" s="626">
        <v>6</v>
      </c>
      <c r="P3302" s="712">
        <f t="shared" si="33"/>
        <v>17250</v>
      </c>
    </row>
    <row r="3303" spans="1:16" s="619" customFormat="1" ht="24" x14ac:dyDescent="0.2">
      <c r="A3303" s="626" t="s">
        <v>6091</v>
      </c>
      <c r="B3303" s="626" t="s">
        <v>1908</v>
      </c>
      <c r="C3303" s="638" t="s">
        <v>104</v>
      </c>
      <c r="D3303" s="626" t="s">
        <v>6092</v>
      </c>
      <c r="E3303" s="636">
        <v>5000</v>
      </c>
      <c r="F3303" s="637" t="s">
        <v>7356</v>
      </c>
      <c r="G3303" s="626" t="s">
        <v>7357</v>
      </c>
      <c r="H3303" s="626" t="s">
        <v>6092</v>
      </c>
      <c r="I3303" s="638" t="s">
        <v>6095</v>
      </c>
      <c r="J3303" s="625" t="s">
        <v>6096</v>
      </c>
      <c r="K3303" s="713">
        <v>0</v>
      </c>
      <c r="L3303" s="638"/>
      <c r="M3303" s="712"/>
      <c r="N3303" s="638">
        <v>1</v>
      </c>
      <c r="O3303" s="626">
        <v>6</v>
      </c>
      <c r="P3303" s="712">
        <f t="shared" si="33"/>
        <v>30000</v>
      </c>
    </row>
    <row r="3304" spans="1:16" s="619" customFormat="1" ht="36" x14ac:dyDescent="0.2">
      <c r="A3304" s="626" t="s">
        <v>6091</v>
      </c>
      <c r="B3304" s="626" t="s">
        <v>1908</v>
      </c>
      <c r="C3304" s="638" t="s">
        <v>104</v>
      </c>
      <c r="D3304" s="626" t="s">
        <v>2660</v>
      </c>
      <c r="E3304" s="636">
        <v>2875</v>
      </c>
      <c r="F3304" s="637" t="s">
        <v>7358</v>
      </c>
      <c r="G3304" s="626" t="s">
        <v>7359</v>
      </c>
      <c r="H3304" s="626" t="s">
        <v>2660</v>
      </c>
      <c r="I3304" s="638" t="s">
        <v>6099</v>
      </c>
      <c r="J3304" s="625" t="s">
        <v>6100</v>
      </c>
      <c r="K3304" s="713">
        <v>0</v>
      </c>
      <c r="L3304" s="638"/>
      <c r="M3304" s="712"/>
      <c r="N3304" s="638">
        <v>1</v>
      </c>
      <c r="O3304" s="626">
        <v>6</v>
      </c>
      <c r="P3304" s="712">
        <f t="shared" si="33"/>
        <v>17250</v>
      </c>
    </row>
    <row r="3305" spans="1:16" s="619" customFormat="1" ht="24" x14ac:dyDescent="0.2">
      <c r="A3305" s="626" t="s">
        <v>6091</v>
      </c>
      <c r="B3305" s="626" t="s">
        <v>1908</v>
      </c>
      <c r="C3305" s="638" t="s">
        <v>104</v>
      </c>
      <c r="D3305" s="626" t="s">
        <v>6198</v>
      </c>
      <c r="E3305" s="636">
        <v>5000</v>
      </c>
      <c r="F3305" s="637" t="s">
        <v>7360</v>
      </c>
      <c r="G3305" s="626" t="s">
        <v>7361</v>
      </c>
      <c r="H3305" s="626" t="s">
        <v>6198</v>
      </c>
      <c r="I3305" s="638" t="s">
        <v>6095</v>
      </c>
      <c r="J3305" s="625" t="s">
        <v>6096</v>
      </c>
      <c r="K3305" s="713">
        <v>0</v>
      </c>
      <c r="L3305" s="638"/>
      <c r="M3305" s="712"/>
      <c r="N3305" s="638">
        <v>1</v>
      </c>
      <c r="O3305" s="626">
        <v>6</v>
      </c>
      <c r="P3305" s="712">
        <f t="shared" si="33"/>
        <v>30000</v>
      </c>
    </row>
    <row r="3306" spans="1:16" s="619" customFormat="1" ht="36" x14ac:dyDescent="0.2">
      <c r="A3306" s="626" t="s">
        <v>6091</v>
      </c>
      <c r="B3306" s="626" t="s">
        <v>1908</v>
      </c>
      <c r="C3306" s="638" t="s">
        <v>104</v>
      </c>
      <c r="D3306" s="626" t="s">
        <v>2660</v>
      </c>
      <c r="E3306" s="636">
        <v>2875</v>
      </c>
      <c r="F3306" s="637" t="s">
        <v>7362</v>
      </c>
      <c r="G3306" s="626" t="s">
        <v>7363</v>
      </c>
      <c r="H3306" s="626" t="s">
        <v>2660</v>
      </c>
      <c r="I3306" s="638" t="s">
        <v>6099</v>
      </c>
      <c r="J3306" s="625" t="s">
        <v>6100</v>
      </c>
      <c r="K3306" s="713">
        <v>0</v>
      </c>
      <c r="L3306" s="638"/>
      <c r="M3306" s="712"/>
      <c r="N3306" s="638">
        <v>1</v>
      </c>
      <c r="O3306" s="626">
        <v>6</v>
      </c>
      <c r="P3306" s="712">
        <f t="shared" si="33"/>
        <v>17250</v>
      </c>
    </row>
    <row r="3307" spans="1:16" s="619" customFormat="1" ht="48" x14ac:dyDescent="0.2">
      <c r="A3307" s="626" t="s">
        <v>6091</v>
      </c>
      <c r="B3307" s="626" t="s">
        <v>1908</v>
      </c>
      <c r="C3307" s="638" t="s">
        <v>104</v>
      </c>
      <c r="D3307" s="626" t="s">
        <v>1996</v>
      </c>
      <c r="E3307" s="636">
        <v>2875</v>
      </c>
      <c r="F3307" s="637" t="s">
        <v>7364</v>
      </c>
      <c r="G3307" s="626" t="s">
        <v>7365</v>
      </c>
      <c r="H3307" s="626" t="s">
        <v>1996</v>
      </c>
      <c r="I3307" s="638" t="s">
        <v>1919</v>
      </c>
      <c r="J3307" s="625" t="s">
        <v>6128</v>
      </c>
      <c r="K3307" s="713">
        <v>0</v>
      </c>
      <c r="L3307" s="638"/>
      <c r="M3307" s="712"/>
      <c r="N3307" s="638">
        <v>1</v>
      </c>
      <c r="O3307" s="626">
        <v>2</v>
      </c>
      <c r="P3307" s="712">
        <f t="shared" si="33"/>
        <v>5750</v>
      </c>
    </row>
    <row r="3308" spans="1:16" s="619" customFormat="1" ht="36" x14ac:dyDescent="0.2">
      <c r="A3308" s="626" t="s">
        <v>6091</v>
      </c>
      <c r="B3308" s="626" t="s">
        <v>1908</v>
      </c>
      <c r="C3308" s="638" t="s">
        <v>104</v>
      </c>
      <c r="D3308" s="626" t="s">
        <v>2660</v>
      </c>
      <c r="E3308" s="636">
        <v>2875</v>
      </c>
      <c r="F3308" s="637" t="s">
        <v>7366</v>
      </c>
      <c r="G3308" s="626" t="s">
        <v>7367</v>
      </c>
      <c r="H3308" s="626" t="s">
        <v>2660</v>
      </c>
      <c r="I3308" s="638" t="s">
        <v>6099</v>
      </c>
      <c r="J3308" s="625" t="s">
        <v>6100</v>
      </c>
      <c r="K3308" s="713">
        <v>0</v>
      </c>
      <c r="L3308" s="638"/>
      <c r="M3308" s="712"/>
      <c r="N3308" s="638">
        <v>1</v>
      </c>
      <c r="O3308" s="626">
        <v>6</v>
      </c>
      <c r="P3308" s="712">
        <f t="shared" si="33"/>
        <v>17250</v>
      </c>
    </row>
    <row r="3309" spans="1:16" s="619" customFormat="1" ht="36" x14ac:dyDescent="0.2">
      <c r="A3309" s="626" t="s">
        <v>6091</v>
      </c>
      <c r="B3309" s="626" t="s">
        <v>1908</v>
      </c>
      <c r="C3309" s="638" t="s">
        <v>104</v>
      </c>
      <c r="D3309" s="626" t="s">
        <v>2660</v>
      </c>
      <c r="E3309" s="636">
        <v>2875</v>
      </c>
      <c r="F3309" s="637" t="s">
        <v>7368</v>
      </c>
      <c r="G3309" s="626" t="s">
        <v>7369</v>
      </c>
      <c r="H3309" s="626" t="s">
        <v>2660</v>
      </c>
      <c r="I3309" s="638" t="s">
        <v>6099</v>
      </c>
      <c r="J3309" s="625" t="s">
        <v>6100</v>
      </c>
      <c r="K3309" s="713">
        <v>0</v>
      </c>
      <c r="L3309" s="638"/>
      <c r="M3309" s="712"/>
      <c r="N3309" s="638">
        <v>1</v>
      </c>
      <c r="O3309" s="626">
        <v>6</v>
      </c>
      <c r="P3309" s="712">
        <f t="shared" si="33"/>
        <v>17250</v>
      </c>
    </row>
    <row r="3310" spans="1:16" s="619" customFormat="1" ht="36" x14ac:dyDescent="0.2">
      <c r="A3310" s="626" t="s">
        <v>6091</v>
      </c>
      <c r="B3310" s="626" t="s">
        <v>1908</v>
      </c>
      <c r="C3310" s="638" t="s">
        <v>104</v>
      </c>
      <c r="D3310" s="626" t="s">
        <v>6299</v>
      </c>
      <c r="E3310" s="636">
        <v>2875</v>
      </c>
      <c r="F3310" s="637" t="s">
        <v>7370</v>
      </c>
      <c r="G3310" s="626" t="s">
        <v>7371</v>
      </c>
      <c r="H3310" s="626" t="s">
        <v>6299</v>
      </c>
      <c r="I3310" s="638" t="s">
        <v>6099</v>
      </c>
      <c r="J3310" s="625" t="s">
        <v>6100</v>
      </c>
      <c r="K3310" s="713">
        <v>0</v>
      </c>
      <c r="L3310" s="638"/>
      <c r="M3310" s="712"/>
      <c r="N3310" s="638">
        <v>1</v>
      </c>
      <c r="O3310" s="626">
        <v>6</v>
      </c>
      <c r="P3310" s="712">
        <f t="shared" si="33"/>
        <v>17250</v>
      </c>
    </row>
    <row r="3311" spans="1:16" s="619" customFormat="1" ht="24" x14ac:dyDescent="0.2">
      <c r="A3311" s="626" t="s">
        <v>6091</v>
      </c>
      <c r="B3311" s="626" t="s">
        <v>1908</v>
      </c>
      <c r="C3311" s="638" t="s">
        <v>104</v>
      </c>
      <c r="D3311" s="626" t="s">
        <v>6092</v>
      </c>
      <c r="E3311" s="636">
        <v>5000</v>
      </c>
      <c r="F3311" s="637" t="s">
        <v>7372</v>
      </c>
      <c r="G3311" s="626" t="s">
        <v>7373</v>
      </c>
      <c r="H3311" s="626" t="s">
        <v>6092</v>
      </c>
      <c r="I3311" s="638" t="s">
        <v>6095</v>
      </c>
      <c r="J3311" s="625" t="s">
        <v>6096</v>
      </c>
      <c r="K3311" s="713">
        <v>0</v>
      </c>
      <c r="L3311" s="638"/>
      <c r="M3311" s="712"/>
      <c r="N3311" s="638">
        <v>1</v>
      </c>
      <c r="O3311" s="626">
        <v>6</v>
      </c>
      <c r="P3311" s="712">
        <f t="shared" si="33"/>
        <v>30000</v>
      </c>
    </row>
    <row r="3312" spans="1:16" s="619" customFormat="1" ht="36" x14ac:dyDescent="0.2">
      <c r="A3312" s="626" t="s">
        <v>6091</v>
      </c>
      <c r="B3312" s="626" t="s">
        <v>1908</v>
      </c>
      <c r="C3312" s="638" t="s">
        <v>104</v>
      </c>
      <c r="D3312" s="626" t="s">
        <v>6198</v>
      </c>
      <c r="E3312" s="636">
        <v>5000</v>
      </c>
      <c r="F3312" s="637" t="s">
        <v>7374</v>
      </c>
      <c r="G3312" s="626" t="s">
        <v>7375</v>
      </c>
      <c r="H3312" s="626" t="s">
        <v>6198</v>
      </c>
      <c r="I3312" s="638" t="s">
        <v>6095</v>
      </c>
      <c r="J3312" s="625" t="s">
        <v>6096</v>
      </c>
      <c r="K3312" s="713">
        <v>0</v>
      </c>
      <c r="L3312" s="638"/>
      <c r="M3312" s="712"/>
      <c r="N3312" s="638">
        <v>1</v>
      </c>
      <c r="O3312" s="626">
        <v>6</v>
      </c>
      <c r="P3312" s="712">
        <f t="shared" si="33"/>
        <v>30000</v>
      </c>
    </row>
    <row r="3313" spans="1:16" s="619" customFormat="1" ht="36" x14ac:dyDescent="0.2">
      <c r="A3313" s="626" t="s">
        <v>6091</v>
      </c>
      <c r="B3313" s="626" t="s">
        <v>1908</v>
      </c>
      <c r="C3313" s="638" t="s">
        <v>104</v>
      </c>
      <c r="D3313" s="626" t="s">
        <v>6092</v>
      </c>
      <c r="E3313" s="636">
        <v>5000</v>
      </c>
      <c r="F3313" s="637" t="s">
        <v>7376</v>
      </c>
      <c r="G3313" s="626" t="s">
        <v>7377</v>
      </c>
      <c r="H3313" s="626" t="s">
        <v>6092</v>
      </c>
      <c r="I3313" s="638" t="s">
        <v>6095</v>
      </c>
      <c r="J3313" s="625" t="s">
        <v>6096</v>
      </c>
      <c r="K3313" s="713">
        <v>0</v>
      </c>
      <c r="L3313" s="638"/>
      <c r="M3313" s="712"/>
      <c r="N3313" s="638">
        <v>1</v>
      </c>
      <c r="O3313" s="626">
        <v>6</v>
      </c>
      <c r="P3313" s="712">
        <f t="shared" si="33"/>
        <v>30000</v>
      </c>
    </row>
    <row r="3314" spans="1:16" s="619" customFormat="1" ht="36" x14ac:dyDescent="0.2">
      <c r="A3314" s="626" t="s">
        <v>6091</v>
      </c>
      <c r="B3314" s="626" t="s">
        <v>1908</v>
      </c>
      <c r="C3314" s="638" t="s">
        <v>104</v>
      </c>
      <c r="D3314" s="626" t="s">
        <v>6179</v>
      </c>
      <c r="E3314" s="636">
        <v>8000</v>
      </c>
      <c r="F3314" s="637" t="s">
        <v>7378</v>
      </c>
      <c r="G3314" s="626" t="s">
        <v>7379</v>
      </c>
      <c r="H3314" s="626" t="s">
        <v>6179</v>
      </c>
      <c r="I3314" s="638" t="s">
        <v>6095</v>
      </c>
      <c r="J3314" s="625" t="s">
        <v>6096</v>
      </c>
      <c r="K3314" s="713">
        <v>0</v>
      </c>
      <c r="L3314" s="638"/>
      <c r="M3314" s="712"/>
      <c r="N3314" s="638">
        <v>1</v>
      </c>
      <c r="O3314" s="626">
        <v>6</v>
      </c>
      <c r="P3314" s="712">
        <f t="shared" si="33"/>
        <v>48000</v>
      </c>
    </row>
    <row r="3315" spans="1:16" s="619" customFormat="1" ht="48" x14ac:dyDescent="0.2">
      <c r="A3315" s="626" t="s">
        <v>6091</v>
      </c>
      <c r="B3315" s="626" t="s">
        <v>1908</v>
      </c>
      <c r="C3315" s="638" t="s">
        <v>104</v>
      </c>
      <c r="D3315" s="626" t="s">
        <v>1996</v>
      </c>
      <c r="E3315" s="636">
        <v>2875</v>
      </c>
      <c r="F3315" s="637" t="s">
        <v>7380</v>
      </c>
      <c r="G3315" s="626" t="s">
        <v>7381</v>
      </c>
      <c r="H3315" s="626" t="s">
        <v>1996</v>
      </c>
      <c r="I3315" s="638" t="s">
        <v>1919</v>
      </c>
      <c r="J3315" s="625" t="s">
        <v>6128</v>
      </c>
      <c r="K3315" s="713">
        <v>0</v>
      </c>
      <c r="L3315" s="638"/>
      <c r="M3315" s="712"/>
      <c r="N3315" s="638">
        <v>1</v>
      </c>
      <c r="O3315" s="626">
        <v>5</v>
      </c>
      <c r="P3315" s="712">
        <f t="shared" si="33"/>
        <v>14375</v>
      </c>
    </row>
    <row r="3316" spans="1:16" s="619" customFormat="1" ht="24" x14ac:dyDescent="0.2">
      <c r="A3316" s="626" t="s">
        <v>6091</v>
      </c>
      <c r="B3316" s="626" t="s">
        <v>1908</v>
      </c>
      <c r="C3316" s="638" t="s">
        <v>104</v>
      </c>
      <c r="D3316" s="626" t="s">
        <v>6198</v>
      </c>
      <c r="E3316" s="636">
        <v>5000</v>
      </c>
      <c r="F3316" s="637" t="s">
        <v>7382</v>
      </c>
      <c r="G3316" s="626" t="s">
        <v>7383</v>
      </c>
      <c r="H3316" s="626" t="s">
        <v>6198</v>
      </c>
      <c r="I3316" s="638" t="s">
        <v>6095</v>
      </c>
      <c r="J3316" s="625" t="s">
        <v>6096</v>
      </c>
      <c r="K3316" s="713">
        <v>0</v>
      </c>
      <c r="L3316" s="638"/>
      <c r="M3316" s="712"/>
      <c r="N3316" s="638">
        <v>1</v>
      </c>
      <c r="O3316" s="626">
        <v>6</v>
      </c>
      <c r="P3316" s="712">
        <f t="shared" si="33"/>
        <v>30000</v>
      </c>
    </row>
    <row r="3317" spans="1:16" s="619" customFormat="1" ht="36" x14ac:dyDescent="0.2">
      <c r="A3317" s="626" t="s">
        <v>6091</v>
      </c>
      <c r="B3317" s="626" t="s">
        <v>1908</v>
      </c>
      <c r="C3317" s="638" t="s">
        <v>104</v>
      </c>
      <c r="D3317" s="626" t="s">
        <v>6299</v>
      </c>
      <c r="E3317" s="636">
        <v>2875</v>
      </c>
      <c r="F3317" s="637" t="s">
        <v>7384</v>
      </c>
      <c r="G3317" s="626" t="s">
        <v>7385</v>
      </c>
      <c r="H3317" s="626" t="s">
        <v>6299</v>
      </c>
      <c r="I3317" s="638" t="s">
        <v>6099</v>
      </c>
      <c r="J3317" s="625" t="s">
        <v>6100</v>
      </c>
      <c r="K3317" s="713">
        <v>0</v>
      </c>
      <c r="L3317" s="638"/>
      <c r="M3317" s="712"/>
      <c r="N3317" s="638">
        <v>1</v>
      </c>
      <c r="O3317" s="626">
        <v>6</v>
      </c>
      <c r="P3317" s="712">
        <f t="shared" si="33"/>
        <v>17250</v>
      </c>
    </row>
    <row r="3318" spans="1:16" s="619" customFormat="1" ht="36" x14ac:dyDescent="0.2">
      <c r="A3318" s="626" t="s">
        <v>6091</v>
      </c>
      <c r="B3318" s="626" t="s">
        <v>1908</v>
      </c>
      <c r="C3318" s="638" t="s">
        <v>104</v>
      </c>
      <c r="D3318" s="626" t="s">
        <v>2660</v>
      </c>
      <c r="E3318" s="636">
        <v>2875</v>
      </c>
      <c r="F3318" s="637" t="s">
        <v>7386</v>
      </c>
      <c r="G3318" s="626" t="s">
        <v>7387</v>
      </c>
      <c r="H3318" s="626" t="s">
        <v>2660</v>
      </c>
      <c r="I3318" s="638" t="s">
        <v>6099</v>
      </c>
      <c r="J3318" s="625" t="s">
        <v>6100</v>
      </c>
      <c r="K3318" s="713">
        <v>0</v>
      </c>
      <c r="L3318" s="638"/>
      <c r="M3318" s="712"/>
      <c r="N3318" s="638">
        <v>1</v>
      </c>
      <c r="O3318" s="626">
        <v>6</v>
      </c>
      <c r="P3318" s="712">
        <f t="shared" si="33"/>
        <v>17250</v>
      </c>
    </row>
    <row r="3319" spans="1:16" s="619" customFormat="1" ht="36" x14ac:dyDescent="0.2">
      <c r="A3319" s="626" t="s">
        <v>6091</v>
      </c>
      <c r="B3319" s="626" t="s">
        <v>1908</v>
      </c>
      <c r="C3319" s="638" t="s">
        <v>104</v>
      </c>
      <c r="D3319" s="626" t="s">
        <v>2660</v>
      </c>
      <c r="E3319" s="636">
        <v>2875</v>
      </c>
      <c r="F3319" s="637" t="s">
        <v>7388</v>
      </c>
      <c r="G3319" s="626" t="s">
        <v>7389</v>
      </c>
      <c r="H3319" s="626" t="s">
        <v>2660</v>
      </c>
      <c r="I3319" s="638" t="s">
        <v>6099</v>
      </c>
      <c r="J3319" s="625" t="s">
        <v>6100</v>
      </c>
      <c r="K3319" s="713">
        <v>0</v>
      </c>
      <c r="L3319" s="638"/>
      <c r="M3319" s="712"/>
      <c r="N3319" s="638">
        <v>1</v>
      </c>
      <c r="O3319" s="626">
        <v>6</v>
      </c>
      <c r="P3319" s="712">
        <f t="shared" si="33"/>
        <v>17250</v>
      </c>
    </row>
    <row r="3320" spans="1:16" s="619" customFormat="1" ht="36" x14ac:dyDescent="0.2">
      <c r="A3320" s="626" t="s">
        <v>6091</v>
      </c>
      <c r="B3320" s="626" t="s">
        <v>1908</v>
      </c>
      <c r="C3320" s="638" t="s">
        <v>104</v>
      </c>
      <c r="D3320" s="626" t="s">
        <v>6198</v>
      </c>
      <c r="E3320" s="636">
        <v>5000</v>
      </c>
      <c r="F3320" s="637" t="s">
        <v>7390</v>
      </c>
      <c r="G3320" s="626" t="s">
        <v>7391</v>
      </c>
      <c r="H3320" s="626" t="s">
        <v>6198</v>
      </c>
      <c r="I3320" s="638" t="s">
        <v>6095</v>
      </c>
      <c r="J3320" s="625" t="s">
        <v>6096</v>
      </c>
      <c r="K3320" s="713">
        <v>0</v>
      </c>
      <c r="L3320" s="638"/>
      <c r="M3320" s="712"/>
      <c r="N3320" s="638">
        <v>1</v>
      </c>
      <c r="O3320" s="626">
        <v>6</v>
      </c>
      <c r="P3320" s="712">
        <f t="shared" si="33"/>
        <v>30000</v>
      </c>
    </row>
    <row r="3321" spans="1:16" s="619" customFormat="1" ht="36" x14ac:dyDescent="0.2">
      <c r="A3321" s="626" t="s">
        <v>6091</v>
      </c>
      <c r="B3321" s="626" t="s">
        <v>1908</v>
      </c>
      <c r="C3321" s="638" t="s">
        <v>104</v>
      </c>
      <c r="D3321" s="626" t="s">
        <v>6299</v>
      </c>
      <c r="E3321" s="636">
        <v>2875</v>
      </c>
      <c r="F3321" s="637" t="s">
        <v>7392</v>
      </c>
      <c r="G3321" s="626" t="s">
        <v>7393</v>
      </c>
      <c r="H3321" s="626" t="s">
        <v>6299</v>
      </c>
      <c r="I3321" s="638" t="s">
        <v>6099</v>
      </c>
      <c r="J3321" s="625" t="s">
        <v>6100</v>
      </c>
      <c r="K3321" s="713">
        <v>0</v>
      </c>
      <c r="L3321" s="638"/>
      <c r="M3321" s="712"/>
      <c r="N3321" s="638">
        <v>1</v>
      </c>
      <c r="O3321" s="626">
        <v>5</v>
      </c>
      <c r="P3321" s="712">
        <f t="shared" si="33"/>
        <v>14375</v>
      </c>
    </row>
    <row r="3322" spans="1:16" s="619" customFormat="1" ht="48" x14ac:dyDescent="0.2">
      <c r="A3322" s="626" t="s">
        <v>6091</v>
      </c>
      <c r="B3322" s="626" t="s">
        <v>1908</v>
      </c>
      <c r="C3322" s="638" t="s">
        <v>104</v>
      </c>
      <c r="D3322" s="626" t="s">
        <v>6179</v>
      </c>
      <c r="E3322" s="636">
        <v>8000</v>
      </c>
      <c r="F3322" s="637" t="s">
        <v>7394</v>
      </c>
      <c r="G3322" s="626" t="s">
        <v>7395</v>
      </c>
      <c r="H3322" s="626" t="s">
        <v>6179</v>
      </c>
      <c r="I3322" s="638" t="s">
        <v>6095</v>
      </c>
      <c r="J3322" s="625" t="s">
        <v>6096</v>
      </c>
      <c r="K3322" s="713">
        <v>0</v>
      </c>
      <c r="L3322" s="638"/>
      <c r="M3322" s="712"/>
      <c r="N3322" s="638">
        <v>1</v>
      </c>
      <c r="O3322" s="626">
        <v>6</v>
      </c>
      <c r="P3322" s="712">
        <f t="shared" ref="P3322:P3385" si="34">O3322*E3322</f>
        <v>48000</v>
      </c>
    </row>
    <row r="3323" spans="1:16" s="619" customFormat="1" ht="36" x14ac:dyDescent="0.2">
      <c r="A3323" s="626" t="s">
        <v>6091</v>
      </c>
      <c r="B3323" s="626" t="s">
        <v>1908</v>
      </c>
      <c r="C3323" s="638" t="s">
        <v>104</v>
      </c>
      <c r="D3323" s="626" t="s">
        <v>2660</v>
      </c>
      <c r="E3323" s="636">
        <v>2875</v>
      </c>
      <c r="F3323" s="637" t="s">
        <v>7396</v>
      </c>
      <c r="G3323" s="626" t="s">
        <v>7397</v>
      </c>
      <c r="H3323" s="626" t="s">
        <v>2660</v>
      </c>
      <c r="I3323" s="638" t="s">
        <v>6099</v>
      </c>
      <c r="J3323" s="625" t="s">
        <v>6100</v>
      </c>
      <c r="K3323" s="713">
        <v>0</v>
      </c>
      <c r="L3323" s="638"/>
      <c r="M3323" s="712"/>
      <c r="N3323" s="638">
        <v>1</v>
      </c>
      <c r="O3323" s="626">
        <v>6</v>
      </c>
      <c r="P3323" s="712">
        <f t="shared" si="34"/>
        <v>17250</v>
      </c>
    </row>
    <row r="3324" spans="1:16" s="619" customFormat="1" ht="24" x14ac:dyDescent="0.2">
      <c r="A3324" s="626" t="s">
        <v>6091</v>
      </c>
      <c r="B3324" s="626" t="s">
        <v>1908</v>
      </c>
      <c r="C3324" s="638" t="s">
        <v>104</v>
      </c>
      <c r="D3324" s="626" t="s">
        <v>6101</v>
      </c>
      <c r="E3324" s="636">
        <v>5000</v>
      </c>
      <c r="F3324" s="637" t="s">
        <v>7398</v>
      </c>
      <c r="G3324" s="626" t="s">
        <v>7399</v>
      </c>
      <c r="H3324" s="626" t="s">
        <v>6101</v>
      </c>
      <c r="I3324" s="638" t="s">
        <v>6095</v>
      </c>
      <c r="J3324" s="625" t="s">
        <v>6096</v>
      </c>
      <c r="K3324" s="713">
        <v>0</v>
      </c>
      <c r="L3324" s="638"/>
      <c r="M3324" s="712"/>
      <c r="N3324" s="638">
        <v>1</v>
      </c>
      <c r="O3324" s="626">
        <v>6</v>
      </c>
      <c r="P3324" s="712">
        <f t="shared" si="34"/>
        <v>30000</v>
      </c>
    </row>
    <row r="3325" spans="1:16" s="619" customFormat="1" ht="36" x14ac:dyDescent="0.2">
      <c r="A3325" s="626" t="s">
        <v>6091</v>
      </c>
      <c r="B3325" s="626" t="s">
        <v>1908</v>
      </c>
      <c r="C3325" s="638" t="s">
        <v>104</v>
      </c>
      <c r="D3325" s="626" t="s">
        <v>2660</v>
      </c>
      <c r="E3325" s="636">
        <v>2875</v>
      </c>
      <c r="F3325" s="637" t="s">
        <v>7400</v>
      </c>
      <c r="G3325" s="626" t="s">
        <v>7401</v>
      </c>
      <c r="H3325" s="626" t="s">
        <v>2660</v>
      </c>
      <c r="I3325" s="638" t="s">
        <v>6099</v>
      </c>
      <c r="J3325" s="625" t="s">
        <v>6100</v>
      </c>
      <c r="K3325" s="713">
        <v>0</v>
      </c>
      <c r="L3325" s="638"/>
      <c r="M3325" s="712"/>
      <c r="N3325" s="638">
        <v>1</v>
      </c>
      <c r="O3325" s="626">
        <v>6</v>
      </c>
      <c r="P3325" s="712">
        <f t="shared" si="34"/>
        <v>17250</v>
      </c>
    </row>
    <row r="3326" spans="1:16" s="619" customFormat="1" ht="36" x14ac:dyDescent="0.2">
      <c r="A3326" s="626" t="s">
        <v>6091</v>
      </c>
      <c r="B3326" s="626" t="s">
        <v>1908</v>
      </c>
      <c r="C3326" s="638" t="s">
        <v>104</v>
      </c>
      <c r="D3326" s="626" t="s">
        <v>2660</v>
      </c>
      <c r="E3326" s="636">
        <v>2875</v>
      </c>
      <c r="F3326" s="637" t="s">
        <v>7402</v>
      </c>
      <c r="G3326" s="626" t="s">
        <v>7403</v>
      </c>
      <c r="H3326" s="626" t="s">
        <v>2660</v>
      </c>
      <c r="I3326" s="638" t="s">
        <v>6099</v>
      </c>
      <c r="J3326" s="625" t="s">
        <v>6100</v>
      </c>
      <c r="K3326" s="713">
        <v>0</v>
      </c>
      <c r="L3326" s="638"/>
      <c r="M3326" s="712"/>
      <c r="N3326" s="638">
        <v>1</v>
      </c>
      <c r="O3326" s="626">
        <v>6</v>
      </c>
      <c r="P3326" s="712">
        <f t="shared" si="34"/>
        <v>17250</v>
      </c>
    </row>
    <row r="3327" spans="1:16" s="619" customFormat="1" ht="36" x14ac:dyDescent="0.2">
      <c r="A3327" s="626" t="s">
        <v>6091</v>
      </c>
      <c r="B3327" s="626" t="s">
        <v>1908</v>
      </c>
      <c r="C3327" s="638" t="s">
        <v>104</v>
      </c>
      <c r="D3327" s="626" t="s">
        <v>6179</v>
      </c>
      <c r="E3327" s="636">
        <v>8000</v>
      </c>
      <c r="F3327" s="637" t="s">
        <v>7404</v>
      </c>
      <c r="G3327" s="626" t="s">
        <v>7405</v>
      </c>
      <c r="H3327" s="626" t="s">
        <v>6179</v>
      </c>
      <c r="I3327" s="638" t="s">
        <v>6095</v>
      </c>
      <c r="J3327" s="625" t="s">
        <v>6096</v>
      </c>
      <c r="K3327" s="713">
        <v>0</v>
      </c>
      <c r="L3327" s="638"/>
      <c r="M3327" s="712"/>
      <c r="N3327" s="638">
        <v>1</v>
      </c>
      <c r="O3327" s="626">
        <v>6</v>
      </c>
      <c r="P3327" s="712">
        <f t="shared" si="34"/>
        <v>48000</v>
      </c>
    </row>
    <row r="3328" spans="1:16" s="619" customFormat="1" ht="24" x14ac:dyDescent="0.2">
      <c r="A3328" s="626" t="s">
        <v>6091</v>
      </c>
      <c r="B3328" s="626" t="s">
        <v>1908</v>
      </c>
      <c r="C3328" s="638" t="s">
        <v>104</v>
      </c>
      <c r="D3328" s="626" t="s">
        <v>6092</v>
      </c>
      <c r="E3328" s="636">
        <v>5000</v>
      </c>
      <c r="F3328" s="637" t="s">
        <v>7406</v>
      </c>
      <c r="G3328" s="626" t="s">
        <v>7407</v>
      </c>
      <c r="H3328" s="626" t="s">
        <v>6092</v>
      </c>
      <c r="I3328" s="638" t="s">
        <v>6095</v>
      </c>
      <c r="J3328" s="625" t="s">
        <v>6096</v>
      </c>
      <c r="K3328" s="713">
        <v>0</v>
      </c>
      <c r="L3328" s="638"/>
      <c r="M3328" s="712"/>
      <c r="N3328" s="638">
        <v>1</v>
      </c>
      <c r="O3328" s="626">
        <v>6</v>
      </c>
      <c r="P3328" s="712">
        <f t="shared" si="34"/>
        <v>30000</v>
      </c>
    </row>
    <row r="3329" spans="1:16" s="619" customFormat="1" ht="36" x14ac:dyDescent="0.2">
      <c r="A3329" s="626" t="s">
        <v>6091</v>
      </c>
      <c r="B3329" s="626" t="s">
        <v>1908</v>
      </c>
      <c r="C3329" s="638" t="s">
        <v>104</v>
      </c>
      <c r="D3329" s="626" t="s">
        <v>6179</v>
      </c>
      <c r="E3329" s="636">
        <v>8000</v>
      </c>
      <c r="F3329" s="637" t="s">
        <v>7408</v>
      </c>
      <c r="G3329" s="626" t="s">
        <v>7409</v>
      </c>
      <c r="H3329" s="626" t="s">
        <v>6179</v>
      </c>
      <c r="I3329" s="638" t="s">
        <v>6095</v>
      </c>
      <c r="J3329" s="625" t="s">
        <v>6096</v>
      </c>
      <c r="K3329" s="713">
        <v>0</v>
      </c>
      <c r="L3329" s="638"/>
      <c r="M3329" s="712"/>
      <c r="N3329" s="638">
        <v>1</v>
      </c>
      <c r="O3329" s="626">
        <v>3</v>
      </c>
      <c r="P3329" s="712">
        <f t="shared" si="34"/>
        <v>24000</v>
      </c>
    </row>
    <row r="3330" spans="1:16" s="619" customFormat="1" ht="36" x14ac:dyDescent="0.2">
      <c r="A3330" s="626" t="s">
        <v>6091</v>
      </c>
      <c r="B3330" s="626" t="s">
        <v>1908</v>
      </c>
      <c r="C3330" s="638" t="s">
        <v>104</v>
      </c>
      <c r="D3330" s="626" t="s">
        <v>6092</v>
      </c>
      <c r="E3330" s="636">
        <v>5000</v>
      </c>
      <c r="F3330" s="637" t="s">
        <v>7410</v>
      </c>
      <c r="G3330" s="626" t="s">
        <v>2763</v>
      </c>
      <c r="H3330" s="626" t="s">
        <v>6092</v>
      </c>
      <c r="I3330" s="638" t="s">
        <v>6095</v>
      </c>
      <c r="J3330" s="625" t="s">
        <v>6096</v>
      </c>
      <c r="K3330" s="713">
        <v>0</v>
      </c>
      <c r="L3330" s="638"/>
      <c r="M3330" s="712"/>
      <c r="N3330" s="638">
        <v>1</v>
      </c>
      <c r="O3330" s="626">
        <v>4</v>
      </c>
      <c r="P3330" s="712">
        <f t="shared" si="34"/>
        <v>20000</v>
      </c>
    </row>
    <row r="3331" spans="1:16" s="619" customFormat="1" ht="36" x14ac:dyDescent="0.2">
      <c r="A3331" s="626" t="s">
        <v>6091</v>
      </c>
      <c r="B3331" s="626" t="s">
        <v>1908</v>
      </c>
      <c r="C3331" s="638" t="s">
        <v>104</v>
      </c>
      <c r="D3331" s="626" t="s">
        <v>2660</v>
      </c>
      <c r="E3331" s="636">
        <v>2875</v>
      </c>
      <c r="F3331" s="637" t="s">
        <v>7411</v>
      </c>
      <c r="G3331" s="626" t="s">
        <v>7412</v>
      </c>
      <c r="H3331" s="626" t="s">
        <v>2660</v>
      </c>
      <c r="I3331" s="638" t="s">
        <v>6099</v>
      </c>
      <c r="J3331" s="625" t="s">
        <v>6100</v>
      </c>
      <c r="K3331" s="713">
        <v>0</v>
      </c>
      <c r="L3331" s="638"/>
      <c r="M3331" s="712"/>
      <c r="N3331" s="638">
        <v>1</v>
      </c>
      <c r="O3331" s="626">
        <v>6</v>
      </c>
      <c r="P3331" s="712">
        <f t="shared" si="34"/>
        <v>17250</v>
      </c>
    </row>
    <row r="3332" spans="1:16" s="619" customFormat="1" ht="24" x14ac:dyDescent="0.2">
      <c r="A3332" s="626" t="s">
        <v>6091</v>
      </c>
      <c r="B3332" s="626" t="s">
        <v>1908</v>
      </c>
      <c r="C3332" s="638" t="s">
        <v>104</v>
      </c>
      <c r="D3332" s="626" t="s">
        <v>7413</v>
      </c>
      <c r="E3332" s="636">
        <v>1800</v>
      </c>
      <c r="F3332" s="637" t="s">
        <v>7414</v>
      </c>
      <c r="G3332" s="626" t="s">
        <v>7415</v>
      </c>
      <c r="H3332" s="626" t="s">
        <v>7413</v>
      </c>
      <c r="I3332" s="638" t="s">
        <v>1919</v>
      </c>
      <c r="J3332" s="625" t="s">
        <v>6128</v>
      </c>
      <c r="K3332" s="713">
        <v>0</v>
      </c>
      <c r="L3332" s="638"/>
      <c r="M3332" s="712"/>
      <c r="N3332" s="638">
        <v>1</v>
      </c>
      <c r="O3332" s="626">
        <v>6</v>
      </c>
      <c r="P3332" s="712">
        <f t="shared" si="34"/>
        <v>10800</v>
      </c>
    </row>
    <row r="3333" spans="1:16" s="619" customFormat="1" ht="36" x14ac:dyDescent="0.2">
      <c r="A3333" s="626" t="s">
        <v>6091</v>
      </c>
      <c r="B3333" s="626" t="s">
        <v>1908</v>
      </c>
      <c r="C3333" s="638" t="s">
        <v>104</v>
      </c>
      <c r="D3333" s="626" t="s">
        <v>2660</v>
      </c>
      <c r="E3333" s="636">
        <v>1544</v>
      </c>
      <c r="F3333" s="637" t="s">
        <v>7416</v>
      </c>
      <c r="G3333" s="626" t="s">
        <v>7417</v>
      </c>
      <c r="H3333" s="626" t="s">
        <v>2660</v>
      </c>
      <c r="I3333" s="638" t="s">
        <v>6099</v>
      </c>
      <c r="J3333" s="625" t="s">
        <v>6100</v>
      </c>
      <c r="K3333" s="713">
        <v>0</v>
      </c>
      <c r="L3333" s="638"/>
      <c r="M3333" s="712"/>
      <c r="N3333" s="638">
        <v>1</v>
      </c>
      <c r="O3333" s="626">
        <v>1</v>
      </c>
      <c r="P3333" s="712">
        <f t="shared" si="34"/>
        <v>1544</v>
      </c>
    </row>
    <row r="3334" spans="1:16" s="619" customFormat="1" ht="36" x14ac:dyDescent="0.2">
      <c r="A3334" s="626" t="s">
        <v>6091</v>
      </c>
      <c r="B3334" s="626" t="s">
        <v>1908</v>
      </c>
      <c r="C3334" s="638" t="s">
        <v>104</v>
      </c>
      <c r="D3334" s="626" t="s">
        <v>2660</v>
      </c>
      <c r="E3334" s="636">
        <v>2875</v>
      </c>
      <c r="F3334" s="637" t="s">
        <v>7418</v>
      </c>
      <c r="G3334" s="626" t="s">
        <v>7419</v>
      </c>
      <c r="H3334" s="626" t="s">
        <v>2660</v>
      </c>
      <c r="I3334" s="638" t="s">
        <v>6099</v>
      </c>
      <c r="J3334" s="625" t="s">
        <v>6100</v>
      </c>
      <c r="K3334" s="713">
        <v>0</v>
      </c>
      <c r="L3334" s="638"/>
      <c r="M3334" s="712"/>
      <c r="N3334" s="638">
        <v>1</v>
      </c>
      <c r="O3334" s="626">
        <v>6</v>
      </c>
      <c r="P3334" s="712">
        <f t="shared" si="34"/>
        <v>17250</v>
      </c>
    </row>
    <row r="3335" spans="1:16" s="619" customFormat="1" ht="36" x14ac:dyDescent="0.2">
      <c r="A3335" s="626" t="s">
        <v>6091</v>
      </c>
      <c r="B3335" s="626" t="s">
        <v>1908</v>
      </c>
      <c r="C3335" s="638" t="s">
        <v>104</v>
      </c>
      <c r="D3335" s="626" t="s">
        <v>6179</v>
      </c>
      <c r="E3335" s="636">
        <v>8000</v>
      </c>
      <c r="F3335" s="637" t="s">
        <v>7420</v>
      </c>
      <c r="G3335" s="626" t="s">
        <v>7421</v>
      </c>
      <c r="H3335" s="626" t="s">
        <v>6179</v>
      </c>
      <c r="I3335" s="638" t="s">
        <v>6095</v>
      </c>
      <c r="J3335" s="625" t="s">
        <v>6096</v>
      </c>
      <c r="K3335" s="713">
        <v>0</v>
      </c>
      <c r="L3335" s="638"/>
      <c r="M3335" s="712"/>
      <c r="N3335" s="638">
        <v>1</v>
      </c>
      <c r="O3335" s="626">
        <v>4</v>
      </c>
      <c r="P3335" s="712">
        <f t="shared" si="34"/>
        <v>32000</v>
      </c>
    </row>
    <row r="3336" spans="1:16" s="619" customFormat="1" ht="36" x14ac:dyDescent="0.2">
      <c r="A3336" s="626" t="s">
        <v>6091</v>
      </c>
      <c r="B3336" s="626" t="s">
        <v>1908</v>
      </c>
      <c r="C3336" s="638" t="s">
        <v>104</v>
      </c>
      <c r="D3336" s="626" t="s">
        <v>6092</v>
      </c>
      <c r="E3336" s="636">
        <v>5000</v>
      </c>
      <c r="F3336" s="637" t="s">
        <v>7422</v>
      </c>
      <c r="G3336" s="626" t="s">
        <v>7423</v>
      </c>
      <c r="H3336" s="626" t="s">
        <v>6092</v>
      </c>
      <c r="I3336" s="638" t="s">
        <v>6095</v>
      </c>
      <c r="J3336" s="625" t="s">
        <v>6096</v>
      </c>
      <c r="K3336" s="713">
        <v>0</v>
      </c>
      <c r="L3336" s="638"/>
      <c r="M3336" s="712"/>
      <c r="N3336" s="638">
        <v>1</v>
      </c>
      <c r="O3336" s="626">
        <v>6</v>
      </c>
      <c r="P3336" s="712">
        <f t="shared" si="34"/>
        <v>30000</v>
      </c>
    </row>
    <row r="3337" spans="1:16" s="619" customFormat="1" ht="24" x14ac:dyDescent="0.2">
      <c r="A3337" s="626" t="s">
        <v>6091</v>
      </c>
      <c r="B3337" s="626" t="s">
        <v>1908</v>
      </c>
      <c r="C3337" s="638" t="s">
        <v>104</v>
      </c>
      <c r="D3337" s="626" t="s">
        <v>6092</v>
      </c>
      <c r="E3337" s="636">
        <v>5000</v>
      </c>
      <c r="F3337" s="637" t="s">
        <v>7424</v>
      </c>
      <c r="G3337" s="626" t="s">
        <v>7425</v>
      </c>
      <c r="H3337" s="626" t="s">
        <v>6092</v>
      </c>
      <c r="I3337" s="638" t="s">
        <v>6095</v>
      </c>
      <c r="J3337" s="625" t="s">
        <v>6096</v>
      </c>
      <c r="K3337" s="713">
        <v>0</v>
      </c>
      <c r="L3337" s="638"/>
      <c r="M3337" s="712"/>
      <c r="N3337" s="638">
        <v>1</v>
      </c>
      <c r="O3337" s="626">
        <v>5</v>
      </c>
      <c r="P3337" s="712">
        <f t="shared" si="34"/>
        <v>25000</v>
      </c>
    </row>
    <row r="3338" spans="1:16" s="619" customFormat="1" ht="24" x14ac:dyDescent="0.2">
      <c r="A3338" s="626" t="s">
        <v>6091</v>
      </c>
      <c r="B3338" s="626" t="s">
        <v>1908</v>
      </c>
      <c r="C3338" s="638" t="s">
        <v>104</v>
      </c>
      <c r="D3338" s="626" t="s">
        <v>6101</v>
      </c>
      <c r="E3338" s="636">
        <v>5000</v>
      </c>
      <c r="F3338" s="637" t="s">
        <v>7426</v>
      </c>
      <c r="G3338" s="626" t="s">
        <v>7427</v>
      </c>
      <c r="H3338" s="626" t="s">
        <v>6101</v>
      </c>
      <c r="I3338" s="638" t="s">
        <v>6095</v>
      </c>
      <c r="J3338" s="625" t="s">
        <v>6096</v>
      </c>
      <c r="K3338" s="713">
        <v>0</v>
      </c>
      <c r="L3338" s="638"/>
      <c r="M3338" s="712"/>
      <c r="N3338" s="638">
        <v>1</v>
      </c>
      <c r="O3338" s="626">
        <v>5</v>
      </c>
      <c r="P3338" s="712">
        <f t="shared" si="34"/>
        <v>25000</v>
      </c>
    </row>
    <row r="3339" spans="1:16" s="619" customFormat="1" ht="48" x14ac:dyDescent="0.2">
      <c r="A3339" s="626" t="s">
        <v>6091</v>
      </c>
      <c r="B3339" s="626" t="s">
        <v>1908</v>
      </c>
      <c r="C3339" s="638" t="s">
        <v>104</v>
      </c>
      <c r="D3339" s="626" t="s">
        <v>6092</v>
      </c>
      <c r="E3339" s="636">
        <v>5000</v>
      </c>
      <c r="F3339" s="637" t="s">
        <v>7428</v>
      </c>
      <c r="G3339" s="626" t="s">
        <v>7429</v>
      </c>
      <c r="H3339" s="626" t="s">
        <v>6092</v>
      </c>
      <c r="I3339" s="638" t="s">
        <v>6095</v>
      </c>
      <c r="J3339" s="625" t="s">
        <v>6096</v>
      </c>
      <c r="K3339" s="713">
        <v>0</v>
      </c>
      <c r="L3339" s="638"/>
      <c r="M3339" s="712"/>
      <c r="N3339" s="638">
        <v>1</v>
      </c>
      <c r="O3339" s="626">
        <v>2</v>
      </c>
      <c r="P3339" s="712">
        <f t="shared" si="34"/>
        <v>10000</v>
      </c>
    </row>
    <row r="3340" spans="1:16" s="619" customFormat="1" ht="36" x14ac:dyDescent="0.2">
      <c r="A3340" s="626" t="s">
        <v>6091</v>
      </c>
      <c r="B3340" s="626" t="s">
        <v>1908</v>
      </c>
      <c r="C3340" s="638" t="s">
        <v>104</v>
      </c>
      <c r="D3340" s="626" t="s">
        <v>6240</v>
      </c>
      <c r="E3340" s="636">
        <v>2875</v>
      </c>
      <c r="F3340" s="637" t="s">
        <v>7430</v>
      </c>
      <c r="G3340" s="626" t="s">
        <v>7431</v>
      </c>
      <c r="H3340" s="626" t="s">
        <v>6240</v>
      </c>
      <c r="I3340" s="638" t="s">
        <v>6099</v>
      </c>
      <c r="J3340" s="625" t="s">
        <v>6100</v>
      </c>
      <c r="K3340" s="713">
        <v>0</v>
      </c>
      <c r="L3340" s="638"/>
      <c r="M3340" s="712"/>
      <c r="N3340" s="638">
        <v>1</v>
      </c>
      <c r="O3340" s="626">
        <v>5</v>
      </c>
      <c r="P3340" s="712">
        <f t="shared" si="34"/>
        <v>14375</v>
      </c>
    </row>
    <row r="3341" spans="1:16" s="619" customFormat="1" ht="36" x14ac:dyDescent="0.2">
      <c r="A3341" s="626" t="s">
        <v>6091</v>
      </c>
      <c r="B3341" s="626" t="s">
        <v>1908</v>
      </c>
      <c r="C3341" s="638" t="s">
        <v>104</v>
      </c>
      <c r="D3341" s="626" t="s">
        <v>2660</v>
      </c>
      <c r="E3341" s="636">
        <v>2875</v>
      </c>
      <c r="F3341" s="637" t="s">
        <v>7432</v>
      </c>
      <c r="G3341" s="626" t="s">
        <v>7433</v>
      </c>
      <c r="H3341" s="626" t="s">
        <v>2660</v>
      </c>
      <c r="I3341" s="638" t="s">
        <v>6099</v>
      </c>
      <c r="J3341" s="625" t="s">
        <v>6100</v>
      </c>
      <c r="K3341" s="713">
        <v>0</v>
      </c>
      <c r="L3341" s="638"/>
      <c r="M3341" s="712"/>
      <c r="N3341" s="638">
        <v>1</v>
      </c>
      <c r="O3341" s="626">
        <v>5</v>
      </c>
      <c r="P3341" s="712">
        <f t="shared" si="34"/>
        <v>14375</v>
      </c>
    </row>
    <row r="3342" spans="1:16" s="619" customFormat="1" ht="24" x14ac:dyDescent="0.2">
      <c r="A3342" s="626" t="s">
        <v>6091</v>
      </c>
      <c r="B3342" s="626" t="s">
        <v>1908</v>
      </c>
      <c r="C3342" s="638" t="s">
        <v>104</v>
      </c>
      <c r="D3342" s="626" t="s">
        <v>6101</v>
      </c>
      <c r="E3342" s="636">
        <v>5000</v>
      </c>
      <c r="F3342" s="637" t="s">
        <v>7434</v>
      </c>
      <c r="G3342" s="626" t="s">
        <v>7435</v>
      </c>
      <c r="H3342" s="626" t="s">
        <v>6101</v>
      </c>
      <c r="I3342" s="638" t="s">
        <v>6095</v>
      </c>
      <c r="J3342" s="625" t="s">
        <v>6096</v>
      </c>
      <c r="K3342" s="713">
        <v>0</v>
      </c>
      <c r="L3342" s="638"/>
      <c r="M3342" s="712"/>
      <c r="N3342" s="638">
        <v>1</v>
      </c>
      <c r="O3342" s="626">
        <v>3</v>
      </c>
      <c r="P3342" s="712">
        <f t="shared" si="34"/>
        <v>15000</v>
      </c>
    </row>
    <row r="3343" spans="1:16" s="619" customFormat="1" ht="24" x14ac:dyDescent="0.2">
      <c r="A3343" s="626" t="s">
        <v>6091</v>
      </c>
      <c r="B3343" s="626" t="s">
        <v>1908</v>
      </c>
      <c r="C3343" s="638" t="s">
        <v>104</v>
      </c>
      <c r="D3343" s="626" t="s">
        <v>6101</v>
      </c>
      <c r="E3343" s="636">
        <v>6000</v>
      </c>
      <c r="F3343" s="637" t="s">
        <v>7436</v>
      </c>
      <c r="G3343" s="626" t="s">
        <v>7437</v>
      </c>
      <c r="H3343" s="626" t="s">
        <v>6101</v>
      </c>
      <c r="I3343" s="638" t="s">
        <v>6095</v>
      </c>
      <c r="J3343" s="625" t="s">
        <v>6096</v>
      </c>
      <c r="K3343" s="713">
        <v>0</v>
      </c>
      <c r="L3343" s="638"/>
      <c r="M3343" s="712"/>
      <c r="N3343" s="638">
        <v>1</v>
      </c>
      <c r="O3343" s="626">
        <v>4</v>
      </c>
      <c r="P3343" s="712">
        <f t="shared" si="34"/>
        <v>24000</v>
      </c>
    </row>
    <row r="3344" spans="1:16" s="619" customFormat="1" ht="36" x14ac:dyDescent="0.2">
      <c r="A3344" s="626" t="s">
        <v>6091</v>
      </c>
      <c r="B3344" s="626" t="s">
        <v>1908</v>
      </c>
      <c r="C3344" s="638" t="s">
        <v>104</v>
      </c>
      <c r="D3344" s="626" t="s">
        <v>2660</v>
      </c>
      <c r="E3344" s="636">
        <v>2875</v>
      </c>
      <c r="F3344" s="637" t="s">
        <v>7438</v>
      </c>
      <c r="G3344" s="626" t="s">
        <v>7439</v>
      </c>
      <c r="H3344" s="626" t="s">
        <v>2660</v>
      </c>
      <c r="I3344" s="638" t="s">
        <v>6099</v>
      </c>
      <c r="J3344" s="625" t="s">
        <v>6100</v>
      </c>
      <c r="K3344" s="713">
        <v>0</v>
      </c>
      <c r="L3344" s="638"/>
      <c r="M3344" s="712"/>
      <c r="N3344" s="638">
        <v>1</v>
      </c>
      <c r="O3344" s="626">
        <v>5</v>
      </c>
      <c r="P3344" s="712">
        <f t="shared" si="34"/>
        <v>14375</v>
      </c>
    </row>
    <row r="3345" spans="1:16" s="619" customFormat="1" ht="36" x14ac:dyDescent="0.2">
      <c r="A3345" s="626" t="s">
        <v>6091</v>
      </c>
      <c r="B3345" s="626" t="s">
        <v>1908</v>
      </c>
      <c r="C3345" s="638" t="s">
        <v>104</v>
      </c>
      <c r="D3345" s="626" t="s">
        <v>6299</v>
      </c>
      <c r="E3345" s="636">
        <v>2875</v>
      </c>
      <c r="F3345" s="637" t="s">
        <v>7440</v>
      </c>
      <c r="G3345" s="626" t="s">
        <v>7441</v>
      </c>
      <c r="H3345" s="626" t="s">
        <v>6299</v>
      </c>
      <c r="I3345" s="638" t="s">
        <v>6099</v>
      </c>
      <c r="J3345" s="625" t="s">
        <v>6100</v>
      </c>
      <c r="K3345" s="713">
        <v>0</v>
      </c>
      <c r="L3345" s="638"/>
      <c r="M3345" s="712"/>
      <c r="N3345" s="638">
        <v>1</v>
      </c>
      <c r="O3345" s="626">
        <v>5</v>
      </c>
      <c r="P3345" s="712">
        <f t="shared" si="34"/>
        <v>14375</v>
      </c>
    </row>
    <row r="3346" spans="1:16" s="619" customFormat="1" ht="24" x14ac:dyDescent="0.2">
      <c r="A3346" s="626" t="s">
        <v>6091</v>
      </c>
      <c r="B3346" s="626" t="s">
        <v>1908</v>
      </c>
      <c r="C3346" s="638" t="s">
        <v>104</v>
      </c>
      <c r="D3346" s="626" t="s">
        <v>6876</v>
      </c>
      <c r="E3346" s="636">
        <v>2875</v>
      </c>
      <c r="F3346" s="637" t="s">
        <v>7442</v>
      </c>
      <c r="G3346" s="626" t="s">
        <v>7443</v>
      </c>
      <c r="H3346" s="626" t="s">
        <v>6876</v>
      </c>
      <c r="I3346" s="638" t="s">
        <v>1919</v>
      </c>
      <c r="J3346" s="625" t="s">
        <v>6128</v>
      </c>
      <c r="K3346" s="713">
        <v>0</v>
      </c>
      <c r="L3346" s="638"/>
      <c r="M3346" s="712"/>
      <c r="N3346" s="638">
        <v>1</v>
      </c>
      <c r="O3346" s="626">
        <v>5</v>
      </c>
      <c r="P3346" s="712">
        <f t="shared" si="34"/>
        <v>14375</v>
      </c>
    </row>
    <row r="3347" spans="1:16" s="619" customFormat="1" ht="36" x14ac:dyDescent="0.2">
      <c r="A3347" s="626" t="s">
        <v>6091</v>
      </c>
      <c r="B3347" s="626" t="s">
        <v>1908</v>
      </c>
      <c r="C3347" s="638" t="s">
        <v>104</v>
      </c>
      <c r="D3347" s="626" t="s">
        <v>2660</v>
      </c>
      <c r="E3347" s="636">
        <v>2875</v>
      </c>
      <c r="F3347" s="637" t="s">
        <v>7444</v>
      </c>
      <c r="G3347" s="626" t="s">
        <v>7445</v>
      </c>
      <c r="H3347" s="626" t="s">
        <v>2660</v>
      </c>
      <c r="I3347" s="638" t="s">
        <v>6099</v>
      </c>
      <c r="J3347" s="625" t="s">
        <v>6100</v>
      </c>
      <c r="K3347" s="713">
        <v>0</v>
      </c>
      <c r="L3347" s="638"/>
      <c r="M3347" s="712"/>
      <c r="N3347" s="638">
        <v>1</v>
      </c>
      <c r="O3347" s="626">
        <v>3</v>
      </c>
      <c r="P3347" s="712">
        <f t="shared" si="34"/>
        <v>8625</v>
      </c>
    </row>
    <row r="3348" spans="1:16" s="619" customFormat="1" ht="36" x14ac:dyDescent="0.2">
      <c r="A3348" s="626" t="s">
        <v>6091</v>
      </c>
      <c r="B3348" s="626" t="s">
        <v>1908</v>
      </c>
      <c r="C3348" s="638" t="s">
        <v>104</v>
      </c>
      <c r="D3348" s="626" t="s">
        <v>2660</v>
      </c>
      <c r="E3348" s="636">
        <v>2875</v>
      </c>
      <c r="F3348" s="637" t="s">
        <v>7446</v>
      </c>
      <c r="G3348" s="626" t="s">
        <v>7447</v>
      </c>
      <c r="H3348" s="626" t="s">
        <v>2660</v>
      </c>
      <c r="I3348" s="638" t="s">
        <v>6099</v>
      </c>
      <c r="J3348" s="625" t="s">
        <v>6100</v>
      </c>
      <c r="K3348" s="713">
        <v>0</v>
      </c>
      <c r="L3348" s="638"/>
      <c r="M3348" s="712"/>
      <c r="N3348" s="638">
        <v>1</v>
      </c>
      <c r="O3348" s="626">
        <v>5</v>
      </c>
      <c r="P3348" s="712">
        <f t="shared" si="34"/>
        <v>14375</v>
      </c>
    </row>
    <row r="3349" spans="1:16" s="619" customFormat="1" ht="24" x14ac:dyDescent="0.2">
      <c r="A3349" s="626" t="s">
        <v>6091</v>
      </c>
      <c r="B3349" s="626" t="s">
        <v>1908</v>
      </c>
      <c r="C3349" s="638" t="s">
        <v>104</v>
      </c>
      <c r="D3349" s="626" t="s">
        <v>6179</v>
      </c>
      <c r="E3349" s="636">
        <v>8000</v>
      </c>
      <c r="F3349" s="637" t="s">
        <v>7448</v>
      </c>
      <c r="G3349" s="626" t="s">
        <v>7449</v>
      </c>
      <c r="H3349" s="626" t="s">
        <v>6179</v>
      </c>
      <c r="I3349" s="638" t="s">
        <v>6095</v>
      </c>
      <c r="J3349" s="625" t="s">
        <v>6096</v>
      </c>
      <c r="K3349" s="713">
        <v>0</v>
      </c>
      <c r="L3349" s="638"/>
      <c r="M3349" s="712"/>
      <c r="N3349" s="638">
        <v>1</v>
      </c>
      <c r="O3349" s="626">
        <v>5</v>
      </c>
      <c r="P3349" s="712">
        <f t="shared" si="34"/>
        <v>40000</v>
      </c>
    </row>
    <row r="3350" spans="1:16" s="619" customFormat="1" ht="36" x14ac:dyDescent="0.2">
      <c r="A3350" s="626" t="s">
        <v>6091</v>
      </c>
      <c r="B3350" s="626" t="s">
        <v>1908</v>
      </c>
      <c r="C3350" s="638" t="s">
        <v>104</v>
      </c>
      <c r="D3350" s="626" t="s">
        <v>6179</v>
      </c>
      <c r="E3350" s="636">
        <v>8000</v>
      </c>
      <c r="F3350" s="637" t="s">
        <v>7450</v>
      </c>
      <c r="G3350" s="626" t="s">
        <v>7451</v>
      </c>
      <c r="H3350" s="626" t="s">
        <v>6179</v>
      </c>
      <c r="I3350" s="638" t="s">
        <v>6095</v>
      </c>
      <c r="J3350" s="625" t="s">
        <v>6096</v>
      </c>
      <c r="K3350" s="713">
        <v>0</v>
      </c>
      <c r="L3350" s="638"/>
      <c r="M3350" s="712"/>
      <c r="N3350" s="638">
        <v>1</v>
      </c>
      <c r="O3350" s="626">
        <v>3</v>
      </c>
      <c r="P3350" s="712">
        <f t="shared" si="34"/>
        <v>24000</v>
      </c>
    </row>
    <row r="3351" spans="1:16" s="619" customFormat="1" ht="36" x14ac:dyDescent="0.2">
      <c r="A3351" s="626" t="s">
        <v>6091</v>
      </c>
      <c r="B3351" s="626" t="s">
        <v>1908</v>
      </c>
      <c r="C3351" s="638" t="s">
        <v>104</v>
      </c>
      <c r="D3351" s="626" t="s">
        <v>2660</v>
      </c>
      <c r="E3351" s="636">
        <v>2875</v>
      </c>
      <c r="F3351" s="637" t="s">
        <v>7452</v>
      </c>
      <c r="G3351" s="626" t="s">
        <v>7453</v>
      </c>
      <c r="H3351" s="626" t="s">
        <v>2660</v>
      </c>
      <c r="I3351" s="638" t="s">
        <v>6099</v>
      </c>
      <c r="J3351" s="625" t="s">
        <v>6100</v>
      </c>
      <c r="K3351" s="713">
        <v>0</v>
      </c>
      <c r="L3351" s="638"/>
      <c r="M3351" s="712"/>
      <c r="N3351" s="638">
        <v>1</v>
      </c>
      <c r="O3351" s="626">
        <v>2</v>
      </c>
      <c r="P3351" s="712">
        <f t="shared" si="34"/>
        <v>5750</v>
      </c>
    </row>
    <row r="3352" spans="1:16" s="619" customFormat="1" ht="36" x14ac:dyDescent="0.2">
      <c r="A3352" s="626" t="s">
        <v>6091</v>
      </c>
      <c r="B3352" s="626" t="s">
        <v>1908</v>
      </c>
      <c r="C3352" s="638" t="s">
        <v>104</v>
      </c>
      <c r="D3352" s="626" t="s">
        <v>2660</v>
      </c>
      <c r="E3352" s="636">
        <v>3300</v>
      </c>
      <c r="F3352" s="637" t="s">
        <v>7454</v>
      </c>
      <c r="G3352" s="626" t="s">
        <v>7455</v>
      </c>
      <c r="H3352" s="626" t="s">
        <v>2660</v>
      </c>
      <c r="I3352" s="638" t="s">
        <v>6099</v>
      </c>
      <c r="J3352" s="625" t="s">
        <v>6100</v>
      </c>
      <c r="K3352" s="713">
        <v>0</v>
      </c>
      <c r="L3352" s="638"/>
      <c r="M3352" s="712"/>
      <c r="N3352" s="638">
        <v>1</v>
      </c>
      <c r="O3352" s="626">
        <v>4</v>
      </c>
      <c r="P3352" s="712">
        <f t="shared" si="34"/>
        <v>13200</v>
      </c>
    </row>
    <row r="3353" spans="1:16" s="619" customFormat="1" ht="48" x14ac:dyDescent="0.2">
      <c r="A3353" s="626" t="s">
        <v>6091</v>
      </c>
      <c r="B3353" s="626" t="s">
        <v>1908</v>
      </c>
      <c r="C3353" s="638" t="s">
        <v>104</v>
      </c>
      <c r="D3353" s="626" t="s">
        <v>6179</v>
      </c>
      <c r="E3353" s="636">
        <v>8000</v>
      </c>
      <c r="F3353" s="637" t="s">
        <v>7456</v>
      </c>
      <c r="G3353" s="626" t="s">
        <v>7457</v>
      </c>
      <c r="H3353" s="626" t="s">
        <v>6179</v>
      </c>
      <c r="I3353" s="638" t="s">
        <v>6095</v>
      </c>
      <c r="J3353" s="625" t="s">
        <v>6096</v>
      </c>
      <c r="K3353" s="713">
        <v>0</v>
      </c>
      <c r="L3353" s="638"/>
      <c r="M3353" s="712"/>
      <c r="N3353" s="638">
        <v>1</v>
      </c>
      <c r="O3353" s="626">
        <v>1</v>
      </c>
      <c r="P3353" s="712">
        <f t="shared" si="34"/>
        <v>8000</v>
      </c>
    </row>
    <row r="3354" spans="1:16" s="619" customFormat="1" ht="24" x14ac:dyDescent="0.2">
      <c r="A3354" s="626" t="s">
        <v>6091</v>
      </c>
      <c r="B3354" s="626" t="s">
        <v>1908</v>
      </c>
      <c r="C3354" s="638" t="s">
        <v>104</v>
      </c>
      <c r="D3354" s="626" t="s">
        <v>3548</v>
      </c>
      <c r="E3354" s="636">
        <v>1100</v>
      </c>
      <c r="F3354" s="637" t="s">
        <v>7458</v>
      </c>
      <c r="G3354" s="626" t="s">
        <v>7459</v>
      </c>
      <c r="H3354" s="626" t="s">
        <v>3548</v>
      </c>
      <c r="I3354" s="638" t="s">
        <v>1919</v>
      </c>
      <c r="J3354" s="625" t="s">
        <v>6128</v>
      </c>
      <c r="K3354" s="713">
        <v>0</v>
      </c>
      <c r="L3354" s="638"/>
      <c r="M3354" s="712"/>
      <c r="N3354" s="638">
        <v>1</v>
      </c>
      <c r="O3354" s="626">
        <v>1</v>
      </c>
      <c r="P3354" s="712">
        <f t="shared" si="34"/>
        <v>1100</v>
      </c>
    </row>
    <row r="3355" spans="1:16" s="619" customFormat="1" ht="24" x14ac:dyDescent="0.2">
      <c r="A3355" s="626" t="s">
        <v>6091</v>
      </c>
      <c r="B3355" s="626" t="s">
        <v>1908</v>
      </c>
      <c r="C3355" s="638" t="s">
        <v>104</v>
      </c>
      <c r="D3355" s="626" t="s">
        <v>6092</v>
      </c>
      <c r="E3355" s="636">
        <v>5000</v>
      </c>
      <c r="F3355" s="637" t="s">
        <v>7460</v>
      </c>
      <c r="G3355" s="626" t="s">
        <v>7461</v>
      </c>
      <c r="H3355" s="626" t="s">
        <v>6092</v>
      </c>
      <c r="I3355" s="638" t="s">
        <v>6095</v>
      </c>
      <c r="J3355" s="625" t="s">
        <v>6096</v>
      </c>
      <c r="K3355" s="713">
        <v>0</v>
      </c>
      <c r="L3355" s="638"/>
      <c r="M3355" s="712"/>
      <c r="N3355" s="638">
        <v>1</v>
      </c>
      <c r="O3355" s="626">
        <v>4</v>
      </c>
      <c r="P3355" s="712">
        <f t="shared" si="34"/>
        <v>20000</v>
      </c>
    </row>
    <row r="3356" spans="1:16" s="619" customFormat="1" ht="24" x14ac:dyDescent="0.2">
      <c r="A3356" s="626" t="s">
        <v>6091</v>
      </c>
      <c r="B3356" s="626" t="s">
        <v>1908</v>
      </c>
      <c r="C3356" s="638" t="s">
        <v>104</v>
      </c>
      <c r="D3356" s="626" t="s">
        <v>6158</v>
      </c>
      <c r="E3356" s="636">
        <v>1800</v>
      </c>
      <c r="F3356" s="637" t="s">
        <v>7462</v>
      </c>
      <c r="G3356" s="626" t="s">
        <v>7463</v>
      </c>
      <c r="H3356" s="626" t="s">
        <v>6158</v>
      </c>
      <c r="I3356" s="638" t="s">
        <v>1919</v>
      </c>
      <c r="J3356" s="625" t="s">
        <v>6128</v>
      </c>
      <c r="K3356" s="713">
        <v>0</v>
      </c>
      <c r="L3356" s="638"/>
      <c r="M3356" s="712"/>
      <c r="N3356" s="638">
        <v>1</v>
      </c>
      <c r="O3356" s="626">
        <v>4</v>
      </c>
      <c r="P3356" s="712">
        <f t="shared" si="34"/>
        <v>7200</v>
      </c>
    </row>
    <row r="3357" spans="1:16" s="619" customFormat="1" ht="36" x14ac:dyDescent="0.2">
      <c r="A3357" s="626" t="s">
        <v>6091</v>
      </c>
      <c r="B3357" s="626" t="s">
        <v>1908</v>
      </c>
      <c r="C3357" s="638" t="s">
        <v>104</v>
      </c>
      <c r="D3357" s="626" t="s">
        <v>6198</v>
      </c>
      <c r="E3357" s="636">
        <v>5000</v>
      </c>
      <c r="F3357" s="637" t="s">
        <v>7464</v>
      </c>
      <c r="G3357" s="626" t="s">
        <v>7465</v>
      </c>
      <c r="H3357" s="626" t="s">
        <v>6198</v>
      </c>
      <c r="I3357" s="638" t="s">
        <v>6095</v>
      </c>
      <c r="J3357" s="625" t="s">
        <v>6096</v>
      </c>
      <c r="K3357" s="713">
        <v>0</v>
      </c>
      <c r="L3357" s="638"/>
      <c r="M3357" s="712"/>
      <c r="N3357" s="638">
        <v>1</v>
      </c>
      <c r="O3357" s="626">
        <v>4</v>
      </c>
      <c r="P3357" s="712">
        <f t="shared" si="34"/>
        <v>20000</v>
      </c>
    </row>
    <row r="3358" spans="1:16" s="619" customFormat="1" ht="48" x14ac:dyDescent="0.2">
      <c r="A3358" s="626" t="s">
        <v>6091</v>
      </c>
      <c r="B3358" s="626" t="s">
        <v>1908</v>
      </c>
      <c r="C3358" s="638" t="s">
        <v>104</v>
      </c>
      <c r="D3358" s="626" t="s">
        <v>6092</v>
      </c>
      <c r="E3358" s="636">
        <v>5000</v>
      </c>
      <c r="F3358" s="637" t="s">
        <v>7466</v>
      </c>
      <c r="G3358" s="626" t="s">
        <v>7467</v>
      </c>
      <c r="H3358" s="626" t="s">
        <v>6092</v>
      </c>
      <c r="I3358" s="638" t="s">
        <v>6095</v>
      </c>
      <c r="J3358" s="625" t="s">
        <v>6096</v>
      </c>
      <c r="K3358" s="713">
        <v>0</v>
      </c>
      <c r="L3358" s="638"/>
      <c r="M3358" s="712"/>
      <c r="N3358" s="638">
        <v>1</v>
      </c>
      <c r="O3358" s="626">
        <v>2</v>
      </c>
      <c r="P3358" s="712">
        <f t="shared" si="34"/>
        <v>10000</v>
      </c>
    </row>
    <row r="3359" spans="1:16" s="619" customFormat="1" ht="36" x14ac:dyDescent="0.2">
      <c r="A3359" s="626" t="s">
        <v>6091</v>
      </c>
      <c r="B3359" s="626" t="s">
        <v>1908</v>
      </c>
      <c r="C3359" s="638" t="s">
        <v>104</v>
      </c>
      <c r="D3359" s="626" t="s">
        <v>6092</v>
      </c>
      <c r="E3359" s="636">
        <v>5000</v>
      </c>
      <c r="F3359" s="637" t="s">
        <v>7468</v>
      </c>
      <c r="G3359" s="626" t="s">
        <v>7469</v>
      </c>
      <c r="H3359" s="626" t="s">
        <v>6092</v>
      </c>
      <c r="I3359" s="638" t="s">
        <v>6095</v>
      </c>
      <c r="J3359" s="625" t="s">
        <v>6096</v>
      </c>
      <c r="K3359" s="713">
        <v>0</v>
      </c>
      <c r="L3359" s="638"/>
      <c r="M3359" s="712"/>
      <c r="N3359" s="638">
        <v>1</v>
      </c>
      <c r="O3359" s="626">
        <v>3</v>
      </c>
      <c r="P3359" s="712">
        <f t="shared" si="34"/>
        <v>15000</v>
      </c>
    </row>
    <row r="3360" spans="1:16" s="619" customFormat="1" ht="48" x14ac:dyDescent="0.2">
      <c r="A3360" s="626" t="s">
        <v>6091</v>
      </c>
      <c r="B3360" s="626" t="s">
        <v>1908</v>
      </c>
      <c r="C3360" s="638" t="s">
        <v>104</v>
      </c>
      <c r="D3360" s="626" t="s">
        <v>6179</v>
      </c>
      <c r="E3360" s="636">
        <v>8000</v>
      </c>
      <c r="F3360" s="637" t="s">
        <v>7470</v>
      </c>
      <c r="G3360" s="626" t="s">
        <v>7471</v>
      </c>
      <c r="H3360" s="626" t="s">
        <v>6179</v>
      </c>
      <c r="I3360" s="638" t="s">
        <v>6095</v>
      </c>
      <c r="J3360" s="625" t="s">
        <v>6096</v>
      </c>
      <c r="K3360" s="713">
        <v>0</v>
      </c>
      <c r="L3360" s="638"/>
      <c r="M3360" s="712"/>
      <c r="N3360" s="638">
        <v>1</v>
      </c>
      <c r="O3360" s="626">
        <v>2</v>
      </c>
      <c r="P3360" s="712">
        <f t="shared" si="34"/>
        <v>16000</v>
      </c>
    </row>
    <row r="3361" spans="1:16" s="619" customFormat="1" ht="36" x14ac:dyDescent="0.2">
      <c r="A3361" s="626" t="s">
        <v>6091</v>
      </c>
      <c r="B3361" s="626" t="s">
        <v>1908</v>
      </c>
      <c r="C3361" s="638" t="s">
        <v>104</v>
      </c>
      <c r="D3361" s="626" t="s">
        <v>2660</v>
      </c>
      <c r="E3361" s="636">
        <v>2300</v>
      </c>
      <c r="F3361" s="637" t="s">
        <v>7472</v>
      </c>
      <c r="G3361" s="626" t="s">
        <v>7473</v>
      </c>
      <c r="H3361" s="626" t="s">
        <v>2660</v>
      </c>
      <c r="I3361" s="638" t="s">
        <v>6099</v>
      </c>
      <c r="J3361" s="625" t="s">
        <v>6100</v>
      </c>
      <c r="K3361" s="713">
        <v>0</v>
      </c>
      <c r="L3361" s="638"/>
      <c r="M3361" s="712"/>
      <c r="N3361" s="638">
        <v>1</v>
      </c>
      <c r="O3361" s="626">
        <v>2</v>
      </c>
      <c r="P3361" s="712">
        <f t="shared" si="34"/>
        <v>4600</v>
      </c>
    </row>
    <row r="3362" spans="1:16" s="619" customFormat="1" ht="36" x14ac:dyDescent="0.2">
      <c r="A3362" s="626" t="s">
        <v>6091</v>
      </c>
      <c r="B3362" s="626" t="s">
        <v>1908</v>
      </c>
      <c r="C3362" s="638" t="s">
        <v>104</v>
      </c>
      <c r="D3362" s="626" t="s">
        <v>6149</v>
      </c>
      <c r="E3362" s="636">
        <v>4000</v>
      </c>
      <c r="F3362" s="637" t="s">
        <v>7474</v>
      </c>
      <c r="G3362" s="626" t="s">
        <v>7475</v>
      </c>
      <c r="H3362" s="626" t="s">
        <v>6149</v>
      </c>
      <c r="I3362" s="638" t="s">
        <v>6095</v>
      </c>
      <c r="J3362" s="625" t="s">
        <v>6096</v>
      </c>
      <c r="K3362" s="713">
        <v>0</v>
      </c>
      <c r="L3362" s="638"/>
      <c r="M3362" s="712"/>
      <c r="N3362" s="638">
        <v>1</v>
      </c>
      <c r="O3362" s="626">
        <v>2</v>
      </c>
      <c r="P3362" s="712">
        <f t="shared" si="34"/>
        <v>8000</v>
      </c>
    </row>
    <row r="3363" spans="1:16" s="619" customFormat="1" ht="48" x14ac:dyDescent="0.2">
      <c r="A3363" s="626" t="s">
        <v>6091</v>
      </c>
      <c r="B3363" s="626" t="s">
        <v>1908</v>
      </c>
      <c r="C3363" s="638" t="s">
        <v>104</v>
      </c>
      <c r="D3363" s="626" t="s">
        <v>6179</v>
      </c>
      <c r="E3363" s="636">
        <v>8000</v>
      </c>
      <c r="F3363" s="637" t="s">
        <v>7476</v>
      </c>
      <c r="G3363" s="626" t="s">
        <v>7477</v>
      </c>
      <c r="H3363" s="626" t="s">
        <v>6179</v>
      </c>
      <c r="I3363" s="638" t="s">
        <v>6095</v>
      </c>
      <c r="J3363" s="625" t="s">
        <v>6096</v>
      </c>
      <c r="K3363" s="713">
        <v>0</v>
      </c>
      <c r="L3363" s="638"/>
      <c r="M3363" s="712"/>
      <c r="N3363" s="638">
        <v>1</v>
      </c>
      <c r="O3363" s="626">
        <v>2</v>
      </c>
      <c r="P3363" s="712">
        <f t="shared" si="34"/>
        <v>16000</v>
      </c>
    </row>
    <row r="3364" spans="1:16" s="619" customFormat="1" ht="24" x14ac:dyDescent="0.2">
      <c r="A3364" s="626" t="s">
        <v>6091</v>
      </c>
      <c r="B3364" s="626" t="s">
        <v>1908</v>
      </c>
      <c r="C3364" s="638" t="s">
        <v>104</v>
      </c>
      <c r="D3364" s="626" t="s">
        <v>6101</v>
      </c>
      <c r="E3364" s="636">
        <v>4000</v>
      </c>
      <c r="F3364" s="637" t="s">
        <v>7478</v>
      </c>
      <c r="G3364" s="626" t="s">
        <v>7479</v>
      </c>
      <c r="H3364" s="626" t="s">
        <v>6101</v>
      </c>
      <c r="I3364" s="638" t="s">
        <v>6095</v>
      </c>
      <c r="J3364" s="625" t="s">
        <v>6096</v>
      </c>
      <c r="K3364" s="713">
        <v>0</v>
      </c>
      <c r="L3364" s="638"/>
      <c r="M3364" s="712"/>
      <c r="N3364" s="638">
        <v>1</v>
      </c>
      <c r="O3364" s="626">
        <v>2</v>
      </c>
      <c r="P3364" s="712">
        <f t="shared" si="34"/>
        <v>8000</v>
      </c>
    </row>
    <row r="3365" spans="1:16" s="619" customFormat="1" ht="48" x14ac:dyDescent="0.2">
      <c r="A3365" s="626" t="s">
        <v>6091</v>
      </c>
      <c r="B3365" s="626" t="s">
        <v>1908</v>
      </c>
      <c r="C3365" s="638" t="s">
        <v>104</v>
      </c>
      <c r="D3365" s="626" t="s">
        <v>6092</v>
      </c>
      <c r="E3365" s="636">
        <v>5000</v>
      </c>
      <c r="F3365" s="637" t="s">
        <v>7480</v>
      </c>
      <c r="G3365" s="626" t="s">
        <v>7481</v>
      </c>
      <c r="H3365" s="626" t="s">
        <v>6092</v>
      </c>
      <c r="I3365" s="638" t="s">
        <v>6095</v>
      </c>
      <c r="J3365" s="625" t="s">
        <v>6096</v>
      </c>
      <c r="K3365" s="713">
        <v>0</v>
      </c>
      <c r="L3365" s="638"/>
      <c r="M3365" s="712"/>
      <c r="N3365" s="638">
        <v>1</v>
      </c>
      <c r="O3365" s="626">
        <v>2</v>
      </c>
      <c r="P3365" s="712">
        <f t="shared" si="34"/>
        <v>10000</v>
      </c>
    </row>
    <row r="3366" spans="1:16" s="619" customFormat="1" ht="36" x14ac:dyDescent="0.2">
      <c r="A3366" s="626" t="s">
        <v>6091</v>
      </c>
      <c r="B3366" s="626" t="s">
        <v>1908</v>
      </c>
      <c r="C3366" s="638" t="s">
        <v>104</v>
      </c>
      <c r="D3366" s="626" t="s">
        <v>6092</v>
      </c>
      <c r="E3366" s="636">
        <v>5000</v>
      </c>
      <c r="F3366" s="637" t="s">
        <v>7482</v>
      </c>
      <c r="G3366" s="626" t="s">
        <v>7483</v>
      </c>
      <c r="H3366" s="626" t="s">
        <v>6092</v>
      </c>
      <c r="I3366" s="638" t="s">
        <v>6095</v>
      </c>
      <c r="J3366" s="625" t="s">
        <v>6096</v>
      </c>
      <c r="K3366" s="713">
        <v>0</v>
      </c>
      <c r="L3366" s="638"/>
      <c r="M3366" s="712"/>
      <c r="N3366" s="638">
        <v>1</v>
      </c>
      <c r="O3366" s="626">
        <v>2</v>
      </c>
      <c r="P3366" s="712">
        <f t="shared" si="34"/>
        <v>10000</v>
      </c>
    </row>
    <row r="3367" spans="1:16" s="619" customFormat="1" ht="36" x14ac:dyDescent="0.2">
      <c r="A3367" s="626" t="s">
        <v>6091</v>
      </c>
      <c r="B3367" s="626" t="s">
        <v>1908</v>
      </c>
      <c r="C3367" s="638" t="s">
        <v>104</v>
      </c>
      <c r="D3367" s="626" t="s">
        <v>6179</v>
      </c>
      <c r="E3367" s="636">
        <v>8000</v>
      </c>
      <c r="F3367" s="637" t="s">
        <v>7484</v>
      </c>
      <c r="G3367" s="626" t="s">
        <v>7485</v>
      </c>
      <c r="H3367" s="626" t="s">
        <v>6179</v>
      </c>
      <c r="I3367" s="638" t="s">
        <v>6095</v>
      </c>
      <c r="J3367" s="625" t="s">
        <v>6096</v>
      </c>
      <c r="K3367" s="713">
        <v>0</v>
      </c>
      <c r="L3367" s="638"/>
      <c r="M3367" s="712"/>
      <c r="N3367" s="638">
        <v>1</v>
      </c>
      <c r="O3367" s="626">
        <v>2</v>
      </c>
      <c r="P3367" s="712">
        <f t="shared" si="34"/>
        <v>16000</v>
      </c>
    </row>
    <row r="3368" spans="1:16" s="619" customFormat="1" ht="24" x14ac:dyDescent="0.2">
      <c r="A3368" s="626" t="s">
        <v>6091</v>
      </c>
      <c r="B3368" s="626" t="s">
        <v>1908</v>
      </c>
      <c r="C3368" s="638" t="s">
        <v>104</v>
      </c>
      <c r="D3368" s="626" t="s">
        <v>6092</v>
      </c>
      <c r="E3368" s="636">
        <v>5000</v>
      </c>
      <c r="F3368" s="637" t="s">
        <v>7486</v>
      </c>
      <c r="G3368" s="626" t="s">
        <v>7487</v>
      </c>
      <c r="H3368" s="626" t="s">
        <v>6092</v>
      </c>
      <c r="I3368" s="638" t="s">
        <v>6095</v>
      </c>
      <c r="J3368" s="625" t="s">
        <v>6096</v>
      </c>
      <c r="K3368" s="713">
        <v>0</v>
      </c>
      <c r="L3368" s="638"/>
      <c r="M3368" s="712"/>
      <c r="N3368" s="638">
        <v>1</v>
      </c>
      <c r="O3368" s="626">
        <v>2</v>
      </c>
      <c r="P3368" s="712">
        <f t="shared" si="34"/>
        <v>10000</v>
      </c>
    </row>
    <row r="3369" spans="1:16" s="619" customFormat="1" ht="48" x14ac:dyDescent="0.2">
      <c r="A3369" s="626" t="s">
        <v>6091</v>
      </c>
      <c r="B3369" s="626" t="s">
        <v>1908</v>
      </c>
      <c r="C3369" s="638" t="s">
        <v>104</v>
      </c>
      <c r="D3369" s="626" t="s">
        <v>6179</v>
      </c>
      <c r="E3369" s="636">
        <v>8000</v>
      </c>
      <c r="F3369" s="637" t="s">
        <v>7488</v>
      </c>
      <c r="G3369" s="626" t="s">
        <v>7489</v>
      </c>
      <c r="H3369" s="626" t="s">
        <v>6179</v>
      </c>
      <c r="I3369" s="638" t="s">
        <v>6095</v>
      </c>
      <c r="J3369" s="625" t="s">
        <v>6096</v>
      </c>
      <c r="K3369" s="713">
        <v>0</v>
      </c>
      <c r="L3369" s="638"/>
      <c r="M3369" s="712"/>
      <c r="N3369" s="638">
        <v>1</v>
      </c>
      <c r="O3369" s="626">
        <v>2</v>
      </c>
      <c r="P3369" s="712">
        <f t="shared" si="34"/>
        <v>16000</v>
      </c>
    </row>
    <row r="3370" spans="1:16" s="619" customFormat="1" ht="24" x14ac:dyDescent="0.2">
      <c r="A3370" s="626" t="s">
        <v>6091</v>
      </c>
      <c r="B3370" s="626" t="s">
        <v>1908</v>
      </c>
      <c r="C3370" s="638" t="s">
        <v>104</v>
      </c>
      <c r="D3370" s="626" t="s">
        <v>6179</v>
      </c>
      <c r="E3370" s="636">
        <v>8000</v>
      </c>
      <c r="F3370" s="637" t="s">
        <v>7490</v>
      </c>
      <c r="G3370" s="626" t="s">
        <v>7491</v>
      </c>
      <c r="H3370" s="626" t="s">
        <v>6179</v>
      </c>
      <c r="I3370" s="638" t="s">
        <v>6095</v>
      </c>
      <c r="J3370" s="625" t="s">
        <v>6096</v>
      </c>
      <c r="K3370" s="713">
        <v>0</v>
      </c>
      <c r="L3370" s="638"/>
      <c r="M3370" s="712"/>
      <c r="N3370" s="638">
        <v>1</v>
      </c>
      <c r="O3370" s="626">
        <v>2</v>
      </c>
      <c r="P3370" s="712">
        <f t="shared" si="34"/>
        <v>16000</v>
      </c>
    </row>
    <row r="3371" spans="1:16" s="619" customFormat="1" ht="36" x14ac:dyDescent="0.2">
      <c r="A3371" s="626" t="s">
        <v>6091</v>
      </c>
      <c r="B3371" s="626" t="s">
        <v>1908</v>
      </c>
      <c r="C3371" s="638" t="s">
        <v>104</v>
      </c>
      <c r="D3371" s="626" t="s">
        <v>6179</v>
      </c>
      <c r="E3371" s="636">
        <v>8000</v>
      </c>
      <c r="F3371" s="637" t="s">
        <v>7492</v>
      </c>
      <c r="G3371" s="626" t="s">
        <v>7493</v>
      </c>
      <c r="H3371" s="626" t="s">
        <v>6179</v>
      </c>
      <c r="I3371" s="638" t="s">
        <v>6095</v>
      </c>
      <c r="J3371" s="625" t="s">
        <v>6096</v>
      </c>
      <c r="K3371" s="713">
        <v>0</v>
      </c>
      <c r="L3371" s="638"/>
      <c r="M3371" s="712"/>
      <c r="N3371" s="638">
        <v>1</v>
      </c>
      <c r="O3371" s="626">
        <v>2</v>
      </c>
      <c r="P3371" s="712">
        <f t="shared" si="34"/>
        <v>16000</v>
      </c>
    </row>
    <row r="3372" spans="1:16" s="619" customFormat="1" ht="24" x14ac:dyDescent="0.2">
      <c r="A3372" s="626" t="s">
        <v>6091</v>
      </c>
      <c r="B3372" s="626" t="s">
        <v>1908</v>
      </c>
      <c r="C3372" s="638" t="s">
        <v>104</v>
      </c>
      <c r="D3372" s="626" t="s">
        <v>6092</v>
      </c>
      <c r="E3372" s="636">
        <v>5000</v>
      </c>
      <c r="F3372" s="637" t="s">
        <v>7494</v>
      </c>
      <c r="G3372" s="626" t="s">
        <v>7495</v>
      </c>
      <c r="H3372" s="626" t="s">
        <v>6092</v>
      </c>
      <c r="I3372" s="638" t="s">
        <v>6095</v>
      </c>
      <c r="J3372" s="625" t="s">
        <v>6096</v>
      </c>
      <c r="K3372" s="713">
        <v>0</v>
      </c>
      <c r="L3372" s="638"/>
      <c r="M3372" s="712"/>
      <c r="N3372" s="638">
        <v>1</v>
      </c>
      <c r="O3372" s="626">
        <v>2</v>
      </c>
      <c r="P3372" s="712">
        <f t="shared" si="34"/>
        <v>10000</v>
      </c>
    </row>
    <row r="3373" spans="1:16" s="619" customFormat="1" ht="24" x14ac:dyDescent="0.2">
      <c r="A3373" s="626" t="s">
        <v>6091</v>
      </c>
      <c r="B3373" s="626" t="s">
        <v>1908</v>
      </c>
      <c r="C3373" s="638" t="s">
        <v>104</v>
      </c>
      <c r="D3373" s="626" t="s">
        <v>6179</v>
      </c>
      <c r="E3373" s="636">
        <v>8000</v>
      </c>
      <c r="F3373" s="637" t="s">
        <v>7496</v>
      </c>
      <c r="G3373" s="626" t="s">
        <v>7497</v>
      </c>
      <c r="H3373" s="626" t="s">
        <v>6179</v>
      </c>
      <c r="I3373" s="638" t="s">
        <v>6095</v>
      </c>
      <c r="J3373" s="625" t="s">
        <v>6096</v>
      </c>
      <c r="K3373" s="713">
        <v>0</v>
      </c>
      <c r="L3373" s="638"/>
      <c r="M3373" s="712"/>
      <c r="N3373" s="638">
        <v>1</v>
      </c>
      <c r="O3373" s="626">
        <v>2</v>
      </c>
      <c r="P3373" s="712">
        <f t="shared" si="34"/>
        <v>16000</v>
      </c>
    </row>
    <row r="3374" spans="1:16" s="619" customFormat="1" ht="24" x14ac:dyDescent="0.2">
      <c r="A3374" s="626" t="s">
        <v>6091</v>
      </c>
      <c r="B3374" s="626" t="s">
        <v>1908</v>
      </c>
      <c r="C3374" s="638" t="s">
        <v>104</v>
      </c>
      <c r="D3374" s="626" t="s">
        <v>6092</v>
      </c>
      <c r="E3374" s="636">
        <v>5000</v>
      </c>
      <c r="F3374" s="637" t="s">
        <v>7498</v>
      </c>
      <c r="G3374" s="626" t="s">
        <v>7499</v>
      </c>
      <c r="H3374" s="626" t="s">
        <v>6092</v>
      </c>
      <c r="I3374" s="638" t="s">
        <v>6095</v>
      </c>
      <c r="J3374" s="625" t="s">
        <v>6096</v>
      </c>
      <c r="K3374" s="713">
        <v>0</v>
      </c>
      <c r="L3374" s="638"/>
      <c r="M3374" s="712"/>
      <c r="N3374" s="638">
        <v>1</v>
      </c>
      <c r="O3374" s="626">
        <v>2</v>
      </c>
      <c r="P3374" s="712">
        <f t="shared" si="34"/>
        <v>10000</v>
      </c>
    </row>
    <row r="3375" spans="1:16" s="619" customFormat="1" ht="36" x14ac:dyDescent="0.2">
      <c r="A3375" s="626" t="s">
        <v>6091</v>
      </c>
      <c r="B3375" s="626" t="s">
        <v>1908</v>
      </c>
      <c r="C3375" s="638" t="s">
        <v>104</v>
      </c>
      <c r="D3375" s="626" t="s">
        <v>6101</v>
      </c>
      <c r="E3375" s="636">
        <v>4000</v>
      </c>
      <c r="F3375" s="637" t="s">
        <v>7500</v>
      </c>
      <c r="G3375" s="626" t="s">
        <v>7501</v>
      </c>
      <c r="H3375" s="626" t="s">
        <v>6101</v>
      </c>
      <c r="I3375" s="638" t="s">
        <v>6095</v>
      </c>
      <c r="J3375" s="625" t="s">
        <v>6096</v>
      </c>
      <c r="K3375" s="713">
        <v>0</v>
      </c>
      <c r="L3375" s="638"/>
      <c r="M3375" s="712"/>
      <c r="N3375" s="638">
        <v>1</v>
      </c>
      <c r="O3375" s="626">
        <v>2</v>
      </c>
      <c r="P3375" s="712">
        <f t="shared" si="34"/>
        <v>8000</v>
      </c>
    </row>
    <row r="3376" spans="1:16" s="619" customFormat="1" ht="24" x14ac:dyDescent="0.2">
      <c r="A3376" s="626" t="s">
        <v>6091</v>
      </c>
      <c r="B3376" s="626" t="s">
        <v>1908</v>
      </c>
      <c r="C3376" s="638" t="s">
        <v>104</v>
      </c>
      <c r="D3376" s="626" t="s">
        <v>6149</v>
      </c>
      <c r="E3376" s="636">
        <v>4000</v>
      </c>
      <c r="F3376" s="637" t="s">
        <v>7502</v>
      </c>
      <c r="G3376" s="626" t="s">
        <v>7503</v>
      </c>
      <c r="H3376" s="626" t="s">
        <v>6149</v>
      </c>
      <c r="I3376" s="638" t="s">
        <v>6095</v>
      </c>
      <c r="J3376" s="625" t="s">
        <v>6096</v>
      </c>
      <c r="K3376" s="713">
        <v>0</v>
      </c>
      <c r="L3376" s="638"/>
      <c r="M3376" s="712"/>
      <c r="N3376" s="638">
        <v>1</v>
      </c>
      <c r="O3376" s="626">
        <v>2</v>
      </c>
      <c r="P3376" s="712">
        <f t="shared" si="34"/>
        <v>8000</v>
      </c>
    </row>
    <row r="3377" spans="1:16" s="619" customFormat="1" ht="36" x14ac:dyDescent="0.2">
      <c r="A3377" s="626" t="s">
        <v>6091</v>
      </c>
      <c r="B3377" s="626" t="s">
        <v>1908</v>
      </c>
      <c r="C3377" s="638" t="s">
        <v>104</v>
      </c>
      <c r="D3377" s="626" t="s">
        <v>6179</v>
      </c>
      <c r="E3377" s="636">
        <v>8000</v>
      </c>
      <c r="F3377" s="637" t="s">
        <v>7504</v>
      </c>
      <c r="G3377" s="626" t="s">
        <v>7505</v>
      </c>
      <c r="H3377" s="626" t="s">
        <v>6179</v>
      </c>
      <c r="I3377" s="638" t="s">
        <v>6095</v>
      </c>
      <c r="J3377" s="625" t="s">
        <v>6096</v>
      </c>
      <c r="K3377" s="713">
        <v>0</v>
      </c>
      <c r="L3377" s="638"/>
      <c r="M3377" s="712"/>
      <c r="N3377" s="638">
        <v>1</v>
      </c>
      <c r="O3377" s="626">
        <v>2</v>
      </c>
      <c r="P3377" s="712">
        <f t="shared" si="34"/>
        <v>16000</v>
      </c>
    </row>
    <row r="3378" spans="1:16" s="619" customFormat="1" ht="48" x14ac:dyDescent="0.2">
      <c r="A3378" s="626" t="s">
        <v>6091</v>
      </c>
      <c r="B3378" s="626" t="s">
        <v>1908</v>
      </c>
      <c r="C3378" s="638" t="s">
        <v>104</v>
      </c>
      <c r="D3378" s="626" t="s">
        <v>6179</v>
      </c>
      <c r="E3378" s="636">
        <v>8000</v>
      </c>
      <c r="F3378" s="637" t="s">
        <v>7506</v>
      </c>
      <c r="G3378" s="626" t="s">
        <v>7507</v>
      </c>
      <c r="H3378" s="626" t="s">
        <v>6179</v>
      </c>
      <c r="I3378" s="638" t="s">
        <v>6095</v>
      </c>
      <c r="J3378" s="625" t="s">
        <v>6096</v>
      </c>
      <c r="K3378" s="713">
        <v>0</v>
      </c>
      <c r="L3378" s="638"/>
      <c r="M3378" s="712"/>
      <c r="N3378" s="638">
        <v>1</v>
      </c>
      <c r="O3378" s="626">
        <v>2</v>
      </c>
      <c r="P3378" s="712">
        <f t="shared" si="34"/>
        <v>16000</v>
      </c>
    </row>
    <row r="3379" spans="1:16" s="619" customFormat="1" ht="36" x14ac:dyDescent="0.2">
      <c r="A3379" s="626" t="s">
        <v>6091</v>
      </c>
      <c r="B3379" s="626" t="s">
        <v>1908</v>
      </c>
      <c r="C3379" s="638" t="s">
        <v>104</v>
      </c>
      <c r="D3379" s="626" t="s">
        <v>6179</v>
      </c>
      <c r="E3379" s="636">
        <v>8000</v>
      </c>
      <c r="F3379" s="637" t="s">
        <v>7508</v>
      </c>
      <c r="G3379" s="626" t="s">
        <v>7509</v>
      </c>
      <c r="H3379" s="626" t="s">
        <v>6179</v>
      </c>
      <c r="I3379" s="638" t="s">
        <v>6095</v>
      </c>
      <c r="J3379" s="625" t="s">
        <v>6096</v>
      </c>
      <c r="K3379" s="713">
        <v>0</v>
      </c>
      <c r="L3379" s="638"/>
      <c r="M3379" s="712"/>
      <c r="N3379" s="638">
        <v>1</v>
      </c>
      <c r="O3379" s="626">
        <v>2</v>
      </c>
      <c r="P3379" s="712">
        <f t="shared" si="34"/>
        <v>16000</v>
      </c>
    </row>
    <row r="3380" spans="1:16" s="619" customFormat="1" ht="36" x14ac:dyDescent="0.2">
      <c r="A3380" s="626" t="s">
        <v>6091</v>
      </c>
      <c r="B3380" s="626" t="s">
        <v>1908</v>
      </c>
      <c r="C3380" s="638" t="s">
        <v>104</v>
      </c>
      <c r="D3380" s="626" t="s">
        <v>2660</v>
      </c>
      <c r="E3380" s="636">
        <v>2300</v>
      </c>
      <c r="F3380" s="637" t="s">
        <v>7510</v>
      </c>
      <c r="G3380" s="626" t="s">
        <v>7511</v>
      </c>
      <c r="H3380" s="626" t="s">
        <v>2660</v>
      </c>
      <c r="I3380" s="638" t="s">
        <v>6099</v>
      </c>
      <c r="J3380" s="625" t="s">
        <v>6100</v>
      </c>
      <c r="K3380" s="713">
        <v>0</v>
      </c>
      <c r="L3380" s="638"/>
      <c r="M3380" s="712"/>
      <c r="N3380" s="638">
        <v>1</v>
      </c>
      <c r="O3380" s="626">
        <v>2</v>
      </c>
      <c r="P3380" s="712">
        <f t="shared" si="34"/>
        <v>4600</v>
      </c>
    </row>
    <row r="3381" spans="1:16" s="619" customFormat="1" ht="48" x14ac:dyDescent="0.2">
      <c r="A3381" s="626" t="s">
        <v>6091</v>
      </c>
      <c r="B3381" s="626" t="s">
        <v>1908</v>
      </c>
      <c r="C3381" s="638" t="s">
        <v>104</v>
      </c>
      <c r="D3381" s="626" t="s">
        <v>6092</v>
      </c>
      <c r="E3381" s="636">
        <v>5000</v>
      </c>
      <c r="F3381" s="637" t="s">
        <v>7512</v>
      </c>
      <c r="G3381" s="626" t="s">
        <v>7513</v>
      </c>
      <c r="H3381" s="626" t="s">
        <v>6092</v>
      </c>
      <c r="I3381" s="638" t="s">
        <v>6095</v>
      </c>
      <c r="J3381" s="625" t="s">
        <v>6096</v>
      </c>
      <c r="K3381" s="713">
        <v>0</v>
      </c>
      <c r="L3381" s="638"/>
      <c r="M3381" s="712"/>
      <c r="N3381" s="638">
        <v>1</v>
      </c>
      <c r="O3381" s="626">
        <v>2</v>
      </c>
      <c r="P3381" s="712">
        <f t="shared" si="34"/>
        <v>10000</v>
      </c>
    </row>
    <row r="3382" spans="1:16" s="619" customFormat="1" ht="36" x14ac:dyDescent="0.2">
      <c r="A3382" s="626" t="s">
        <v>6091</v>
      </c>
      <c r="B3382" s="626" t="s">
        <v>1908</v>
      </c>
      <c r="C3382" s="638" t="s">
        <v>104</v>
      </c>
      <c r="D3382" s="626" t="s">
        <v>2660</v>
      </c>
      <c r="E3382" s="636">
        <v>2300</v>
      </c>
      <c r="F3382" s="637" t="s">
        <v>7514</v>
      </c>
      <c r="G3382" s="626" t="s">
        <v>7515</v>
      </c>
      <c r="H3382" s="626" t="s">
        <v>2660</v>
      </c>
      <c r="I3382" s="638" t="s">
        <v>6099</v>
      </c>
      <c r="J3382" s="625" t="s">
        <v>6100</v>
      </c>
      <c r="K3382" s="713">
        <v>0</v>
      </c>
      <c r="L3382" s="638"/>
      <c r="M3382" s="712"/>
      <c r="N3382" s="638">
        <v>1</v>
      </c>
      <c r="O3382" s="626">
        <v>2</v>
      </c>
      <c r="P3382" s="712">
        <f t="shared" si="34"/>
        <v>4600</v>
      </c>
    </row>
    <row r="3383" spans="1:16" s="619" customFormat="1" ht="36" x14ac:dyDescent="0.2">
      <c r="A3383" s="626" t="s">
        <v>6091</v>
      </c>
      <c r="B3383" s="626" t="s">
        <v>1908</v>
      </c>
      <c r="C3383" s="638" t="s">
        <v>104</v>
      </c>
      <c r="D3383" s="626" t="s">
        <v>2660</v>
      </c>
      <c r="E3383" s="636">
        <v>2300</v>
      </c>
      <c r="F3383" s="637" t="s">
        <v>7516</v>
      </c>
      <c r="G3383" s="626" t="s">
        <v>7517</v>
      </c>
      <c r="H3383" s="626" t="s">
        <v>2660</v>
      </c>
      <c r="I3383" s="638" t="s">
        <v>6099</v>
      </c>
      <c r="J3383" s="625" t="s">
        <v>6100</v>
      </c>
      <c r="K3383" s="713">
        <v>0</v>
      </c>
      <c r="L3383" s="638"/>
      <c r="M3383" s="712"/>
      <c r="N3383" s="638">
        <v>1</v>
      </c>
      <c r="O3383" s="626">
        <v>2</v>
      </c>
      <c r="P3383" s="712">
        <f t="shared" si="34"/>
        <v>4600</v>
      </c>
    </row>
    <row r="3384" spans="1:16" s="619" customFormat="1" ht="48" x14ac:dyDescent="0.2">
      <c r="A3384" s="626" t="s">
        <v>6091</v>
      </c>
      <c r="B3384" s="626" t="s">
        <v>1908</v>
      </c>
      <c r="C3384" s="638" t="s">
        <v>104</v>
      </c>
      <c r="D3384" s="626" t="s">
        <v>2660</v>
      </c>
      <c r="E3384" s="636">
        <v>2300</v>
      </c>
      <c r="F3384" s="637" t="s">
        <v>7518</v>
      </c>
      <c r="G3384" s="626" t="s">
        <v>7519</v>
      </c>
      <c r="H3384" s="626" t="s">
        <v>2660</v>
      </c>
      <c r="I3384" s="638" t="s">
        <v>6099</v>
      </c>
      <c r="J3384" s="625" t="s">
        <v>6100</v>
      </c>
      <c r="K3384" s="713">
        <v>0</v>
      </c>
      <c r="L3384" s="638"/>
      <c r="M3384" s="712"/>
      <c r="N3384" s="638">
        <v>1</v>
      </c>
      <c r="O3384" s="626">
        <v>2</v>
      </c>
      <c r="P3384" s="712">
        <f t="shared" si="34"/>
        <v>4600</v>
      </c>
    </row>
    <row r="3385" spans="1:16" s="619" customFormat="1" ht="36" x14ac:dyDescent="0.2">
      <c r="A3385" s="626" t="s">
        <v>6091</v>
      </c>
      <c r="B3385" s="626" t="s">
        <v>1908</v>
      </c>
      <c r="C3385" s="638" t="s">
        <v>104</v>
      </c>
      <c r="D3385" s="626" t="s">
        <v>6092</v>
      </c>
      <c r="E3385" s="636">
        <v>5000</v>
      </c>
      <c r="F3385" s="637" t="s">
        <v>7520</v>
      </c>
      <c r="G3385" s="626" t="s">
        <v>7521</v>
      </c>
      <c r="H3385" s="626" t="s">
        <v>6092</v>
      </c>
      <c r="I3385" s="638" t="s">
        <v>6095</v>
      </c>
      <c r="J3385" s="625" t="s">
        <v>6096</v>
      </c>
      <c r="K3385" s="713">
        <v>0</v>
      </c>
      <c r="L3385" s="638"/>
      <c r="M3385" s="712"/>
      <c r="N3385" s="638">
        <v>1</v>
      </c>
      <c r="O3385" s="626">
        <v>2</v>
      </c>
      <c r="P3385" s="712">
        <f t="shared" si="34"/>
        <v>10000</v>
      </c>
    </row>
    <row r="3386" spans="1:16" s="619" customFormat="1" ht="36" x14ac:dyDescent="0.2">
      <c r="A3386" s="626" t="s">
        <v>6091</v>
      </c>
      <c r="B3386" s="626" t="s">
        <v>1908</v>
      </c>
      <c r="C3386" s="638" t="s">
        <v>104</v>
      </c>
      <c r="D3386" s="626" t="s">
        <v>2660</v>
      </c>
      <c r="E3386" s="636">
        <v>2300</v>
      </c>
      <c r="F3386" s="637" t="s">
        <v>7522</v>
      </c>
      <c r="G3386" s="626" t="s">
        <v>7523</v>
      </c>
      <c r="H3386" s="626" t="s">
        <v>2660</v>
      </c>
      <c r="I3386" s="638" t="s">
        <v>6099</v>
      </c>
      <c r="J3386" s="625" t="s">
        <v>6100</v>
      </c>
      <c r="K3386" s="713">
        <v>0</v>
      </c>
      <c r="L3386" s="638"/>
      <c r="M3386" s="712"/>
      <c r="N3386" s="638">
        <v>1</v>
      </c>
      <c r="O3386" s="626">
        <v>2</v>
      </c>
      <c r="P3386" s="712">
        <f t="shared" ref="P3386:P3448" si="35">O3386*E3386</f>
        <v>4600</v>
      </c>
    </row>
    <row r="3387" spans="1:16" s="619" customFormat="1" ht="24" x14ac:dyDescent="0.2">
      <c r="A3387" s="626" t="s">
        <v>6091</v>
      </c>
      <c r="B3387" s="626" t="s">
        <v>1908</v>
      </c>
      <c r="C3387" s="638" t="s">
        <v>104</v>
      </c>
      <c r="D3387" s="626" t="s">
        <v>6179</v>
      </c>
      <c r="E3387" s="636">
        <v>8000</v>
      </c>
      <c r="F3387" s="637" t="s">
        <v>7524</v>
      </c>
      <c r="G3387" s="626" t="s">
        <v>7525</v>
      </c>
      <c r="H3387" s="626" t="s">
        <v>6179</v>
      </c>
      <c r="I3387" s="638" t="s">
        <v>6095</v>
      </c>
      <c r="J3387" s="625" t="s">
        <v>6096</v>
      </c>
      <c r="K3387" s="713">
        <v>0</v>
      </c>
      <c r="L3387" s="638"/>
      <c r="M3387" s="712"/>
      <c r="N3387" s="638">
        <v>1</v>
      </c>
      <c r="O3387" s="626">
        <v>2</v>
      </c>
      <c r="P3387" s="712">
        <f t="shared" si="35"/>
        <v>16000</v>
      </c>
    </row>
    <row r="3388" spans="1:16" s="619" customFormat="1" ht="36" x14ac:dyDescent="0.2">
      <c r="A3388" s="626" t="s">
        <v>6091</v>
      </c>
      <c r="B3388" s="626" t="s">
        <v>1908</v>
      </c>
      <c r="C3388" s="638" t="s">
        <v>104</v>
      </c>
      <c r="D3388" s="626" t="s">
        <v>6179</v>
      </c>
      <c r="E3388" s="636">
        <v>8000</v>
      </c>
      <c r="F3388" s="637" t="s">
        <v>7526</v>
      </c>
      <c r="G3388" s="626" t="s">
        <v>7527</v>
      </c>
      <c r="H3388" s="626" t="s">
        <v>6179</v>
      </c>
      <c r="I3388" s="638" t="s">
        <v>6095</v>
      </c>
      <c r="J3388" s="625" t="s">
        <v>6096</v>
      </c>
      <c r="K3388" s="713">
        <v>0</v>
      </c>
      <c r="L3388" s="638"/>
      <c r="M3388" s="712"/>
      <c r="N3388" s="638">
        <v>1</v>
      </c>
      <c r="O3388" s="626">
        <v>2</v>
      </c>
      <c r="P3388" s="712">
        <f t="shared" si="35"/>
        <v>16000</v>
      </c>
    </row>
    <row r="3389" spans="1:16" s="619" customFormat="1" ht="24" x14ac:dyDescent="0.2">
      <c r="A3389" s="626" t="s">
        <v>6091</v>
      </c>
      <c r="B3389" s="626" t="s">
        <v>1908</v>
      </c>
      <c r="C3389" s="638" t="s">
        <v>104</v>
      </c>
      <c r="D3389" s="626" t="s">
        <v>6179</v>
      </c>
      <c r="E3389" s="636">
        <v>8000</v>
      </c>
      <c r="F3389" s="637" t="s">
        <v>7528</v>
      </c>
      <c r="G3389" s="626" t="s">
        <v>7529</v>
      </c>
      <c r="H3389" s="626" t="s">
        <v>6179</v>
      </c>
      <c r="I3389" s="638" t="s">
        <v>6095</v>
      </c>
      <c r="J3389" s="625" t="s">
        <v>6096</v>
      </c>
      <c r="K3389" s="713">
        <v>0</v>
      </c>
      <c r="L3389" s="638"/>
      <c r="M3389" s="712"/>
      <c r="N3389" s="638">
        <v>1</v>
      </c>
      <c r="O3389" s="626">
        <v>2</v>
      </c>
      <c r="P3389" s="712">
        <f t="shared" si="35"/>
        <v>16000</v>
      </c>
    </row>
    <row r="3390" spans="1:16" s="619" customFormat="1" ht="24" x14ac:dyDescent="0.2">
      <c r="A3390" s="626" t="s">
        <v>6091</v>
      </c>
      <c r="B3390" s="626" t="s">
        <v>1908</v>
      </c>
      <c r="C3390" s="638" t="s">
        <v>104</v>
      </c>
      <c r="D3390" s="626" t="s">
        <v>6179</v>
      </c>
      <c r="E3390" s="636">
        <v>8000</v>
      </c>
      <c r="F3390" s="637" t="s">
        <v>7530</v>
      </c>
      <c r="G3390" s="626" t="s">
        <v>7531</v>
      </c>
      <c r="H3390" s="626" t="s">
        <v>6179</v>
      </c>
      <c r="I3390" s="638" t="s">
        <v>6095</v>
      </c>
      <c r="J3390" s="625" t="s">
        <v>6096</v>
      </c>
      <c r="K3390" s="713">
        <v>0</v>
      </c>
      <c r="L3390" s="638"/>
      <c r="M3390" s="712"/>
      <c r="N3390" s="638">
        <v>1</v>
      </c>
      <c r="O3390" s="626">
        <v>2</v>
      </c>
      <c r="P3390" s="712">
        <f t="shared" si="35"/>
        <v>16000</v>
      </c>
    </row>
    <row r="3391" spans="1:16" s="619" customFormat="1" ht="36" x14ac:dyDescent="0.2">
      <c r="A3391" s="626" t="s">
        <v>6091</v>
      </c>
      <c r="B3391" s="626" t="s">
        <v>1908</v>
      </c>
      <c r="C3391" s="638" t="s">
        <v>104</v>
      </c>
      <c r="D3391" s="626" t="s">
        <v>6092</v>
      </c>
      <c r="E3391" s="636">
        <v>5000</v>
      </c>
      <c r="F3391" s="637" t="s">
        <v>7532</v>
      </c>
      <c r="G3391" s="626" t="s">
        <v>7533</v>
      </c>
      <c r="H3391" s="626" t="s">
        <v>6092</v>
      </c>
      <c r="I3391" s="638" t="s">
        <v>6095</v>
      </c>
      <c r="J3391" s="625" t="s">
        <v>6096</v>
      </c>
      <c r="K3391" s="713">
        <v>0</v>
      </c>
      <c r="L3391" s="638"/>
      <c r="M3391" s="712"/>
      <c r="N3391" s="638">
        <v>1</v>
      </c>
      <c r="O3391" s="626">
        <v>2</v>
      </c>
      <c r="P3391" s="712">
        <f t="shared" si="35"/>
        <v>10000</v>
      </c>
    </row>
    <row r="3392" spans="1:16" s="619" customFormat="1" ht="36" x14ac:dyDescent="0.2">
      <c r="A3392" s="626" t="s">
        <v>6091</v>
      </c>
      <c r="B3392" s="626" t="s">
        <v>1908</v>
      </c>
      <c r="C3392" s="638" t="s">
        <v>104</v>
      </c>
      <c r="D3392" s="626" t="s">
        <v>6158</v>
      </c>
      <c r="E3392" s="636">
        <v>1800</v>
      </c>
      <c r="F3392" s="637" t="s">
        <v>7534</v>
      </c>
      <c r="G3392" s="626" t="s">
        <v>7535</v>
      </c>
      <c r="H3392" s="626" t="s">
        <v>6158</v>
      </c>
      <c r="I3392" s="638" t="s">
        <v>1919</v>
      </c>
      <c r="J3392" s="625" t="s">
        <v>6128</v>
      </c>
      <c r="K3392" s="713">
        <v>0</v>
      </c>
      <c r="L3392" s="638"/>
      <c r="M3392" s="712"/>
      <c r="N3392" s="638">
        <v>1</v>
      </c>
      <c r="O3392" s="626">
        <v>2</v>
      </c>
      <c r="P3392" s="712">
        <f t="shared" si="35"/>
        <v>3600</v>
      </c>
    </row>
    <row r="3393" spans="1:16" s="619" customFormat="1" ht="36" x14ac:dyDescent="0.2">
      <c r="A3393" s="626" t="s">
        <v>6091</v>
      </c>
      <c r="B3393" s="626" t="s">
        <v>1908</v>
      </c>
      <c r="C3393" s="638" t="s">
        <v>104</v>
      </c>
      <c r="D3393" s="626" t="s">
        <v>2660</v>
      </c>
      <c r="E3393" s="636">
        <v>2300</v>
      </c>
      <c r="F3393" s="637" t="s">
        <v>7536</v>
      </c>
      <c r="G3393" s="626" t="s">
        <v>7537</v>
      </c>
      <c r="H3393" s="626" t="s">
        <v>2660</v>
      </c>
      <c r="I3393" s="638" t="s">
        <v>6099</v>
      </c>
      <c r="J3393" s="625" t="s">
        <v>6100</v>
      </c>
      <c r="K3393" s="713">
        <v>0</v>
      </c>
      <c r="L3393" s="638"/>
      <c r="M3393" s="712"/>
      <c r="N3393" s="638">
        <v>1</v>
      </c>
      <c r="O3393" s="626">
        <v>2</v>
      </c>
      <c r="P3393" s="712">
        <f t="shared" si="35"/>
        <v>4600</v>
      </c>
    </row>
    <row r="3394" spans="1:16" s="619" customFormat="1" ht="36" x14ac:dyDescent="0.2">
      <c r="A3394" s="626" t="s">
        <v>6091</v>
      </c>
      <c r="B3394" s="626" t="s">
        <v>1908</v>
      </c>
      <c r="C3394" s="638" t="s">
        <v>104</v>
      </c>
      <c r="D3394" s="626" t="s">
        <v>6101</v>
      </c>
      <c r="E3394" s="636">
        <v>4000</v>
      </c>
      <c r="F3394" s="637" t="s">
        <v>7538</v>
      </c>
      <c r="G3394" s="626" t="s">
        <v>7539</v>
      </c>
      <c r="H3394" s="626" t="s">
        <v>6101</v>
      </c>
      <c r="I3394" s="638" t="s">
        <v>6095</v>
      </c>
      <c r="J3394" s="625" t="s">
        <v>6096</v>
      </c>
      <c r="K3394" s="713">
        <v>0</v>
      </c>
      <c r="L3394" s="638"/>
      <c r="M3394" s="712"/>
      <c r="N3394" s="638">
        <v>1</v>
      </c>
      <c r="O3394" s="626">
        <v>2</v>
      </c>
      <c r="P3394" s="712">
        <f t="shared" si="35"/>
        <v>8000</v>
      </c>
    </row>
    <row r="3395" spans="1:16" s="619" customFormat="1" ht="36" x14ac:dyDescent="0.2">
      <c r="A3395" s="626" t="s">
        <v>6091</v>
      </c>
      <c r="B3395" s="626" t="s">
        <v>1908</v>
      </c>
      <c r="C3395" s="638" t="s">
        <v>104</v>
      </c>
      <c r="D3395" s="626" t="s">
        <v>6179</v>
      </c>
      <c r="E3395" s="636">
        <v>8000</v>
      </c>
      <c r="F3395" s="637" t="s">
        <v>7540</v>
      </c>
      <c r="G3395" s="626" t="s">
        <v>7541</v>
      </c>
      <c r="H3395" s="626" t="s">
        <v>6179</v>
      </c>
      <c r="I3395" s="638" t="s">
        <v>6095</v>
      </c>
      <c r="J3395" s="625" t="s">
        <v>6096</v>
      </c>
      <c r="K3395" s="713">
        <v>0</v>
      </c>
      <c r="L3395" s="638"/>
      <c r="M3395" s="712"/>
      <c r="N3395" s="638">
        <v>1</v>
      </c>
      <c r="O3395" s="626">
        <v>1</v>
      </c>
      <c r="P3395" s="712">
        <f t="shared" si="35"/>
        <v>8000</v>
      </c>
    </row>
    <row r="3396" spans="1:16" s="619" customFormat="1" ht="36" x14ac:dyDescent="0.2">
      <c r="A3396" s="626" t="s">
        <v>6091</v>
      </c>
      <c r="B3396" s="626" t="s">
        <v>1908</v>
      </c>
      <c r="C3396" s="638" t="s">
        <v>104</v>
      </c>
      <c r="D3396" s="626" t="s">
        <v>6299</v>
      </c>
      <c r="E3396" s="636">
        <v>2300</v>
      </c>
      <c r="F3396" s="637" t="s">
        <v>7542</v>
      </c>
      <c r="G3396" s="626" t="s">
        <v>7543</v>
      </c>
      <c r="H3396" s="626" t="s">
        <v>6299</v>
      </c>
      <c r="I3396" s="638" t="s">
        <v>6099</v>
      </c>
      <c r="J3396" s="625" t="s">
        <v>6100</v>
      </c>
      <c r="K3396" s="713">
        <v>0</v>
      </c>
      <c r="L3396" s="638"/>
      <c r="M3396" s="712"/>
      <c r="N3396" s="638">
        <v>1</v>
      </c>
      <c r="O3396" s="626">
        <v>2</v>
      </c>
      <c r="P3396" s="712">
        <f t="shared" si="35"/>
        <v>4600</v>
      </c>
    </row>
    <row r="3397" spans="1:16" s="619" customFormat="1" ht="36" x14ac:dyDescent="0.2">
      <c r="A3397" s="626" t="s">
        <v>6091</v>
      </c>
      <c r="B3397" s="626" t="s">
        <v>1908</v>
      </c>
      <c r="C3397" s="638" t="s">
        <v>104</v>
      </c>
      <c r="D3397" s="626" t="s">
        <v>6227</v>
      </c>
      <c r="E3397" s="636">
        <v>4000</v>
      </c>
      <c r="F3397" s="637" t="s">
        <v>7544</v>
      </c>
      <c r="G3397" s="626" t="s">
        <v>7545</v>
      </c>
      <c r="H3397" s="626" t="s">
        <v>6227</v>
      </c>
      <c r="I3397" s="638" t="s">
        <v>6095</v>
      </c>
      <c r="J3397" s="625" t="s">
        <v>6096</v>
      </c>
      <c r="K3397" s="713">
        <v>0</v>
      </c>
      <c r="L3397" s="638"/>
      <c r="M3397" s="712"/>
      <c r="N3397" s="638">
        <v>1</v>
      </c>
      <c r="O3397" s="626">
        <v>2</v>
      </c>
      <c r="P3397" s="712">
        <f t="shared" si="35"/>
        <v>8000</v>
      </c>
    </row>
    <row r="3398" spans="1:16" s="619" customFormat="1" ht="24" x14ac:dyDescent="0.2">
      <c r="A3398" s="626" t="s">
        <v>6091</v>
      </c>
      <c r="B3398" s="626" t="s">
        <v>1908</v>
      </c>
      <c r="C3398" s="638" t="s">
        <v>104</v>
      </c>
      <c r="D3398" s="626" t="s">
        <v>6092</v>
      </c>
      <c r="E3398" s="636">
        <v>5000</v>
      </c>
      <c r="F3398" s="637" t="s">
        <v>7546</v>
      </c>
      <c r="G3398" s="626" t="s">
        <v>7547</v>
      </c>
      <c r="H3398" s="626" t="s">
        <v>6092</v>
      </c>
      <c r="I3398" s="638" t="s">
        <v>6095</v>
      </c>
      <c r="J3398" s="625" t="s">
        <v>6096</v>
      </c>
      <c r="K3398" s="713">
        <v>0</v>
      </c>
      <c r="L3398" s="638"/>
      <c r="M3398" s="712"/>
      <c r="N3398" s="638">
        <v>1</v>
      </c>
      <c r="O3398" s="626">
        <v>2</v>
      </c>
      <c r="P3398" s="712">
        <f t="shared" si="35"/>
        <v>10000</v>
      </c>
    </row>
    <row r="3399" spans="1:16" s="619" customFormat="1" ht="24" x14ac:dyDescent="0.2">
      <c r="A3399" s="626" t="s">
        <v>6091</v>
      </c>
      <c r="B3399" s="626" t="s">
        <v>1908</v>
      </c>
      <c r="C3399" s="638" t="s">
        <v>104</v>
      </c>
      <c r="D3399" s="626" t="s">
        <v>6101</v>
      </c>
      <c r="E3399" s="636">
        <v>8000</v>
      </c>
      <c r="F3399" s="637" t="s">
        <v>7548</v>
      </c>
      <c r="G3399" s="626" t="s">
        <v>7549</v>
      </c>
      <c r="H3399" s="626" t="s">
        <v>6101</v>
      </c>
      <c r="I3399" s="638" t="s">
        <v>6095</v>
      </c>
      <c r="J3399" s="625" t="s">
        <v>6096</v>
      </c>
      <c r="K3399" s="713">
        <v>0</v>
      </c>
      <c r="L3399" s="638"/>
      <c r="M3399" s="712"/>
      <c r="N3399" s="638">
        <v>1</v>
      </c>
      <c r="O3399" s="626">
        <v>2</v>
      </c>
      <c r="P3399" s="712">
        <f t="shared" si="35"/>
        <v>16000</v>
      </c>
    </row>
    <row r="3400" spans="1:16" s="619" customFormat="1" ht="36" x14ac:dyDescent="0.2">
      <c r="A3400" s="626" t="s">
        <v>6091</v>
      </c>
      <c r="B3400" s="626" t="s">
        <v>1908</v>
      </c>
      <c r="C3400" s="638" t="s">
        <v>104</v>
      </c>
      <c r="D3400" s="626" t="s">
        <v>6179</v>
      </c>
      <c r="E3400" s="636">
        <v>8000</v>
      </c>
      <c r="F3400" s="637" t="s">
        <v>7550</v>
      </c>
      <c r="G3400" s="626" t="s">
        <v>7551</v>
      </c>
      <c r="H3400" s="626" t="s">
        <v>6179</v>
      </c>
      <c r="I3400" s="638" t="s">
        <v>6095</v>
      </c>
      <c r="J3400" s="625" t="s">
        <v>6096</v>
      </c>
      <c r="K3400" s="713">
        <v>0</v>
      </c>
      <c r="L3400" s="638"/>
      <c r="M3400" s="712"/>
      <c r="N3400" s="638">
        <v>1</v>
      </c>
      <c r="O3400" s="626">
        <v>2</v>
      </c>
      <c r="P3400" s="712">
        <f t="shared" si="35"/>
        <v>16000</v>
      </c>
    </row>
    <row r="3401" spans="1:16" s="619" customFormat="1" ht="36" x14ac:dyDescent="0.2">
      <c r="A3401" s="626" t="s">
        <v>6091</v>
      </c>
      <c r="B3401" s="626" t="s">
        <v>1908</v>
      </c>
      <c r="C3401" s="638" t="s">
        <v>104</v>
      </c>
      <c r="D3401" s="626" t="s">
        <v>2660</v>
      </c>
      <c r="E3401" s="636">
        <v>2300</v>
      </c>
      <c r="F3401" s="637" t="s">
        <v>7552</v>
      </c>
      <c r="G3401" s="626" t="s">
        <v>7553</v>
      </c>
      <c r="H3401" s="626" t="s">
        <v>2660</v>
      </c>
      <c r="I3401" s="638" t="s">
        <v>6099</v>
      </c>
      <c r="J3401" s="625" t="s">
        <v>6100</v>
      </c>
      <c r="K3401" s="713">
        <v>0</v>
      </c>
      <c r="L3401" s="638"/>
      <c r="M3401" s="712"/>
      <c r="N3401" s="638">
        <v>1</v>
      </c>
      <c r="O3401" s="626">
        <v>2</v>
      </c>
      <c r="P3401" s="712">
        <f t="shared" si="35"/>
        <v>4600</v>
      </c>
    </row>
    <row r="3402" spans="1:16" s="619" customFormat="1" ht="36" x14ac:dyDescent="0.2">
      <c r="A3402" s="626" t="s">
        <v>6091</v>
      </c>
      <c r="B3402" s="626" t="s">
        <v>1908</v>
      </c>
      <c r="C3402" s="638" t="s">
        <v>104</v>
      </c>
      <c r="D3402" s="626" t="s">
        <v>2660</v>
      </c>
      <c r="E3402" s="636">
        <v>2300</v>
      </c>
      <c r="F3402" s="637" t="s">
        <v>7554</v>
      </c>
      <c r="G3402" s="626" t="s">
        <v>7555</v>
      </c>
      <c r="H3402" s="626" t="s">
        <v>2660</v>
      </c>
      <c r="I3402" s="638" t="s">
        <v>6099</v>
      </c>
      <c r="J3402" s="625" t="s">
        <v>6100</v>
      </c>
      <c r="K3402" s="713">
        <v>0</v>
      </c>
      <c r="L3402" s="638"/>
      <c r="M3402" s="712"/>
      <c r="N3402" s="638">
        <v>1</v>
      </c>
      <c r="O3402" s="626">
        <v>2</v>
      </c>
      <c r="P3402" s="712">
        <f t="shared" si="35"/>
        <v>4600</v>
      </c>
    </row>
    <row r="3403" spans="1:16" s="619" customFormat="1" ht="36" x14ac:dyDescent="0.2">
      <c r="A3403" s="626" t="s">
        <v>6091</v>
      </c>
      <c r="B3403" s="626" t="s">
        <v>1908</v>
      </c>
      <c r="C3403" s="638" t="s">
        <v>104</v>
      </c>
      <c r="D3403" s="626" t="s">
        <v>2660</v>
      </c>
      <c r="E3403" s="636">
        <v>2300</v>
      </c>
      <c r="F3403" s="637" t="s">
        <v>7556</v>
      </c>
      <c r="G3403" s="626" t="s">
        <v>7557</v>
      </c>
      <c r="H3403" s="626" t="s">
        <v>2660</v>
      </c>
      <c r="I3403" s="638" t="s">
        <v>6099</v>
      </c>
      <c r="J3403" s="625" t="s">
        <v>6100</v>
      </c>
      <c r="K3403" s="713">
        <v>0</v>
      </c>
      <c r="L3403" s="638"/>
      <c r="M3403" s="712"/>
      <c r="N3403" s="638">
        <v>1</v>
      </c>
      <c r="O3403" s="626">
        <v>2</v>
      </c>
      <c r="P3403" s="712">
        <f t="shared" si="35"/>
        <v>4600</v>
      </c>
    </row>
    <row r="3404" spans="1:16" s="619" customFormat="1" ht="36" x14ac:dyDescent="0.2">
      <c r="A3404" s="626" t="s">
        <v>6091</v>
      </c>
      <c r="B3404" s="626" t="s">
        <v>1908</v>
      </c>
      <c r="C3404" s="638" t="s">
        <v>104</v>
      </c>
      <c r="D3404" s="626" t="s">
        <v>2660</v>
      </c>
      <c r="E3404" s="636">
        <v>2300</v>
      </c>
      <c r="F3404" s="637" t="s">
        <v>7558</v>
      </c>
      <c r="G3404" s="626" t="s">
        <v>7559</v>
      </c>
      <c r="H3404" s="626" t="s">
        <v>2660</v>
      </c>
      <c r="I3404" s="638" t="s">
        <v>6099</v>
      </c>
      <c r="J3404" s="625" t="s">
        <v>6100</v>
      </c>
      <c r="K3404" s="713">
        <v>0</v>
      </c>
      <c r="L3404" s="638"/>
      <c r="M3404" s="712"/>
      <c r="N3404" s="638">
        <v>1</v>
      </c>
      <c r="O3404" s="626">
        <v>2</v>
      </c>
      <c r="P3404" s="712">
        <f t="shared" si="35"/>
        <v>4600</v>
      </c>
    </row>
    <row r="3405" spans="1:16" s="619" customFormat="1" ht="36" x14ac:dyDescent="0.2">
      <c r="A3405" s="626" t="s">
        <v>6091</v>
      </c>
      <c r="B3405" s="626" t="s">
        <v>1908</v>
      </c>
      <c r="C3405" s="638" t="s">
        <v>104</v>
      </c>
      <c r="D3405" s="626" t="s">
        <v>6240</v>
      </c>
      <c r="E3405" s="636">
        <v>2300</v>
      </c>
      <c r="F3405" s="637" t="s">
        <v>7560</v>
      </c>
      <c r="G3405" s="626" t="s">
        <v>7561</v>
      </c>
      <c r="H3405" s="626" t="s">
        <v>6240</v>
      </c>
      <c r="I3405" s="638" t="s">
        <v>6099</v>
      </c>
      <c r="J3405" s="625" t="s">
        <v>6100</v>
      </c>
      <c r="K3405" s="713">
        <v>0</v>
      </c>
      <c r="L3405" s="638"/>
      <c r="M3405" s="712"/>
      <c r="N3405" s="638">
        <v>1</v>
      </c>
      <c r="O3405" s="626">
        <v>2</v>
      </c>
      <c r="P3405" s="712">
        <f t="shared" si="35"/>
        <v>4600</v>
      </c>
    </row>
    <row r="3406" spans="1:16" s="619" customFormat="1" ht="36" x14ac:dyDescent="0.2">
      <c r="A3406" s="626" t="s">
        <v>6091</v>
      </c>
      <c r="B3406" s="626" t="s">
        <v>1908</v>
      </c>
      <c r="C3406" s="638" t="s">
        <v>104</v>
      </c>
      <c r="D3406" s="626" t="s">
        <v>6299</v>
      </c>
      <c r="E3406" s="636">
        <v>2300</v>
      </c>
      <c r="F3406" s="637" t="s">
        <v>7562</v>
      </c>
      <c r="G3406" s="626" t="s">
        <v>5122</v>
      </c>
      <c r="H3406" s="626" t="s">
        <v>6299</v>
      </c>
      <c r="I3406" s="638" t="s">
        <v>6099</v>
      </c>
      <c r="J3406" s="625" t="s">
        <v>6100</v>
      </c>
      <c r="K3406" s="713">
        <v>0</v>
      </c>
      <c r="L3406" s="638"/>
      <c r="M3406" s="712"/>
      <c r="N3406" s="638">
        <v>1</v>
      </c>
      <c r="O3406" s="626">
        <v>2</v>
      </c>
      <c r="P3406" s="712">
        <f t="shared" si="35"/>
        <v>4600</v>
      </c>
    </row>
    <row r="3407" spans="1:16" s="619" customFormat="1" ht="36" x14ac:dyDescent="0.2">
      <c r="A3407" s="626" t="s">
        <v>6091</v>
      </c>
      <c r="B3407" s="626" t="s">
        <v>1908</v>
      </c>
      <c r="C3407" s="638" t="s">
        <v>104</v>
      </c>
      <c r="D3407" s="626" t="s">
        <v>2660</v>
      </c>
      <c r="E3407" s="636">
        <v>2300</v>
      </c>
      <c r="F3407" s="637" t="s">
        <v>7563</v>
      </c>
      <c r="G3407" s="626" t="s">
        <v>7564</v>
      </c>
      <c r="H3407" s="626" t="s">
        <v>2660</v>
      </c>
      <c r="I3407" s="638" t="s">
        <v>6099</v>
      </c>
      <c r="J3407" s="625" t="s">
        <v>6100</v>
      </c>
      <c r="K3407" s="713">
        <v>0</v>
      </c>
      <c r="L3407" s="638"/>
      <c r="M3407" s="712"/>
      <c r="N3407" s="638">
        <v>1</v>
      </c>
      <c r="O3407" s="626">
        <v>2</v>
      </c>
      <c r="P3407" s="712">
        <f t="shared" si="35"/>
        <v>4600</v>
      </c>
    </row>
    <row r="3408" spans="1:16" s="619" customFormat="1" ht="36" x14ac:dyDescent="0.2">
      <c r="A3408" s="626" t="s">
        <v>6091</v>
      </c>
      <c r="B3408" s="626" t="s">
        <v>1908</v>
      </c>
      <c r="C3408" s="638" t="s">
        <v>104</v>
      </c>
      <c r="D3408" s="626" t="s">
        <v>6876</v>
      </c>
      <c r="E3408" s="636">
        <v>2300</v>
      </c>
      <c r="F3408" s="637" t="s">
        <v>7565</v>
      </c>
      <c r="G3408" s="626" t="s">
        <v>7566</v>
      </c>
      <c r="H3408" s="626" t="s">
        <v>6876</v>
      </c>
      <c r="I3408" s="638" t="s">
        <v>1919</v>
      </c>
      <c r="J3408" s="625" t="s">
        <v>6128</v>
      </c>
      <c r="K3408" s="713">
        <v>0</v>
      </c>
      <c r="L3408" s="638"/>
      <c r="M3408" s="712"/>
      <c r="N3408" s="638">
        <v>1</v>
      </c>
      <c r="O3408" s="626">
        <v>2</v>
      </c>
      <c r="P3408" s="712">
        <f t="shared" si="35"/>
        <v>4600</v>
      </c>
    </row>
    <row r="3409" spans="1:16" s="619" customFormat="1" ht="48" x14ac:dyDescent="0.2">
      <c r="A3409" s="626" t="s">
        <v>6091</v>
      </c>
      <c r="B3409" s="626" t="s">
        <v>1908</v>
      </c>
      <c r="C3409" s="638" t="s">
        <v>104</v>
      </c>
      <c r="D3409" s="626" t="s">
        <v>2660</v>
      </c>
      <c r="E3409" s="636">
        <v>2300</v>
      </c>
      <c r="F3409" s="637" t="s">
        <v>7567</v>
      </c>
      <c r="G3409" s="626" t="s">
        <v>7568</v>
      </c>
      <c r="H3409" s="626" t="s">
        <v>2660</v>
      </c>
      <c r="I3409" s="638" t="s">
        <v>6099</v>
      </c>
      <c r="J3409" s="625" t="s">
        <v>6100</v>
      </c>
      <c r="K3409" s="713">
        <v>0</v>
      </c>
      <c r="L3409" s="638"/>
      <c r="M3409" s="712"/>
      <c r="N3409" s="638">
        <v>1</v>
      </c>
      <c r="O3409" s="626">
        <v>2</v>
      </c>
      <c r="P3409" s="712">
        <f t="shared" si="35"/>
        <v>4600</v>
      </c>
    </row>
    <row r="3410" spans="1:16" s="619" customFormat="1" ht="36" x14ac:dyDescent="0.2">
      <c r="A3410" s="626" t="s">
        <v>6091</v>
      </c>
      <c r="B3410" s="626" t="s">
        <v>1908</v>
      </c>
      <c r="C3410" s="638" t="s">
        <v>104</v>
      </c>
      <c r="D3410" s="626" t="s">
        <v>2660</v>
      </c>
      <c r="E3410" s="636">
        <v>2300</v>
      </c>
      <c r="F3410" s="637" t="s">
        <v>7569</v>
      </c>
      <c r="G3410" s="626" t="s">
        <v>7570</v>
      </c>
      <c r="H3410" s="626" t="s">
        <v>2660</v>
      </c>
      <c r="I3410" s="638" t="s">
        <v>6099</v>
      </c>
      <c r="J3410" s="625" t="s">
        <v>6100</v>
      </c>
      <c r="K3410" s="713">
        <v>0</v>
      </c>
      <c r="L3410" s="638"/>
      <c r="M3410" s="712"/>
      <c r="N3410" s="638">
        <v>1</v>
      </c>
      <c r="O3410" s="626">
        <v>2</v>
      </c>
      <c r="P3410" s="712">
        <f t="shared" si="35"/>
        <v>4600</v>
      </c>
    </row>
    <row r="3411" spans="1:16" s="619" customFormat="1" ht="36" x14ac:dyDescent="0.2">
      <c r="A3411" s="626" t="s">
        <v>6091</v>
      </c>
      <c r="B3411" s="626" t="s">
        <v>1908</v>
      </c>
      <c r="C3411" s="638" t="s">
        <v>104</v>
      </c>
      <c r="D3411" s="626" t="s">
        <v>6179</v>
      </c>
      <c r="E3411" s="636">
        <v>8000</v>
      </c>
      <c r="F3411" s="637" t="s">
        <v>7571</v>
      </c>
      <c r="G3411" s="626" t="s">
        <v>7572</v>
      </c>
      <c r="H3411" s="626" t="s">
        <v>6179</v>
      </c>
      <c r="I3411" s="638" t="s">
        <v>6095</v>
      </c>
      <c r="J3411" s="625" t="s">
        <v>6096</v>
      </c>
      <c r="K3411" s="713">
        <v>0</v>
      </c>
      <c r="L3411" s="638"/>
      <c r="M3411" s="712"/>
      <c r="N3411" s="638">
        <v>1</v>
      </c>
      <c r="O3411" s="626">
        <v>2</v>
      </c>
      <c r="P3411" s="712">
        <f t="shared" si="35"/>
        <v>16000</v>
      </c>
    </row>
    <row r="3412" spans="1:16" s="619" customFormat="1" ht="36" x14ac:dyDescent="0.2">
      <c r="A3412" s="626" t="s">
        <v>6091</v>
      </c>
      <c r="B3412" s="626" t="s">
        <v>1908</v>
      </c>
      <c r="C3412" s="638" t="s">
        <v>104</v>
      </c>
      <c r="D3412" s="626" t="s">
        <v>6101</v>
      </c>
      <c r="E3412" s="636">
        <v>4000</v>
      </c>
      <c r="F3412" s="637" t="s">
        <v>7573</v>
      </c>
      <c r="G3412" s="626" t="s">
        <v>7574</v>
      </c>
      <c r="H3412" s="626" t="s">
        <v>6101</v>
      </c>
      <c r="I3412" s="638" t="s">
        <v>6095</v>
      </c>
      <c r="J3412" s="625" t="s">
        <v>6096</v>
      </c>
      <c r="K3412" s="713">
        <v>0</v>
      </c>
      <c r="L3412" s="638"/>
      <c r="M3412" s="712"/>
      <c r="N3412" s="638">
        <v>1</v>
      </c>
      <c r="O3412" s="626">
        <v>2</v>
      </c>
      <c r="P3412" s="712">
        <f t="shared" si="35"/>
        <v>8000</v>
      </c>
    </row>
    <row r="3413" spans="1:16" s="619" customFormat="1" ht="36" x14ac:dyDescent="0.2">
      <c r="A3413" s="626" t="s">
        <v>6091</v>
      </c>
      <c r="B3413" s="626" t="s">
        <v>1908</v>
      </c>
      <c r="C3413" s="638" t="s">
        <v>104</v>
      </c>
      <c r="D3413" s="626" t="s">
        <v>2660</v>
      </c>
      <c r="E3413" s="636">
        <v>2300</v>
      </c>
      <c r="F3413" s="637" t="s">
        <v>7575</v>
      </c>
      <c r="G3413" s="626" t="s">
        <v>7576</v>
      </c>
      <c r="H3413" s="626" t="s">
        <v>2660</v>
      </c>
      <c r="I3413" s="638" t="s">
        <v>6099</v>
      </c>
      <c r="J3413" s="625" t="s">
        <v>6100</v>
      </c>
      <c r="K3413" s="713">
        <v>0</v>
      </c>
      <c r="L3413" s="638"/>
      <c r="M3413" s="712"/>
      <c r="N3413" s="638">
        <v>1</v>
      </c>
      <c r="O3413" s="626">
        <v>2</v>
      </c>
      <c r="P3413" s="712">
        <f t="shared" si="35"/>
        <v>4600</v>
      </c>
    </row>
    <row r="3414" spans="1:16" s="619" customFormat="1" ht="24" x14ac:dyDescent="0.2">
      <c r="A3414" s="626" t="s">
        <v>6091</v>
      </c>
      <c r="B3414" s="626" t="s">
        <v>1908</v>
      </c>
      <c r="C3414" s="638" t="s">
        <v>104</v>
      </c>
      <c r="D3414" s="626" t="s">
        <v>6198</v>
      </c>
      <c r="E3414" s="636">
        <v>4000</v>
      </c>
      <c r="F3414" s="637" t="s">
        <v>7577</v>
      </c>
      <c r="G3414" s="626" t="s">
        <v>7578</v>
      </c>
      <c r="H3414" s="626" t="s">
        <v>6198</v>
      </c>
      <c r="I3414" s="638" t="s">
        <v>6095</v>
      </c>
      <c r="J3414" s="625" t="s">
        <v>6096</v>
      </c>
      <c r="K3414" s="713">
        <v>0</v>
      </c>
      <c r="L3414" s="638"/>
      <c r="M3414" s="712"/>
      <c r="N3414" s="638">
        <v>1</v>
      </c>
      <c r="O3414" s="626">
        <v>1</v>
      </c>
      <c r="P3414" s="712">
        <f t="shared" si="35"/>
        <v>4000</v>
      </c>
    </row>
    <row r="3415" spans="1:16" s="619" customFormat="1" ht="24" x14ac:dyDescent="0.2">
      <c r="A3415" s="626" t="s">
        <v>6091</v>
      </c>
      <c r="B3415" s="626" t="s">
        <v>1908</v>
      </c>
      <c r="C3415" s="638" t="s">
        <v>104</v>
      </c>
      <c r="D3415" s="626" t="s">
        <v>6876</v>
      </c>
      <c r="E3415" s="636">
        <v>2800</v>
      </c>
      <c r="F3415" s="637" t="s">
        <v>7579</v>
      </c>
      <c r="G3415" s="626" t="s">
        <v>7580</v>
      </c>
      <c r="H3415" s="626" t="s">
        <v>6876</v>
      </c>
      <c r="I3415" s="638" t="s">
        <v>1919</v>
      </c>
      <c r="J3415" s="625" t="s">
        <v>6128</v>
      </c>
      <c r="K3415" s="713">
        <v>0</v>
      </c>
      <c r="L3415" s="638"/>
      <c r="M3415" s="712"/>
      <c r="N3415" s="638">
        <v>1</v>
      </c>
      <c r="O3415" s="626">
        <v>1</v>
      </c>
      <c r="P3415" s="712">
        <f t="shared" si="35"/>
        <v>2800</v>
      </c>
    </row>
    <row r="3416" spans="1:16" s="619" customFormat="1" ht="36" x14ac:dyDescent="0.2">
      <c r="A3416" s="626" t="s">
        <v>6091</v>
      </c>
      <c r="B3416" s="626" t="s">
        <v>1908</v>
      </c>
      <c r="C3416" s="638" t="s">
        <v>104</v>
      </c>
      <c r="D3416" s="626" t="s">
        <v>6299</v>
      </c>
      <c r="E3416" s="636">
        <v>2300</v>
      </c>
      <c r="F3416" s="637" t="s">
        <v>7581</v>
      </c>
      <c r="G3416" s="626" t="s">
        <v>7582</v>
      </c>
      <c r="H3416" s="626" t="s">
        <v>6299</v>
      </c>
      <c r="I3416" s="638" t="s">
        <v>6099</v>
      </c>
      <c r="J3416" s="625" t="s">
        <v>6100</v>
      </c>
      <c r="K3416" s="713">
        <v>0</v>
      </c>
      <c r="L3416" s="638"/>
      <c r="M3416" s="712"/>
      <c r="N3416" s="638">
        <v>1</v>
      </c>
      <c r="O3416" s="626">
        <v>1</v>
      </c>
      <c r="P3416" s="712">
        <f t="shared" si="35"/>
        <v>2300</v>
      </c>
    </row>
    <row r="3417" spans="1:16" s="619" customFormat="1" ht="36" x14ac:dyDescent="0.2">
      <c r="A3417" s="626" t="s">
        <v>6091</v>
      </c>
      <c r="B3417" s="626" t="s">
        <v>1908</v>
      </c>
      <c r="C3417" s="638" t="s">
        <v>104</v>
      </c>
      <c r="D3417" s="626" t="s">
        <v>6179</v>
      </c>
      <c r="E3417" s="636">
        <v>8000</v>
      </c>
      <c r="F3417" s="637" t="s">
        <v>7583</v>
      </c>
      <c r="G3417" s="626" t="s">
        <v>7584</v>
      </c>
      <c r="H3417" s="626" t="s">
        <v>6179</v>
      </c>
      <c r="I3417" s="638" t="s">
        <v>6095</v>
      </c>
      <c r="J3417" s="625" t="s">
        <v>6096</v>
      </c>
      <c r="K3417" s="713">
        <v>0</v>
      </c>
      <c r="L3417" s="638"/>
      <c r="M3417" s="712"/>
      <c r="N3417" s="638">
        <v>1</v>
      </c>
      <c r="O3417" s="626">
        <v>1</v>
      </c>
      <c r="P3417" s="712">
        <f t="shared" si="35"/>
        <v>8000</v>
      </c>
    </row>
    <row r="3418" spans="1:16" s="619" customFormat="1" ht="36" x14ac:dyDescent="0.2">
      <c r="A3418" s="626" t="s">
        <v>6091</v>
      </c>
      <c r="B3418" s="626" t="s">
        <v>1908</v>
      </c>
      <c r="C3418" s="638" t="s">
        <v>104</v>
      </c>
      <c r="D3418" s="626" t="s">
        <v>6179</v>
      </c>
      <c r="E3418" s="636">
        <v>8000</v>
      </c>
      <c r="F3418" s="637" t="s">
        <v>7585</v>
      </c>
      <c r="G3418" s="626" t="s">
        <v>7586</v>
      </c>
      <c r="H3418" s="626" t="s">
        <v>6179</v>
      </c>
      <c r="I3418" s="638" t="s">
        <v>6095</v>
      </c>
      <c r="J3418" s="625" t="s">
        <v>6096</v>
      </c>
      <c r="K3418" s="713">
        <v>0</v>
      </c>
      <c r="L3418" s="638"/>
      <c r="M3418" s="712"/>
      <c r="N3418" s="638">
        <v>1</v>
      </c>
      <c r="O3418" s="626">
        <v>1</v>
      </c>
      <c r="P3418" s="712">
        <f t="shared" si="35"/>
        <v>8000</v>
      </c>
    </row>
    <row r="3419" spans="1:16" s="619" customFormat="1" ht="24" x14ac:dyDescent="0.2">
      <c r="A3419" s="626" t="s">
        <v>6091</v>
      </c>
      <c r="B3419" s="626" t="s">
        <v>1908</v>
      </c>
      <c r="C3419" s="638" t="s">
        <v>104</v>
      </c>
      <c r="D3419" s="626" t="s">
        <v>6876</v>
      </c>
      <c r="E3419" s="636">
        <v>2300</v>
      </c>
      <c r="F3419" s="637" t="s">
        <v>7587</v>
      </c>
      <c r="G3419" s="626" t="s">
        <v>7588</v>
      </c>
      <c r="H3419" s="626" t="s">
        <v>6876</v>
      </c>
      <c r="I3419" s="638" t="s">
        <v>1919</v>
      </c>
      <c r="J3419" s="625" t="s">
        <v>6128</v>
      </c>
      <c r="K3419" s="713">
        <v>0</v>
      </c>
      <c r="L3419" s="638"/>
      <c r="M3419" s="712"/>
      <c r="N3419" s="638">
        <v>1</v>
      </c>
      <c r="O3419" s="626">
        <v>1</v>
      </c>
      <c r="P3419" s="712">
        <f t="shared" si="35"/>
        <v>2300</v>
      </c>
    </row>
    <row r="3420" spans="1:16" s="619" customFormat="1" ht="36" x14ac:dyDescent="0.2">
      <c r="A3420" s="626" t="s">
        <v>6091</v>
      </c>
      <c r="B3420" s="626" t="s">
        <v>1908</v>
      </c>
      <c r="C3420" s="638" t="s">
        <v>104</v>
      </c>
      <c r="D3420" s="626" t="s">
        <v>6101</v>
      </c>
      <c r="E3420" s="636">
        <v>4000</v>
      </c>
      <c r="F3420" s="637" t="s">
        <v>7589</v>
      </c>
      <c r="G3420" s="626" t="s">
        <v>7590</v>
      </c>
      <c r="H3420" s="626" t="s">
        <v>6101</v>
      </c>
      <c r="I3420" s="638" t="s">
        <v>6095</v>
      </c>
      <c r="J3420" s="625" t="s">
        <v>6096</v>
      </c>
      <c r="K3420" s="713">
        <v>0</v>
      </c>
      <c r="L3420" s="638"/>
      <c r="M3420" s="712"/>
      <c r="N3420" s="638">
        <v>1</v>
      </c>
      <c r="O3420" s="626">
        <v>1</v>
      </c>
      <c r="P3420" s="712">
        <f t="shared" si="35"/>
        <v>4000</v>
      </c>
    </row>
    <row r="3421" spans="1:16" s="619" customFormat="1" ht="36" x14ac:dyDescent="0.2">
      <c r="A3421" s="626" t="s">
        <v>6091</v>
      </c>
      <c r="B3421" s="626" t="s">
        <v>1908</v>
      </c>
      <c r="C3421" s="638" t="s">
        <v>104</v>
      </c>
      <c r="D3421" s="626" t="s">
        <v>2660</v>
      </c>
      <c r="E3421" s="636">
        <v>2300</v>
      </c>
      <c r="F3421" s="637" t="s">
        <v>7591</v>
      </c>
      <c r="G3421" s="626" t="s">
        <v>7592</v>
      </c>
      <c r="H3421" s="626" t="s">
        <v>2660</v>
      </c>
      <c r="I3421" s="638" t="s">
        <v>6099</v>
      </c>
      <c r="J3421" s="625" t="s">
        <v>6100</v>
      </c>
      <c r="K3421" s="713">
        <v>0</v>
      </c>
      <c r="L3421" s="638"/>
      <c r="M3421" s="712"/>
      <c r="N3421" s="638">
        <v>1</v>
      </c>
      <c r="O3421" s="626">
        <v>1</v>
      </c>
      <c r="P3421" s="712">
        <f t="shared" si="35"/>
        <v>2300</v>
      </c>
    </row>
    <row r="3422" spans="1:16" s="619" customFormat="1" ht="48" x14ac:dyDescent="0.2">
      <c r="A3422" s="626" t="s">
        <v>6091</v>
      </c>
      <c r="B3422" s="626" t="s">
        <v>1908</v>
      </c>
      <c r="C3422" s="638" t="s">
        <v>104</v>
      </c>
      <c r="D3422" s="626" t="s">
        <v>2660</v>
      </c>
      <c r="E3422" s="636">
        <v>2300</v>
      </c>
      <c r="F3422" s="637" t="s">
        <v>7593</v>
      </c>
      <c r="G3422" s="626" t="s">
        <v>7594</v>
      </c>
      <c r="H3422" s="626" t="s">
        <v>2660</v>
      </c>
      <c r="I3422" s="638" t="s">
        <v>6099</v>
      </c>
      <c r="J3422" s="625" t="s">
        <v>6100</v>
      </c>
      <c r="K3422" s="713">
        <v>0</v>
      </c>
      <c r="L3422" s="638"/>
      <c r="M3422" s="712"/>
      <c r="N3422" s="638">
        <v>1</v>
      </c>
      <c r="O3422" s="626">
        <v>1</v>
      </c>
      <c r="P3422" s="712">
        <f t="shared" si="35"/>
        <v>2300</v>
      </c>
    </row>
    <row r="3423" spans="1:16" s="619" customFormat="1" ht="36" x14ac:dyDescent="0.2">
      <c r="A3423" s="626" t="s">
        <v>6091</v>
      </c>
      <c r="B3423" s="626" t="s">
        <v>1908</v>
      </c>
      <c r="C3423" s="638" t="s">
        <v>104</v>
      </c>
      <c r="D3423" s="626" t="s">
        <v>2660</v>
      </c>
      <c r="E3423" s="636">
        <v>2300</v>
      </c>
      <c r="F3423" s="637" t="s">
        <v>7595</v>
      </c>
      <c r="G3423" s="626" t="s">
        <v>7596</v>
      </c>
      <c r="H3423" s="626" t="s">
        <v>2660</v>
      </c>
      <c r="I3423" s="638" t="s">
        <v>6099</v>
      </c>
      <c r="J3423" s="625" t="s">
        <v>6100</v>
      </c>
      <c r="K3423" s="713">
        <v>0</v>
      </c>
      <c r="L3423" s="638"/>
      <c r="M3423" s="712"/>
      <c r="N3423" s="638">
        <v>1</v>
      </c>
      <c r="O3423" s="626">
        <v>1</v>
      </c>
      <c r="P3423" s="712">
        <f t="shared" si="35"/>
        <v>2300</v>
      </c>
    </row>
    <row r="3424" spans="1:16" s="619" customFormat="1" ht="24" x14ac:dyDescent="0.2">
      <c r="A3424" s="626" t="s">
        <v>6091</v>
      </c>
      <c r="B3424" s="626" t="s">
        <v>1908</v>
      </c>
      <c r="C3424" s="638" t="s">
        <v>104</v>
      </c>
      <c r="D3424" s="626" t="s">
        <v>6179</v>
      </c>
      <c r="E3424" s="636">
        <v>8000</v>
      </c>
      <c r="F3424" s="637" t="s">
        <v>7597</v>
      </c>
      <c r="G3424" s="626" t="s">
        <v>7598</v>
      </c>
      <c r="H3424" s="626" t="s">
        <v>6179</v>
      </c>
      <c r="I3424" s="638" t="s">
        <v>6095</v>
      </c>
      <c r="J3424" s="625" t="s">
        <v>6096</v>
      </c>
      <c r="K3424" s="713">
        <v>0</v>
      </c>
      <c r="L3424" s="638"/>
      <c r="M3424" s="712"/>
      <c r="N3424" s="638">
        <v>1</v>
      </c>
      <c r="O3424" s="626">
        <v>1</v>
      </c>
      <c r="P3424" s="712">
        <f t="shared" si="35"/>
        <v>8000</v>
      </c>
    </row>
    <row r="3425" spans="1:16" s="619" customFormat="1" ht="36" x14ac:dyDescent="0.2">
      <c r="A3425" s="626" t="s">
        <v>6091</v>
      </c>
      <c r="B3425" s="626" t="s">
        <v>1908</v>
      </c>
      <c r="C3425" s="638" t="s">
        <v>104</v>
      </c>
      <c r="D3425" s="626" t="s">
        <v>6299</v>
      </c>
      <c r="E3425" s="636">
        <v>2300</v>
      </c>
      <c r="F3425" s="637" t="s">
        <v>7599</v>
      </c>
      <c r="G3425" s="626" t="s">
        <v>7600</v>
      </c>
      <c r="H3425" s="626" t="s">
        <v>6299</v>
      </c>
      <c r="I3425" s="638" t="s">
        <v>6099</v>
      </c>
      <c r="J3425" s="625" t="s">
        <v>6100</v>
      </c>
      <c r="K3425" s="713">
        <v>0</v>
      </c>
      <c r="L3425" s="638"/>
      <c r="M3425" s="712"/>
      <c r="N3425" s="638">
        <v>1</v>
      </c>
      <c r="O3425" s="626">
        <v>1</v>
      </c>
      <c r="P3425" s="712">
        <f t="shared" si="35"/>
        <v>2300</v>
      </c>
    </row>
    <row r="3426" spans="1:16" s="619" customFormat="1" ht="36" x14ac:dyDescent="0.2">
      <c r="A3426" s="626" t="s">
        <v>6091</v>
      </c>
      <c r="B3426" s="626" t="s">
        <v>1908</v>
      </c>
      <c r="C3426" s="638" t="s">
        <v>104</v>
      </c>
      <c r="D3426" s="626" t="s">
        <v>2660</v>
      </c>
      <c r="E3426" s="636">
        <v>2300</v>
      </c>
      <c r="F3426" s="637" t="s">
        <v>7601</v>
      </c>
      <c r="G3426" s="626" t="s">
        <v>7602</v>
      </c>
      <c r="H3426" s="626" t="s">
        <v>2660</v>
      </c>
      <c r="I3426" s="638" t="s">
        <v>6099</v>
      </c>
      <c r="J3426" s="625" t="s">
        <v>6100</v>
      </c>
      <c r="K3426" s="713">
        <v>0</v>
      </c>
      <c r="L3426" s="638"/>
      <c r="M3426" s="712"/>
      <c r="N3426" s="638">
        <v>1</v>
      </c>
      <c r="O3426" s="626">
        <v>1</v>
      </c>
      <c r="P3426" s="712">
        <f t="shared" si="35"/>
        <v>2300</v>
      </c>
    </row>
    <row r="3427" spans="1:16" s="619" customFormat="1" ht="24" x14ac:dyDescent="0.2">
      <c r="A3427" s="626" t="s">
        <v>6091</v>
      </c>
      <c r="B3427" s="626" t="s">
        <v>1908</v>
      </c>
      <c r="C3427" s="638" t="s">
        <v>104</v>
      </c>
      <c r="D3427" s="626" t="s">
        <v>6198</v>
      </c>
      <c r="E3427" s="636">
        <v>4000</v>
      </c>
      <c r="F3427" s="637" t="s">
        <v>7603</v>
      </c>
      <c r="G3427" s="626" t="s">
        <v>7604</v>
      </c>
      <c r="H3427" s="626" t="s">
        <v>6198</v>
      </c>
      <c r="I3427" s="638" t="s">
        <v>6095</v>
      </c>
      <c r="J3427" s="625" t="s">
        <v>6096</v>
      </c>
      <c r="K3427" s="713">
        <v>0</v>
      </c>
      <c r="L3427" s="638"/>
      <c r="M3427" s="712"/>
      <c r="N3427" s="638">
        <v>1</v>
      </c>
      <c r="O3427" s="626">
        <v>1</v>
      </c>
      <c r="P3427" s="712">
        <f t="shared" si="35"/>
        <v>4000</v>
      </c>
    </row>
    <row r="3428" spans="1:16" s="619" customFormat="1" ht="24" x14ac:dyDescent="0.2">
      <c r="A3428" s="626" t="s">
        <v>6091</v>
      </c>
      <c r="B3428" s="626" t="s">
        <v>1908</v>
      </c>
      <c r="C3428" s="638" t="s">
        <v>104</v>
      </c>
      <c r="D3428" s="626" t="s">
        <v>6198</v>
      </c>
      <c r="E3428" s="636">
        <v>4000</v>
      </c>
      <c r="F3428" s="637" t="s">
        <v>7605</v>
      </c>
      <c r="G3428" s="626" t="s">
        <v>7606</v>
      </c>
      <c r="H3428" s="626" t="s">
        <v>6198</v>
      </c>
      <c r="I3428" s="638" t="s">
        <v>6095</v>
      </c>
      <c r="J3428" s="625" t="s">
        <v>6096</v>
      </c>
      <c r="K3428" s="713">
        <v>0</v>
      </c>
      <c r="L3428" s="638"/>
      <c r="M3428" s="712"/>
      <c r="N3428" s="638">
        <v>1</v>
      </c>
      <c r="O3428" s="626">
        <v>1</v>
      </c>
      <c r="P3428" s="712">
        <f t="shared" si="35"/>
        <v>4000</v>
      </c>
    </row>
    <row r="3429" spans="1:16" s="619" customFormat="1" ht="36" x14ac:dyDescent="0.2">
      <c r="A3429" s="626" t="s">
        <v>6091</v>
      </c>
      <c r="B3429" s="626" t="s">
        <v>1908</v>
      </c>
      <c r="C3429" s="638" t="s">
        <v>104</v>
      </c>
      <c r="D3429" s="626" t="s">
        <v>2660</v>
      </c>
      <c r="E3429" s="636">
        <v>2300</v>
      </c>
      <c r="F3429" s="637" t="s">
        <v>7607</v>
      </c>
      <c r="G3429" s="626" t="s">
        <v>7608</v>
      </c>
      <c r="H3429" s="626" t="s">
        <v>2660</v>
      </c>
      <c r="I3429" s="638" t="s">
        <v>6099</v>
      </c>
      <c r="J3429" s="625" t="s">
        <v>6100</v>
      </c>
      <c r="K3429" s="713">
        <v>0</v>
      </c>
      <c r="L3429" s="638"/>
      <c r="M3429" s="712"/>
      <c r="N3429" s="638">
        <v>1</v>
      </c>
      <c r="O3429" s="626">
        <v>1</v>
      </c>
      <c r="P3429" s="712">
        <f t="shared" si="35"/>
        <v>2300</v>
      </c>
    </row>
    <row r="3430" spans="1:16" s="619" customFormat="1" ht="24" x14ac:dyDescent="0.2">
      <c r="A3430" s="626" t="s">
        <v>6091</v>
      </c>
      <c r="B3430" s="626" t="s">
        <v>1908</v>
      </c>
      <c r="C3430" s="638" t="s">
        <v>104</v>
      </c>
      <c r="D3430" s="626" t="s">
        <v>6198</v>
      </c>
      <c r="E3430" s="636">
        <v>4000</v>
      </c>
      <c r="F3430" s="637" t="s">
        <v>7609</v>
      </c>
      <c r="G3430" s="626" t="s">
        <v>7610</v>
      </c>
      <c r="H3430" s="626" t="s">
        <v>6198</v>
      </c>
      <c r="I3430" s="638" t="s">
        <v>6095</v>
      </c>
      <c r="J3430" s="625" t="s">
        <v>6096</v>
      </c>
      <c r="K3430" s="713">
        <v>0</v>
      </c>
      <c r="L3430" s="638"/>
      <c r="M3430" s="712"/>
      <c r="N3430" s="638">
        <v>1</v>
      </c>
      <c r="O3430" s="626">
        <v>1</v>
      </c>
      <c r="P3430" s="712">
        <f t="shared" si="35"/>
        <v>4000</v>
      </c>
    </row>
    <row r="3431" spans="1:16" s="619" customFormat="1" ht="36" x14ac:dyDescent="0.2">
      <c r="A3431" s="626" t="s">
        <v>6091</v>
      </c>
      <c r="B3431" s="626" t="s">
        <v>1908</v>
      </c>
      <c r="C3431" s="638" t="s">
        <v>104</v>
      </c>
      <c r="D3431" s="626" t="s">
        <v>2660</v>
      </c>
      <c r="E3431" s="636">
        <v>2800</v>
      </c>
      <c r="F3431" s="637" t="s">
        <v>7611</v>
      </c>
      <c r="G3431" s="626" t="s">
        <v>7612</v>
      </c>
      <c r="H3431" s="626" t="s">
        <v>2660</v>
      </c>
      <c r="I3431" s="638" t="s">
        <v>6099</v>
      </c>
      <c r="J3431" s="625" t="s">
        <v>6100</v>
      </c>
      <c r="K3431" s="713">
        <v>0</v>
      </c>
      <c r="L3431" s="638"/>
      <c r="M3431" s="712"/>
      <c r="N3431" s="638">
        <v>1</v>
      </c>
      <c r="O3431" s="626">
        <v>1</v>
      </c>
      <c r="P3431" s="712">
        <f t="shared" si="35"/>
        <v>2800</v>
      </c>
    </row>
    <row r="3432" spans="1:16" s="619" customFormat="1" ht="36" x14ac:dyDescent="0.2">
      <c r="A3432" s="626" t="s">
        <v>6091</v>
      </c>
      <c r="B3432" s="626" t="s">
        <v>1908</v>
      </c>
      <c r="C3432" s="638" t="s">
        <v>104</v>
      </c>
      <c r="D3432" s="626" t="s">
        <v>2660</v>
      </c>
      <c r="E3432" s="636">
        <v>2300</v>
      </c>
      <c r="F3432" s="637" t="s">
        <v>7613</v>
      </c>
      <c r="G3432" s="626" t="s">
        <v>7614</v>
      </c>
      <c r="H3432" s="626" t="s">
        <v>2660</v>
      </c>
      <c r="I3432" s="638" t="s">
        <v>6099</v>
      </c>
      <c r="J3432" s="625" t="s">
        <v>6100</v>
      </c>
      <c r="K3432" s="713">
        <v>0</v>
      </c>
      <c r="L3432" s="638"/>
      <c r="M3432" s="712"/>
      <c r="N3432" s="638">
        <v>1</v>
      </c>
      <c r="O3432" s="626">
        <v>1</v>
      </c>
      <c r="P3432" s="712">
        <f t="shared" si="35"/>
        <v>2300</v>
      </c>
    </row>
    <row r="3433" spans="1:16" s="619" customFormat="1" ht="36" x14ac:dyDescent="0.2">
      <c r="A3433" s="626" t="s">
        <v>6091</v>
      </c>
      <c r="B3433" s="626" t="s">
        <v>1908</v>
      </c>
      <c r="C3433" s="638" t="s">
        <v>104</v>
      </c>
      <c r="D3433" s="626" t="s">
        <v>6299</v>
      </c>
      <c r="E3433" s="636">
        <v>1200</v>
      </c>
      <c r="F3433" s="637" t="s">
        <v>7615</v>
      </c>
      <c r="G3433" s="626" t="s">
        <v>4978</v>
      </c>
      <c r="H3433" s="626" t="s">
        <v>6299</v>
      </c>
      <c r="I3433" s="638" t="s">
        <v>6099</v>
      </c>
      <c r="J3433" s="625" t="s">
        <v>6100</v>
      </c>
      <c r="K3433" s="626"/>
      <c r="L3433" s="638"/>
      <c r="M3433" s="714"/>
      <c r="N3433" s="638">
        <v>1</v>
      </c>
      <c r="O3433" s="626">
        <v>3</v>
      </c>
      <c r="P3433" s="712">
        <f t="shared" si="35"/>
        <v>3600</v>
      </c>
    </row>
    <row r="3434" spans="1:16" s="619" customFormat="1" ht="36" x14ac:dyDescent="0.2">
      <c r="A3434" s="626" t="s">
        <v>6091</v>
      </c>
      <c r="B3434" s="626" t="s">
        <v>1908</v>
      </c>
      <c r="C3434" s="638" t="s">
        <v>104</v>
      </c>
      <c r="D3434" s="626" t="s">
        <v>6299</v>
      </c>
      <c r="E3434" s="636">
        <v>2300</v>
      </c>
      <c r="F3434" s="637" t="s">
        <v>7615</v>
      </c>
      <c r="G3434" s="626" t="s">
        <v>4978</v>
      </c>
      <c r="H3434" s="626" t="s">
        <v>6299</v>
      </c>
      <c r="I3434" s="638" t="s">
        <v>6099</v>
      </c>
      <c r="J3434" s="625" t="s">
        <v>6100</v>
      </c>
      <c r="K3434" s="626"/>
      <c r="L3434" s="638"/>
      <c r="M3434" s="714"/>
      <c r="N3434" s="638">
        <v>1</v>
      </c>
      <c r="O3434" s="626">
        <v>3</v>
      </c>
      <c r="P3434" s="712">
        <f t="shared" si="35"/>
        <v>6900</v>
      </c>
    </row>
    <row r="3435" spans="1:16" s="619" customFormat="1" ht="48" x14ac:dyDescent="0.2">
      <c r="A3435" s="626" t="s">
        <v>6091</v>
      </c>
      <c r="B3435" s="626" t="s">
        <v>1908</v>
      </c>
      <c r="C3435" s="638" t="s">
        <v>104</v>
      </c>
      <c r="D3435" s="626" t="s">
        <v>6092</v>
      </c>
      <c r="E3435" s="636">
        <v>5000</v>
      </c>
      <c r="F3435" s="637" t="s">
        <v>6881</v>
      </c>
      <c r="G3435" s="626" t="s">
        <v>6882</v>
      </c>
      <c r="H3435" s="626" t="s">
        <v>6092</v>
      </c>
      <c r="I3435" s="638" t="s">
        <v>6095</v>
      </c>
      <c r="J3435" s="625" t="s">
        <v>6096</v>
      </c>
      <c r="K3435" s="626"/>
      <c r="L3435" s="638"/>
      <c r="M3435" s="714"/>
      <c r="N3435" s="638">
        <v>1</v>
      </c>
      <c r="O3435" s="626">
        <v>1</v>
      </c>
      <c r="P3435" s="712">
        <f t="shared" si="35"/>
        <v>5000</v>
      </c>
    </row>
    <row r="3436" spans="1:16" s="619" customFormat="1" ht="48" x14ac:dyDescent="0.2">
      <c r="A3436" s="626" t="s">
        <v>6091</v>
      </c>
      <c r="B3436" s="626" t="s">
        <v>1908</v>
      </c>
      <c r="C3436" s="638" t="s">
        <v>104</v>
      </c>
      <c r="D3436" s="626" t="s">
        <v>6092</v>
      </c>
      <c r="E3436" s="636">
        <v>2000</v>
      </c>
      <c r="F3436" s="637" t="s">
        <v>6881</v>
      </c>
      <c r="G3436" s="626" t="s">
        <v>6882</v>
      </c>
      <c r="H3436" s="626" t="s">
        <v>6092</v>
      </c>
      <c r="I3436" s="638" t="s">
        <v>6095</v>
      </c>
      <c r="J3436" s="625" t="s">
        <v>6096</v>
      </c>
      <c r="K3436" s="626"/>
      <c r="L3436" s="638"/>
      <c r="M3436" s="714"/>
      <c r="N3436" s="638">
        <v>1</v>
      </c>
      <c r="O3436" s="626">
        <v>3</v>
      </c>
      <c r="P3436" s="712">
        <f t="shared" si="35"/>
        <v>6000</v>
      </c>
    </row>
    <row r="3437" spans="1:16" s="619" customFormat="1" ht="36" x14ac:dyDescent="0.2">
      <c r="A3437" s="626" t="s">
        <v>6091</v>
      </c>
      <c r="B3437" s="626" t="s">
        <v>1908</v>
      </c>
      <c r="C3437" s="638" t="s">
        <v>104</v>
      </c>
      <c r="D3437" s="626" t="s">
        <v>6179</v>
      </c>
      <c r="E3437" s="636">
        <v>3300</v>
      </c>
      <c r="F3437" s="637" t="s">
        <v>6479</v>
      </c>
      <c r="G3437" s="626" t="s">
        <v>6480</v>
      </c>
      <c r="H3437" s="626" t="s">
        <v>6179</v>
      </c>
      <c r="I3437" s="638" t="s">
        <v>6095</v>
      </c>
      <c r="J3437" s="625" t="s">
        <v>6096</v>
      </c>
      <c r="K3437" s="626"/>
      <c r="L3437" s="638"/>
      <c r="M3437" s="714"/>
      <c r="N3437" s="638">
        <v>1</v>
      </c>
      <c r="O3437" s="626">
        <v>4</v>
      </c>
      <c r="P3437" s="712">
        <f t="shared" si="35"/>
        <v>13200</v>
      </c>
    </row>
    <row r="3438" spans="1:16" s="619" customFormat="1" ht="36" x14ac:dyDescent="0.2">
      <c r="A3438" s="626" t="s">
        <v>6091</v>
      </c>
      <c r="B3438" s="626" t="s">
        <v>1908</v>
      </c>
      <c r="C3438" s="638" t="s">
        <v>104</v>
      </c>
      <c r="D3438" s="626" t="s">
        <v>6179</v>
      </c>
      <c r="E3438" s="636">
        <v>8000</v>
      </c>
      <c r="F3438" s="637" t="s">
        <v>6479</v>
      </c>
      <c r="G3438" s="626" t="s">
        <v>6480</v>
      </c>
      <c r="H3438" s="626" t="s">
        <v>6179</v>
      </c>
      <c r="I3438" s="638" t="s">
        <v>6095</v>
      </c>
      <c r="J3438" s="625" t="s">
        <v>6096</v>
      </c>
      <c r="K3438" s="626"/>
      <c r="L3438" s="638"/>
      <c r="M3438" s="714"/>
      <c r="N3438" s="638">
        <v>1</v>
      </c>
      <c r="O3438" s="626">
        <v>2</v>
      </c>
      <c r="P3438" s="712">
        <f t="shared" si="35"/>
        <v>16000</v>
      </c>
    </row>
    <row r="3439" spans="1:16" s="619" customFormat="1" ht="36" x14ac:dyDescent="0.2">
      <c r="A3439" s="626" t="s">
        <v>6091</v>
      </c>
      <c r="B3439" s="626" t="s">
        <v>1908</v>
      </c>
      <c r="C3439" s="638" t="s">
        <v>104</v>
      </c>
      <c r="D3439" s="626" t="s">
        <v>2660</v>
      </c>
      <c r="E3439" s="636">
        <v>2875</v>
      </c>
      <c r="F3439" s="637" t="s">
        <v>7616</v>
      </c>
      <c r="G3439" s="626" t="s">
        <v>7617</v>
      </c>
      <c r="H3439" s="626" t="s">
        <v>2660</v>
      </c>
      <c r="I3439" s="638" t="s">
        <v>6099</v>
      </c>
      <c r="J3439" s="625" t="s">
        <v>6100</v>
      </c>
      <c r="K3439" s="626"/>
      <c r="L3439" s="638"/>
      <c r="M3439" s="714"/>
      <c r="N3439" s="638">
        <v>1</v>
      </c>
      <c r="O3439" s="626">
        <v>4</v>
      </c>
      <c r="P3439" s="712">
        <f t="shared" si="35"/>
        <v>11500</v>
      </c>
    </row>
    <row r="3440" spans="1:16" s="619" customFormat="1" ht="36" x14ac:dyDescent="0.2">
      <c r="A3440" s="626" t="s">
        <v>6091</v>
      </c>
      <c r="B3440" s="626" t="s">
        <v>1908</v>
      </c>
      <c r="C3440" s="638" t="s">
        <v>104</v>
      </c>
      <c r="D3440" s="626" t="s">
        <v>2660</v>
      </c>
      <c r="E3440" s="636">
        <v>1400</v>
      </c>
      <c r="F3440" s="637" t="s">
        <v>7616</v>
      </c>
      <c r="G3440" s="626" t="s">
        <v>7617</v>
      </c>
      <c r="H3440" s="626" t="s">
        <v>2660</v>
      </c>
      <c r="I3440" s="638" t="s">
        <v>6099</v>
      </c>
      <c r="J3440" s="625" t="s">
        <v>6100</v>
      </c>
      <c r="K3440" s="626"/>
      <c r="L3440" s="638"/>
      <c r="M3440" s="714"/>
      <c r="N3440" s="638">
        <v>1</v>
      </c>
      <c r="O3440" s="626">
        <v>2</v>
      </c>
      <c r="P3440" s="712">
        <f t="shared" si="35"/>
        <v>2800</v>
      </c>
    </row>
    <row r="3441" spans="1:16" s="619" customFormat="1" ht="36" x14ac:dyDescent="0.2">
      <c r="A3441" s="626" t="s">
        <v>6091</v>
      </c>
      <c r="B3441" s="626" t="s">
        <v>1908</v>
      </c>
      <c r="C3441" s="638" t="s">
        <v>104</v>
      </c>
      <c r="D3441" s="626" t="s">
        <v>6179</v>
      </c>
      <c r="E3441" s="636">
        <v>3300</v>
      </c>
      <c r="F3441" s="637" t="s">
        <v>6338</v>
      </c>
      <c r="G3441" s="626" t="s">
        <v>6339</v>
      </c>
      <c r="H3441" s="626" t="s">
        <v>6179</v>
      </c>
      <c r="I3441" s="638" t="s">
        <v>6095</v>
      </c>
      <c r="J3441" s="625" t="s">
        <v>6096</v>
      </c>
      <c r="K3441" s="626"/>
      <c r="L3441" s="638"/>
      <c r="M3441" s="714"/>
      <c r="N3441" s="638">
        <v>1</v>
      </c>
      <c r="O3441" s="626">
        <v>1</v>
      </c>
      <c r="P3441" s="712">
        <f t="shared" si="35"/>
        <v>3300</v>
      </c>
    </row>
    <row r="3442" spans="1:16" s="619" customFormat="1" ht="36" x14ac:dyDescent="0.2">
      <c r="A3442" s="626" t="s">
        <v>6091</v>
      </c>
      <c r="B3442" s="626" t="s">
        <v>1908</v>
      </c>
      <c r="C3442" s="638" t="s">
        <v>104</v>
      </c>
      <c r="D3442" s="626" t="s">
        <v>6179</v>
      </c>
      <c r="E3442" s="636">
        <v>8000</v>
      </c>
      <c r="F3442" s="637" t="s">
        <v>6338</v>
      </c>
      <c r="G3442" s="626" t="s">
        <v>6339</v>
      </c>
      <c r="H3442" s="626" t="s">
        <v>6179</v>
      </c>
      <c r="I3442" s="638" t="s">
        <v>6095</v>
      </c>
      <c r="J3442" s="625" t="s">
        <v>6096</v>
      </c>
      <c r="K3442" s="626"/>
      <c r="L3442" s="638"/>
      <c r="M3442" s="714"/>
      <c r="N3442" s="638">
        <v>1</v>
      </c>
      <c r="O3442" s="626">
        <v>5</v>
      </c>
      <c r="P3442" s="712">
        <f t="shared" si="35"/>
        <v>40000</v>
      </c>
    </row>
    <row r="3443" spans="1:16" s="619" customFormat="1" ht="36" x14ac:dyDescent="0.2">
      <c r="A3443" s="626" t="s">
        <v>6091</v>
      </c>
      <c r="B3443" s="626" t="s">
        <v>1908</v>
      </c>
      <c r="C3443" s="638" t="s">
        <v>104</v>
      </c>
      <c r="D3443" s="626" t="s">
        <v>6179</v>
      </c>
      <c r="E3443" s="636">
        <v>3300</v>
      </c>
      <c r="F3443" s="637" t="s">
        <v>6491</v>
      </c>
      <c r="G3443" s="626" t="s">
        <v>6492</v>
      </c>
      <c r="H3443" s="626" t="s">
        <v>6179</v>
      </c>
      <c r="I3443" s="638" t="s">
        <v>6095</v>
      </c>
      <c r="J3443" s="625" t="s">
        <v>6096</v>
      </c>
      <c r="K3443" s="626"/>
      <c r="L3443" s="638"/>
      <c r="M3443" s="714"/>
      <c r="N3443" s="638">
        <v>1</v>
      </c>
      <c r="O3443" s="626">
        <v>4</v>
      </c>
      <c r="P3443" s="712">
        <f t="shared" si="35"/>
        <v>13200</v>
      </c>
    </row>
    <row r="3444" spans="1:16" s="619" customFormat="1" ht="36" x14ac:dyDescent="0.2">
      <c r="A3444" s="626" t="s">
        <v>6091</v>
      </c>
      <c r="B3444" s="626" t="s">
        <v>1908</v>
      </c>
      <c r="C3444" s="638" t="s">
        <v>104</v>
      </c>
      <c r="D3444" s="626" t="s">
        <v>6179</v>
      </c>
      <c r="E3444" s="636">
        <v>8000</v>
      </c>
      <c r="F3444" s="637" t="s">
        <v>6491</v>
      </c>
      <c r="G3444" s="626" t="s">
        <v>6492</v>
      </c>
      <c r="H3444" s="626" t="s">
        <v>6179</v>
      </c>
      <c r="I3444" s="638" t="s">
        <v>6095</v>
      </c>
      <c r="J3444" s="625" t="s">
        <v>6096</v>
      </c>
      <c r="K3444" s="626"/>
      <c r="L3444" s="638"/>
      <c r="M3444" s="714"/>
      <c r="N3444" s="638">
        <v>1</v>
      </c>
      <c r="O3444" s="626">
        <v>2</v>
      </c>
      <c r="P3444" s="712">
        <f t="shared" si="35"/>
        <v>16000</v>
      </c>
    </row>
    <row r="3445" spans="1:16" s="619" customFormat="1" ht="36" x14ac:dyDescent="0.2">
      <c r="A3445" s="626" t="s">
        <v>6091</v>
      </c>
      <c r="B3445" s="626" t="s">
        <v>1908</v>
      </c>
      <c r="C3445" s="638" t="s">
        <v>104</v>
      </c>
      <c r="D3445" s="626" t="s">
        <v>6092</v>
      </c>
      <c r="E3445" s="636">
        <v>2000</v>
      </c>
      <c r="F3445" s="637" t="s">
        <v>6736</v>
      </c>
      <c r="G3445" s="626" t="s">
        <v>6737</v>
      </c>
      <c r="H3445" s="626" t="s">
        <v>6092</v>
      </c>
      <c r="I3445" s="638" t="s">
        <v>6095</v>
      </c>
      <c r="J3445" s="625" t="s">
        <v>6096</v>
      </c>
      <c r="K3445" s="626"/>
      <c r="L3445" s="638"/>
      <c r="M3445" s="714"/>
      <c r="N3445" s="638">
        <v>1</v>
      </c>
      <c r="O3445" s="626">
        <v>5</v>
      </c>
      <c r="P3445" s="712">
        <f t="shared" si="35"/>
        <v>10000</v>
      </c>
    </row>
    <row r="3446" spans="1:16" s="619" customFormat="1" ht="36" x14ac:dyDescent="0.2">
      <c r="A3446" s="626" t="s">
        <v>6091</v>
      </c>
      <c r="B3446" s="626" t="s">
        <v>1908</v>
      </c>
      <c r="C3446" s="638" t="s">
        <v>104</v>
      </c>
      <c r="D3446" s="626" t="s">
        <v>6092</v>
      </c>
      <c r="E3446" s="636">
        <v>5000</v>
      </c>
      <c r="F3446" s="637" t="s">
        <v>6736</v>
      </c>
      <c r="G3446" s="626" t="s">
        <v>6737</v>
      </c>
      <c r="H3446" s="626" t="s">
        <v>6092</v>
      </c>
      <c r="I3446" s="638" t="s">
        <v>6095</v>
      </c>
      <c r="J3446" s="625" t="s">
        <v>6096</v>
      </c>
      <c r="K3446" s="626"/>
      <c r="L3446" s="638"/>
      <c r="M3446" s="714"/>
      <c r="N3446" s="638">
        <v>1</v>
      </c>
      <c r="O3446" s="626">
        <v>1</v>
      </c>
      <c r="P3446" s="712">
        <f t="shared" si="35"/>
        <v>5000</v>
      </c>
    </row>
    <row r="3447" spans="1:16" s="619" customFormat="1" ht="36" x14ac:dyDescent="0.2">
      <c r="A3447" s="626" t="s">
        <v>6091</v>
      </c>
      <c r="B3447" s="626" t="s">
        <v>1908</v>
      </c>
      <c r="C3447" s="638" t="s">
        <v>104</v>
      </c>
      <c r="D3447" s="626" t="s">
        <v>2660</v>
      </c>
      <c r="E3447" s="636">
        <v>1200</v>
      </c>
      <c r="F3447" s="637" t="s">
        <v>7618</v>
      </c>
      <c r="G3447" s="626" t="s">
        <v>7619</v>
      </c>
      <c r="H3447" s="626" t="s">
        <v>2660</v>
      </c>
      <c r="I3447" s="638" t="s">
        <v>6099</v>
      </c>
      <c r="J3447" s="625" t="s">
        <v>6100</v>
      </c>
      <c r="K3447" s="626"/>
      <c r="L3447" s="638"/>
      <c r="M3447" s="714"/>
      <c r="N3447" s="638">
        <v>1</v>
      </c>
      <c r="O3447" s="626">
        <v>2</v>
      </c>
      <c r="P3447" s="712">
        <f t="shared" si="35"/>
        <v>2400</v>
      </c>
    </row>
    <row r="3448" spans="1:16" s="619" customFormat="1" ht="36" x14ac:dyDescent="0.2">
      <c r="A3448" s="626" t="s">
        <v>6091</v>
      </c>
      <c r="B3448" s="626" t="s">
        <v>1908</v>
      </c>
      <c r="C3448" s="638" t="s">
        <v>104</v>
      </c>
      <c r="D3448" s="626" t="s">
        <v>2660</v>
      </c>
      <c r="E3448" s="636">
        <v>2300</v>
      </c>
      <c r="F3448" s="637" t="s">
        <v>7618</v>
      </c>
      <c r="G3448" s="626" t="s">
        <v>7619</v>
      </c>
      <c r="H3448" s="626" t="s">
        <v>2660</v>
      </c>
      <c r="I3448" s="638" t="s">
        <v>6099</v>
      </c>
      <c r="J3448" s="625" t="s">
        <v>6100</v>
      </c>
      <c r="K3448" s="626"/>
      <c r="L3448" s="638"/>
      <c r="M3448" s="714"/>
      <c r="N3448" s="638">
        <v>1</v>
      </c>
      <c r="O3448" s="626">
        <v>1</v>
      </c>
      <c r="P3448" s="712">
        <f t="shared" si="35"/>
        <v>2300</v>
      </c>
    </row>
    <row r="3449" spans="1:16" s="619" customFormat="1" ht="24" x14ac:dyDescent="0.2">
      <c r="A3449" s="626" t="s">
        <v>6091</v>
      </c>
      <c r="B3449" s="626" t="s">
        <v>1908</v>
      </c>
      <c r="C3449" s="638" t="s">
        <v>2015</v>
      </c>
      <c r="D3449" s="626" t="s">
        <v>3548</v>
      </c>
      <c r="E3449" s="636">
        <v>1100</v>
      </c>
      <c r="F3449" s="637">
        <v>45801179</v>
      </c>
      <c r="G3449" s="626" t="s">
        <v>7620</v>
      </c>
      <c r="H3449" s="626" t="s">
        <v>1919</v>
      </c>
      <c r="I3449" s="638" t="s">
        <v>1919</v>
      </c>
      <c r="J3449" s="625" t="s">
        <v>7621</v>
      </c>
      <c r="K3449" s="626">
        <v>1</v>
      </c>
      <c r="L3449" s="638">
        <v>2</v>
      </c>
      <c r="M3449" s="651">
        <v>2180</v>
      </c>
      <c r="N3449" s="638">
        <v>3</v>
      </c>
      <c r="O3449" s="626">
        <v>12</v>
      </c>
      <c r="P3449" s="655">
        <v>12070</v>
      </c>
    </row>
    <row r="3450" spans="1:16" s="619" customFormat="1" ht="36" x14ac:dyDescent="0.2">
      <c r="A3450" s="626" t="s">
        <v>6091</v>
      </c>
      <c r="B3450" s="626" t="s">
        <v>1908</v>
      </c>
      <c r="C3450" s="638" t="s">
        <v>2015</v>
      </c>
      <c r="D3450" s="626" t="s">
        <v>4782</v>
      </c>
      <c r="E3450" s="636">
        <v>1300</v>
      </c>
      <c r="F3450" s="637">
        <v>73749108</v>
      </c>
      <c r="G3450" s="626" t="s">
        <v>7622</v>
      </c>
      <c r="H3450" s="626" t="s">
        <v>7623</v>
      </c>
      <c r="I3450" s="638" t="s">
        <v>3768</v>
      </c>
      <c r="J3450" s="625" t="s">
        <v>7623</v>
      </c>
      <c r="K3450" s="626">
        <v>0</v>
      </c>
      <c r="L3450" s="638">
        <v>0</v>
      </c>
      <c r="M3450" s="651">
        <v>0</v>
      </c>
      <c r="N3450" s="638">
        <v>1</v>
      </c>
      <c r="O3450" s="626">
        <v>8</v>
      </c>
      <c r="P3450" s="655">
        <v>9620</v>
      </c>
    </row>
    <row r="3451" spans="1:16" s="619" customFormat="1" ht="36" x14ac:dyDescent="0.2">
      <c r="A3451" s="626" t="s">
        <v>6091</v>
      </c>
      <c r="B3451" s="626" t="s">
        <v>2032</v>
      </c>
      <c r="C3451" s="638" t="s">
        <v>2015</v>
      </c>
      <c r="D3451" s="626" t="s">
        <v>7624</v>
      </c>
      <c r="E3451" s="636">
        <v>1200</v>
      </c>
      <c r="F3451" s="637">
        <v>71380479</v>
      </c>
      <c r="G3451" s="626" t="s">
        <v>7625</v>
      </c>
      <c r="H3451" s="626" t="s">
        <v>7623</v>
      </c>
      <c r="I3451" s="638" t="s">
        <v>3768</v>
      </c>
      <c r="J3451" s="625" t="s">
        <v>7623</v>
      </c>
      <c r="K3451" s="626"/>
      <c r="L3451" s="638"/>
      <c r="M3451" s="651"/>
      <c r="N3451" s="638">
        <v>2</v>
      </c>
      <c r="O3451" s="626">
        <v>12</v>
      </c>
      <c r="P3451" s="655">
        <v>13720</v>
      </c>
    </row>
    <row r="3452" spans="1:16" s="619" customFormat="1" ht="24" x14ac:dyDescent="0.2">
      <c r="A3452" s="626" t="s">
        <v>6091</v>
      </c>
      <c r="B3452" s="626" t="s">
        <v>1908</v>
      </c>
      <c r="C3452" s="638" t="s">
        <v>2015</v>
      </c>
      <c r="D3452" s="626" t="s">
        <v>7626</v>
      </c>
      <c r="E3452" s="636">
        <v>1200</v>
      </c>
      <c r="F3452" s="637">
        <v>18010454</v>
      </c>
      <c r="G3452" s="626" t="s">
        <v>7627</v>
      </c>
      <c r="H3452" s="626" t="s">
        <v>7626</v>
      </c>
      <c r="I3452" s="638" t="s">
        <v>3768</v>
      </c>
      <c r="J3452" s="625" t="s">
        <v>7626</v>
      </c>
      <c r="K3452" s="626">
        <v>1</v>
      </c>
      <c r="L3452" s="638">
        <v>1</v>
      </c>
      <c r="M3452" s="651">
        <v>1200</v>
      </c>
      <c r="N3452" s="638">
        <v>1</v>
      </c>
      <c r="O3452" s="626">
        <v>1</v>
      </c>
      <c r="P3452" s="655">
        <v>1200</v>
      </c>
    </row>
    <row r="3453" spans="1:16" s="619" customFormat="1" ht="24" x14ac:dyDescent="0.2">
      <c r="A3453" s="626" t="s">
        <v>6091</v>
      </c>
      <c r="B3453" s="626" t="s">
        <v>1908</v>
      </c>
      <c r="C3453" s="638" t="s">
        <v>2015</v>
      </c>
      <c r="D3453" s="626" t="s">
        <v>7628</v>
      </c>
      <c r="E3453" s="636">
        <v>10000</v>
      </c>
      <c r="F3453" s="637">
        <v>44316758</v>
      </c>
      <c r="G3453" s="626" t="s">
        <v>7629</v>
      </c>
      <c r="H3453" s="626" t="s">
        <v>6182</v>
      </c>
      <c r="I3453" s="638" t="s">
        <v>3768</v>
      </c>
      <c r="J3453" s="625" t="s">
        <v>6182</v>
      </c>
      <c r="K3453" s="626"/>
      <c r="L3453" s="638"/>
      <c r="M3453" s="651"/>
      <c r="N3453" s="638">
        <v>1</v>
      </c>
      <c r="O3453" s="626">
        <v>12</v>
      </c>
      <c r="P3453" s="655">
        <v>120000</v>
      </c>
    </row>
    <row r="3454" spans="1:16" s="619" customFormat="1" ht="36" x14ac:dyDescent="0.2">
      <c r="A3454" s="626" t="s">
        <v>6091</v>
      </c>
      <c r="B3454" s="626" t="s">
        <v>1908</v>
      </c>
      <c r="C3454" s="638" t="s">
        <v>2015</v>
      </c>
      <c r="D3454" s="626" t="s">
        <v>4782</v>
      </c>
      <c r="E3454" s="636">
        <v>1500</v>
      </c>
      <c r="F3454" s="637">
        <v>45977287</v>
      </c>
      <c r="G3454" s="626" t="s">
        <v>7630</v>
      </c>
      <c r="H3454" s="626" t="s">
        <v>7631</v>
      </c>
      <c r="I3454" s="638" t="s">
        <v>3587</v>
      </c>
      <c r="J3454" s="625" t="s">
        <v>7631</v>
      </c>
      <c r="K3454" s="626"/>
      <c r="L3454" s="638"/>
      <c r="M3454" s="651"/>
      <c r="N3454" s="638">
        <v>2</v>
      </c>
      <c r="O3454" s="626">
        <v>8</v>
      </c>
      <c r="P3454" s="655">
        <v>12000</v>
      </c>
    </row>
    <row r="3455" spans="1:16" s="619" customFormat="1" ht="24" x14ac:dyDescent="0.2">
      <c r="A3455" s="626" t="s">
        <v>6091</v>
      </c>
      <c r="B3455" s="626" t="s">
        <v>1908</v>
      </c>
      <c r="C3455" s="638" t="s">
        <v>2015</v>
      </c>
      <c r="D3455" s="626" t="s">
        <v>3614</v>
      </c>
      <c r="E3455" s="636">
        <v>1100</v>
      </c>
      <c r="F3455" s="637">
        <v>46216940</v>
      </c>
      <c r="G3455" s="626" t="s">
        <v>7632</v>
      </c>
      <c r="H3455" s="626" t="s">
        <v>1919</v>
      </c>
      <c r="I3455" s="638" t="s">
        <v>1919</v>
      </c>
      <c r="J3455" s="625" t="s">
        <v>7621</v>
      </c>
      <c r="K3455" s="626">
        <v>1100</v>
      </c>
      <c r="L3455" s="638">
        <v>12</v>
      </c>
      <c r="M3455" s="651">
        <v>12100</v>
      </c>
      <c r="N3455" s="638">
        <v>2</v>
      </c>
      <c r="O3455" s="626">
        <v>12</v>
      </c>
      <c r="P3455" s="655">
        <v>13200</v>
      </c>
    </row>
    <row r="3456" spans="1:16" s="619" customFormat="1" ht="36" x14ac:dyDescent="0.2">
      <c r="A3456" s="626" t="s">
        <v>6091</v>
      </c>
      <c r="B3456" s="626" t="s">
        <v>2032</v>
      </c>
      <c r="C3456" s="638" t="s">
        <v>2015</v>
      </c>
      <c r="D3456" s="626" t="s">
        <v>7624</v>
      </c>
      <c r="E3456" s="636">
        <v>1100</v>
      </c>
      <c r="F3456" s="637">
        <v>72134153</v>
      </c>
      <c r="G3456" s="626" t="s">
        <v>7633</v>
      </c>
      <c r="H3456" s="626" t="s">
        <v>4020</v>
      </c>
      <c r="I3456" s="638" t="s">
        <v>3587</v>
      </c>
      <c r="J3456" s="625" t="s">
        <v>4020</v>
      </c>
      <c r="K3456" s="626"/>
      <c r="L3456" s="638"/>
      <c r="M3456" s="651"/>
      <c r="N3456" s="638">
        <v>1</v>
      </c>
      <c r="O3456" s="626">
        <v>7</v>
      </c>
      <c r="P3456" s="655">
        <v>7700</v>
      </c>
    </row>
    <row r="3457" spans="1:16" s="619" customFormat="1" ht="48" x14ac:dyDescent="0.2">
      <c r="A3457" s="626" t="s">
        <v>6091</v>
      </c>
      <c r="B3457" s="626" t="s">
        <v>1908</v>
      </c>
      <c r="C3457" s="638" t="s">
        <v>2015</v>
      </c>
      <c r="D3457" s="626" t="s">
        <v>4782</v>
      </c>
      <c r="E3457" s="636">
        <v>2100</v>
      </c>
      <c r="F3457" s="637">
        <v>71521410</v>
      </c>
      <c r="G3457" s="626" t="s">
        <v>7634</v>
      </c>
      <c r="H3457" s="626" t="s">
        <v>2241</v>
      </c>
      <c r="I3457" s="638" t="s">
        <v>3768</v>
      </c>
      <c r="J3457" s="625" t="s">
        <v>2241</v>
      </c>
      <c r="K3457" s="626"/>
      <c r="L3457" s="638"/>
      <c r="M3457" s="651"/>
      <c r="N3457" s="638">
        <v>2</v>
      </c>
      <c r="O3457" s="626">
        <v>3</v>
      </c>
      <c r="P3457" s="655">
        <v>5320</v>
      </c>
    </row>
    <row r="3458" spans="1:16" s="619" customFormat="1" ht="36" x14ac:dyDescent="0.2">
      <c r="A3458" s="626" t="s">
        <v>6091</v>
      </c>
      <c r="B3458" s="626" t="s">
        <v>1908</v>
      </c>
      <c r="C3458" s="638" t="s">
        <v>2015</v>
      </c>
      <c r="D3458" s="626" t="s">
        <v>4782</v>
      </c>
      <c r="E3458" s="636">
        <v>1490</v>
      </c>
      <c r="F3458" s="637">
        <v>70575491</v>
      </c>
      <c r="G3458" s="626" t="s">
        <v>7635</v>
      </c>
      <c r="H3458" s="626" t="s">
        <v>2946</v>
      </c>
      <c r="I3458" s="638" t="s">
        <v>3768</v>
      </c>
      <c r="J3458" s="625" t="s">
        <v>2946</v>
      </c>
      <c r="K3458" s="626">
        <v>1300</v>
      </c>
      <c r="L3458" s="638">
        <v>8</v>
      </c>
      <c r="M3458" s="651">
        <v>11120</v>
      </c>
      <c r="N3458" s="638">
        <v>1</v>
      </c>
      <c r="O3458" s="626">
        <v>1</v>
      </c>
      <c r="P3458" s="655">
        <v>1490</v>
      </c>
    </row>
    <row r="3459" spans="1:16" s="619" customFormat="1" ht="24" x14ac:dyDescent="0.2">
      <c r="A3459" s="626" t="s">
        <v>6091</v>
      </c>
      <c r="B3459" s="626" t="s">
        <v>2032</v>
      </c>
      <c r="C3459" s="638" t="s">
        <v>2015</v>
      </c>
      <c r="D3459" s="626" t="s">
        <v>7624</v>
      </c>
      <c r="E3459" s="636">
        <v>1100</v>
      </c>
      <c r="F3459" s="637">
        <v>75982472</v>
      </c>
      <c r="G3459" s="626" t="s">
        <v>7636</v>
      </c>
      <c r="H3459" s="626" t="s">
        <v>2660</v>
      </c>
      <c r="I3459" s="638" t="s">
        <v>3768</v>
      </c>
      <c r="J3459" s="625" t="s">
        <v>2660</v>
      </c>
      <c r="K3459" s="626">
        <v>1</v>
      </c>
      <c r="L3459" s="638">
        <v>12</v>
      </c>
      <c r="M3459" s="655">
        <v>13200</v>
      </c>
      <c r="N3459" s="638">
        <v>2</v>
      </c>
      <c r="O3459" s="626">
        <v>12</v>
      </c>
      <c r="P3459" s="655">
        <v>13330</v>
      </c>
    </row>
    <row r="3460" spans="1:16" s="619" customFormat="1" ht="36" x14ac:dyDescent="0.2">
      <c r="A3460" s="626" t="s">
        <v>6091</v>
      </c>
      <c r="B3460" s="626" t="s">
        <v>2032</v>
      </c>
      <c r="C3460" s="638" t="s">
        <v>2015</v>
      </c>
      <c r="D3460" s="626" t="s">
        <v>4782</v>
      </c>
      <c r="E3460" s="636">
        <v>1200</v>
      </c>
      <c r="F3460" s="637">
        <v>47368249</v>
      </c>
      <c r="G3460" s="626" t="s">
        <v>7637</v>
      </c>
      <c r="H3460" s="626" t="s">
        <v>7623</v>
      </c>
      <c r="I3460" s="638" t="s">
        <v>3768</v>
      </c>
      <c r="J3460" s="625" t="s">
        <v>7623</v>
      </c>
      <c r="K3460" s="626"/>
      <c r="L3460" s="638"/>
      <c r="M3460" s="651"/>
      <c r="N3460" s="638">
        <v>1</v>
      </c>
      <c r="O3460" s="626">
        <v>7</v>
      </c>
      <c r="P3460" s="655">
        <v>8400</v>
      </c>
    </row>
    <row r="3461" spans="1:16" s="619" customFormat="1" ht="36" x14ac:dyDescent="0.2">
      <c r="A3461" s="626" t="s">
        <v>6091</v>
      </c>
      <c r="B3461" s="626" t="s">
        <v>2032</v>
      </c>
      <c r="C3461" s="638" t="s">
        <v>2015</v>
      </c>
      <c r="D3461" s="626" t="s">
        <v>7624</v>
      </c>
      <c r="E3461" s="636">
        <v>1200</v>
      </c>
      <c r="F3461" s="637">
        <v>76971101</v>
      </c>
      <c r="G3461" s="626" t="s">
        <v>7638</v>
      </c>
      <c r="H3461" s="626" t="s">
        <v>2660</v>
      </c>
      <c r="I3461" s="638" t="s">
        <v>3768</v>
      </c>
      <c r="J3461" s="625" t="s">
        <v>2660</v>
      </c>
      <c r="K3461" s="626"/>
      <c r="L3461" s="638"/>
      <c r="M3461" s="651"/>
      <c r="N3461" s="638">
        <v>1</v>
      </c>
      <c r="O3461" s="626">
        <v>2</v>
      </c>
      <c r="P3461" s="655">
        <v>2230</v>
      </c>
    </row>
    <row r="3462" spans="1:16" s="619" customFormat="1" ht="36" x14ac:dyDescent="0.2">
      <c r="A3462" s="626" t="s">
        <v>6091</v>
      </c>
      <c r="B3462" s="626" t="s">
        <v>2032</v>
      </c>
      <c r="C3462" s="638" t="s">
        <v>2015</v>
      </c>
      <c r="D3462" s="626" t="s">
        <v>7624</v>
      </c>
      <c r="E3462" s="636">
        <v>1200</v>
      </c>
      <c r="F3462" s="637">
        <v>70807250</v>
      </c>
      <c r="G3462" s="626" t="s">
        <v>7639</v>
      </c>
      <c r="H3462" s="626" t="s">
        <v>2660</v>
      </c>
      <c r="I3462" s="638" t="s">
        <v>3768</v>
      </c>
      <c r="J3462" s="625" t="s">
        <v>2660</v>
      </c>
      <c r="K3462" s="626"/>
      <c r="L3462" s="638"/>
      <c r="M3462" s="651"/>
      <c r="N3462" s="638">
        <v>1</v>
      </c>
      <c r="O3462" s="626">
        <v>2</v>
      </c>
      <c r="P3462" s="655">
        <v>1760</v>
      </c>
    </row>
    <row r="3463" spans="1:16" s="619" customFormat="1" ht="36" x14ac:dyDescent="0.2">
      <c r="A3463" s="626" t="s">
        <v>6091</v>
      </c>
      <c r="B3463" s="626" t="s">
        <v>2032</v>
      </c>
      <c r="C3463" s="638" t="s">
        <v>2015</v>
      </c>
      <c r="D3463" s="626" t="s">
        <v>7624</v>
      </c>
      <c r="E3463" s="636">
        <v>1200</v>
      </c>
      <c r="F3463" s="637">
        <v>42867075</v>
      </c>
      <c r="G3463" s="626" t="s">
        <v>7640</v>
      </c>
      <c r="H3463" s="626" t="s">
        <v>1959</v>
      </c>
      <c r="I3463" s="638" t="s">
        <v>3768</v>
      </c>
      <c r="J3463" s="625" t="s">
        <v>1959</v>
      </c>
      <c r="K3463" s="626"/>
      <c r="L3463" s="638"/>
      <c r="M3463" s="651"/>
      <c r="N3463" s="638">
        <v>1</v>
      </c>
      <c r="O3463" s="626">
        <v>12</v>
      </c>
      <c r="P3463" s="655">
        <v>14330</v>
      </c>
    </row>
    <row r="3464" spans="1:16" s="619" customFormat="1" ht="36" x14ac:dyDescent="0.2">
      <c r="A3464" s="626" t="s">
        <v>6091</v>
      </c>
      <c r="B3464" s="626" t="s">
        <v>2032</v>
      </c>
      <c r="C3464" s="638" t="s">
        <v>2015</v>
      </c>
      <c r="D3464" s="626" t="s">
        <v>7624</v>
      </c>
      <c r="E3464" s="636">
        <v>1200</v>
      </c>
      <c r="F3464" s="637">
        <v>43544584</v>
      </c>
      <c r="G3464" s="626" t="s">
        <v>7641</v>
      </c>
      <c r="H3464" s="626" t="s">
        <v>1959</v>
      </c>
      <c r="I3464" s="638" t="s">
        <v>3768</v>
      </c>
      <c r="J3464" s="625" t="s">
        <v>1959</v>
      </c>
      <c r="K3464" s="626"/>
      <c r="L3464" s="638"/>
      <c r="M3464" s="651"/>
      <c r="N3464" s="638">
        <v>1</v>
      </c>
      <c r="O3464" s="626">
        <v>2</v>
      </c>
      <c r="P3464" s="655">
        <v>2330</v>
      </c>
    </row>
    <row r="3465" spans="1:16" s="619" customFormat="1" ht="36" x14ac:dyDescent="0.2">
      <c r="A3465" s="626" t="s">
        <v>6091</v>
      </c>
      <c r="B3465" s="626" t="s">
        <v>2032</v>
      </c>
      <c r="C3465" s="638" t="s">
        <v>2015</v>
      </c>
      <c r="D3465" s="626" t="s">
        <v>7624</v>
      </c>
      <c r="E3465" s="636">
        <v>1200</v>
      </c>
      <c r="F3465" s="637">
        <v>16803602</v>
      </c>
      <c r="G3465" s="626" t="s">
        <v>7642</v>
      </c>
      <c r="H3465" s="626" t="s">
        <v>1959</v>
      </c>
      <c r="I3465" s="638" t="s">
        <v>3768</v>
      </c>
      <c r="J3465" s="625" t="s">
        <v>1959</v>
      </c>
      <c r="K3465" s="626">
        <v>1</v>
      </c>
      <c r="L3465" s="638">
        <v>12</v>
      </c>
      <c r="M3465" s="655">
        <v>14400</v>
      </c>
      <c r="N3465" s="638">
        <v>1</v>
      </c>
      <c r="O3465" s="626">
        <v>12</v>
      </c>
      <c r="P3465" s="655">
        <v>14330</v>
      </c>
    </row>
    <row r="3466" spans="1:16" s="619" customFormat="1" ht="24" x14ac:dyDescent="0.2">
      <c r="A3466" s="626" t="s">
        <v>6091</v>
      </c>
      <c r="B3466" s="626" t="s">
        <v>1908</v>
      </c>
      <c r="C3466" s="638" t="s">
        <v>2015</v>
      </c>
      <c r="D3466" s="626" t="s">
        <v>4782</v>
      </c>
      <c r="E3466" s="636">
        <v>1100</v>
      </c>
      <c r="F3466" s="637">
        <v>41907756</v>
      </c>
      <c r="G3466" s="626" t="s">
        <v>7643</v>
      </c>
      <c r="H3466" s="626" t="s">
        <v>1919</v>
      </c>
      <c r="I3466" s="638" t="s">
        <v>1919</v>
      </c>
      <c r="J3466" s="625" t="s">
        <v>7621</v>
      </c>
      <c r="K3466" s="626">
        <v>5</v>
      </c>
      <c r="L3466" s="638">
        <v>12</v>
      </c>
      <c r="M3466" s="655">
        <v>13090</v>
      </c>
      <c r="N3466" s="638">
        <v>3</v>
      </c>
      <c r="O3466" s="626">
        <v>12</v>
      </c>
      <c r="P3466" s="655">
        <v>13200</v>
      </c>
    </row>
    <row r="3467" spans="1:16" s="619" customFormat="1" ht="36" x14ac:dyDescent="0.2">
      <c r="A3467" s="626" t="s">
        <v>6091</v>
      </c>
      <c r="B3467" s="626" t="s">
        <v>2032</v>
      </c>
      <c r="C3467" s="638" t="s">
        <v>2015</v>
      </c>
      <c r="D3467" s="626" t="s">
        <v>7644</v>
      </c>
      <c r="E3467" s="636">
        <v>2000</v>
      </c>
      <c r="F3467" s="637">
        <v>72978792</v>
      </c>
      <c r="G3467" s="626" t="s">
        <v>7645</v>
      </c>
      <c r="H3467" s="626" t="s">
        <v>7646</v>
      </c>
      <c r="I3467" s="638" t="s">
        <v>3587</v>
      </c>
      <c r="J3467" s="625" t="s">
        <v>7646</v>
      </c>
      <c r="K3467" s="626"/>
      <c r="L3467" s="638"/>
      <c r="M3467" s="651"/>
      <c r="N3467" s="638">
        <v>1</v>
      </c>
      <c r="O3467" s="626">
        <v>12</v>
      </c>
      <c r="P3467" s="655">
        <v>23866.66</v>
      </c>
    </row>
    <row r="3468" spans="1:16" s="619" customFormat="1" ht="36" x14ac:dyDescent="0.2">
      <c r="A3468" s="626" t="s">
        <v>6091</v>
      </c>
      <c r="B3468" s="626" t="s">
        <v>2032</v>
      </c>
      <c r="C3468" s="638" t="s">
        <v>2015</v>
      </c>
      <c r="D3468" s="626" t="s">
        <v>7647</v>
      </c>
      <c r="E3468" s="636">
        <v>2000</v>
      </c>
      <c r="F3468" s="637">
        <v>71086293</v>
      </c>
      <c r="G3468" s="626" t="s">
        <v>7648</v>
      </c>
      <c r="H3468" s="626" t="s">
        <v>7646</v>
      </c>
      <c r="I3468" s="638" t="s">
        <v>3587</v>
      </c>
      <c r="J3468" s="625" t="s">
        <v>7646</v>
      </c>
      <c r="K3468" s="626"/>
      <c r="L3468" s="638"/>
      <c r="M3468" s="651"/>
      <c r="N3468" s="638">
        <v>1</v>
      </c>
      <c r="O3468" s="626">
        <v>12</v>
      </c>
      <c r="P3468" s="655">
        <v>23866.66</v>
      </c>
    </row>
    <row r="3469" spans="1:16" s="619" customFormat="1" ht="36" x14ac:dyDescent="0.2">
      <c r="A3469" s="626" t="s">
        <v>6091</v>
      </c>
      <c r="B3469" s="626" t="s">
        <v>1908</v>
      </c>
      <c r="C3469" s="638" t="s">
        <v>2015</v>
      </c>
      <c r="D3469" s="626" t="s">
        <v>4782</v>
      </c>
      <c r="E3469" s="636">
        <v>1100</v>
      </c>
      <c r="F3469" s="637">
        <v>71086293</v>
      </c>
      <c r="G3469" s="626" t="s">
        <v>7649</v>
      </c>
      <c r="H3469" s="626" t="s">
        <v>1919</v>
      </c>
      <c r="I3469" s="638" t="s">
        <v>1919</v>
      </c>
      <c r="J3469" s="625" t="s">
        <v>7621</v>
      </c>
      <c r="K3469" s="626"/>
      <c r="L3469" s="638"/>
      <c r="M3469" s="651"/>
      <c r="N3469" s="638">
        <v>1</v>
      </c>
      <c r="O3469" s="626">
        <v>5</v>
      </c>
      <c r="P3469" s="655">
        <v>8633</v>
      </c>
    </row>
    <row r="3470" spans="1:16" s="619" customFormat="1" ht="36" x14ac:dyDescent="0.2">
      <c r="A3470" s="626" t="s">
        <v>6091</v>
      </c>
      <c r="B3470" s="626" t="s">
        <v>2032</v>
      </c>
      <c r="C3470" s="638" t="s">
        <v>2015</v>
      </c>
      <c r="D3470" s="626" t="s">
        <v>7624</v>
      </c>
      <c r="E3470" s="636">
        <v>1200</v>
      </c>
      <c r="F3470" s="637">
        <v>4524508</v>
      </c>
      <c r="G3470" s="626" t="s">
        <v>7650</v>
      </c>
      <c r="H3470" s="626" t="s">
        <v>1959</v>
      </c>
      <c r="I3470" s="638" t="s">
        <v>3768</v>
      </c>
      <c r="J3470" s="625" t="s">
        <v>1959</v>
      </c>
      <c r="K3470" s="626"/>
      <c r="L3470" s="638"/>
      <c r="M3470" s="651"/>
      <c r="N3470" s="638">
        <v>1</v>
      </c>
      <c r="O3470" s="626">
        <v>12</v>
      </c>
      <c r="P3470" s="655">
        <v>14330</v>
      </c>
    </row>
    <row r="3471" spans="1:16" s="619" customFormat="1" ht="36" x14ac:dyDescent="0.2">
      <c r="A3471" s="626" t="s">
        <v>6091</v>
      </c>
      <c r="B3471" s="626" t="s">
        <v>2032</v>
      </c>
      <c r="C3471" s="638" t="s">
        <v>2015</v>
      </c>
      <c r="D3471" s="626" t="s">
        <v>7624</v>
      </c>
      <c r="E3471" s="636">
        <v>1200</v>
      </c>
      <c r="F3471" s="637">
        <v>45921171</v>
      </c>
      <c r="G3471" s="626" t="s">
        <v>7651</v>
      </c>
      <c r="H3471" s="626" t="s">
        <v>1959</v>
      </c>
      <c r="I3471" s="638" t="s">
        <v>3768</v>
      </c>
      <c r="J3471" s="625" t="s">
        <v>1959</v>
      </c>
      <c r="K3471" s="626">
        <v>1</v>
      </c>
      <c r="L3471" s="638">
        <v>12</v>
      </c>
      <c r="M3471" s="655">
        <v>14400</v>
      </c>
      <c r="N3471" s="638">
        <v>1</v>
      </c>
      <c r="O3471" s="626">
        <v>12</v>
      </c>
      <c r="P3471" s="655">
        <v>14330</v>
      </c>
    </row>
    <row r="3472" spans="1:16" s="619" customFormat="1" ht="36" x14ac:dyDescent="0.2">
      <c r="A3472" s="626" t="s">
        <v>6091</v>
      </c>
      <c r="B3472" s="626" t="s">
        <v>1908</v>
      </c>
      <c r="C3472" s="638" t="s">
        <v>2015</v>
      </c>
      <c r="D3472" s="626" t="s">
        <v>7647</v>
      </c>
      <c r="E3472" s="636">
        <v>1300</v>
      </c>
      <c r="F3472" s="637">
        <v>43490001</v>
      </c>
      <c r="G3472" s="626" t="s">
        <v>7652</v>
      </c>
      <c r="H3472" s="626" t="s">
        <v>1959</v>
      </c>
      <c r="I3472" s="638" t="s">
        <v>3768</v>
      </c>
      <c r="J3472" s="625" t="s">
        <v>1959</v>
      </c>
      <c r="K3472" s="626"/>
      <c r="L3472" s="638"/>
      <c r="M3472" s="651"/>
      <c r="N3472" s="638">
        <v>2</v>
      </c>
      <c r="O3472" s="626">
        <v>12</v>
      </c>
      <c r="P3472" s="655">
        <v>14400</v>
      </c>
    </row>
    <row r="3473" spans="1:16" s="619" customFormat="1" ht="36" x14ac:dyDescent="0.2">
      <c r="A3473" s="626" t="s">
        <v>6091</v>
      </c>
      <c r="B3473" s="626" t="s">
        <v>2032</v>
      </c>
      <c r="C3473" s="638" t="s">
        <v>2015</v>
      </c>
      <c r="D3473" s="626" t="s">
        <v>7624</v>
      </c>
      <c r="E3473" s="636">
        <v>1200</v>
      </c>
      <c r="F3473" s="637">
        <v>33738819</v>
      </c>
      <c r="G3473" s="626" t="s">
        <v>7653</v>
      </c>
      <c r="H3473" s="626" t="s">
        <v>2660</v>
      </c>
      <c r="I3473" s="638" t="s">
        <v>3768</v>
      </c>
      <c r="J3473" s="625" t="s">
        <v>2660</v>
      </c>
      <c r="K3473" s="626"/>
      <c r="L3473" s="638"/>
      <c r="M3473" s="651"/>
      <c r="N3473" s="638">
        <v>1</v>
      </c>
      <c r="O3473" s="626">
        <v>2</v>
      </c>
      <c r="P3473" s="655">
        <v>2320</v>
      </c>
    </row>
    <row r="3474" spans="1:16" s="619" customFormat="1" ht="48" x14ac:dyDescent="0.2">
      <c r="A3474" s="626" t="s">
        <v>6091</v>
      </c>
      <c r="B3474" s="626" t="s">
        <v>1908</v>
      </c>
      <c r="C3474" s="638" t="s">
        <v>2015</v>
      </c>
      <c r="D3474" s="626" t="s">
        <v>7654</v>
      </c>
      <c r="E3474" s="636">
        <v>1090</v>
      </c>
      <c r="F3474" s="637">
        <v>73902358</v>
      </c>
      <c r="G3474" s="626" t="s">
        <v>7655</v>
      </c>
      <c r="H3474" s="626" t="s">
        <v>1919</v>
      </c>
      <c r="I3474" s="638" t="s">
        <v>1919</v>
      </c>
      <c r="J3474" s="625" t="s">
        <v>7621</v>
      </c>
      <c r="K3474" s="626"/>
      <c r="L3474" s="638"/>
      <c r="M3474" s="651"/>
      <c r="N3474" s="638">
        <v>1</v>
      </c>
      <c r="O3474" s="626">
        <v>2</v>
      </c>
      <c r="P3474" s="655">
        <v>2180</v>
      </c>
    </row>
    <row r="3475" spans="1:16" s="619" customFormat="1" ht="48" x14ac:dyDescent="0.2">
      <c r="A3475" s="626" t="s">
        <v>6091</v>
      </c>
      <c r="B3475" s="626" t="s">
        <v>1908</v>
      </c>
      <c r="C3475" s="638" t="s">
        <v>2015</v>
      </c>
      <c r="D3475" s="626" t="s">
        <v>4782</v>
      </c>
      <c r="E3475" s="636">
        <v>1500</v>
      </c>
      <c r="F3475" s="637">
        <v>45460384</v>
      </c>
      <c r="G3475" s="626" t="s">
        <v>7656</v>
      </c>
      <c r="H3475" s="626" t="s">
        <v>7657</v>
      </c>
      <c r="I3475" s="638" t="s">
        <v>3587</v>
      </c>
      <c r="J3475" s="625" t="s">
        <v>7657</v>
      </c>
      <c r="K3475" s="626"/>
      <c r="L3475" s="638"/>
      <c r="M3475" s="651"/>
      <c r="N3475" s="638">
        <v>1</v>
      </c>
      <c r="O3475" s="626">
        <v>3</v>
      </c>
      <c r="P3475" s="655">
        <v>4500</v>
      </c>
    </row>
    <row r="3476" spans="1:16" s="619" customFormat="1" ht="48" x14ac:dyDescent="0.2">
      <c r="A3476" s="626" t="s">
        <v>6091</v>
      </c>
      <c r="B3476" s="626" t="s">
        <v>2275</v>
      </c>
      <c r="C3476" s="638" t="s">
        <v>2015</v>
      </c>
      <c r="D3476" s="626" t="s">
        <v>4782</v>
      </c>
      <c r="E3476" s="636">
        <v>1300</v>
      </c>
      <c r="F3476" s="637">
        <v>72248319</v>
      </c>
      <c r="G3476" s="626" t="s">
        <v>3455</v>
      </c>
      <c r="H3476" s="626" t="s">
        <v>7658</v>
      </c>
      <c r="I3476" s="638" t="s">
        <v>3768</v>
      </c>
      <c r="J3476" s="625" t="s">
        <v>7658</v>
      </c>
      <c r="K3476" s="626"/>
      <c r="L3476" s="638"/>
      <c r="M3476" s="651"/>
      <c r="N3476" s="638">
        <v>1</v>
      </c>
      <c r="O3476" s="626">
        <v>1</v>
      </c>
      <c r="P3476" s="655">
        <v>770</v>
      </c>
    </row>
    <row r="3477" spans="1:16" s="619" customFormat="1" ht="36" x14ac:dyDescent="0.2">
      <c r="A3477" s="626" t="s">
        <v>6091</v>
      </c>
      <c r="B3477" s="626" t="s">
        <v>2032</v>
      </c>
      <c r="C3477" s="638" t="s">
        <v>2015</v>
      </c>
      <c r="D3477" s="626" t="s">
        <v>7624</v>
      </c>
      <c r="E3477" s="636">
        <v>1200</v>
      </c>
      <c r="F3477" s="637">
        <v>46240220</v>
      </c>
      <c r="G3477" s="626" t="s">
        <v>7659</v>
      </c>
      <c r="H3477" s="626" t="s">
        <v>1959</v>
      </c>
      <c r="I3477" s="638" t="s">
        <v>3768</v>
      </c>
      <c r="J3477" s="625" t="s">
        <v>1959</v>
      </c>
      <c r="K3477" s="626"/>
      <c r="L3477" s="638"/>
      <c r="M3477" s="651"/>
      <c r="N3477" s="638">
        <v>1</v>
      </c>
      <c r="O3477" s="626">
        <v>12</v>
      </c>
      <c r="P3477" s="655">
        <v>14330</v>
      </c>
    </row>
    <row r="3478" spans="1:16" s="619" customFormat="1" ht="36" x14ac:dyDescent="0.2">
      <c r="A3478" s="626" t="s">
        <v>6091</v>
      </c>
      <c r="B3478" s="626" t="s">
        <v>2032</v>
      </c>
      <c r="C3478" s="638" t="s">
        <v>2015</v>
      </c>
      <c r="D3478" s="626" t="s">
        <v>7624</v>
      </c>
      <c r="E3478" s="636">
        <v>1100</v>
      </c>
      <c r="F3478" s="637">
        <v>3360132</v>
      </c>
      <c r="G3478" s="626" t="s">
        <v>7660</v>
      </c>
      <c r="H3478" s="626" t="s">
        <v>1919</v>
      </c>
      <c r="I3478" s="638" t="s">
        <v>1919</v>
      </c>
      <c r="J3478" s="625" t="s">
        <v>1919</v>
      </c>
      <c r="K3478" s="626"/>
      <c r="L3478" s="638"/>
      <c r="M3478" s="651"/>
      <c r="N3478" s="638">
        <v>1</v>
      </c>
      <c r="O3478" s="626">
        <v>1</v>
      </c>
      <c r="P3478" s="655">
        <v>1036</v>
      </c>
    </row>
    <row r="3479" spans="1:16" s="619" customFormat="1" ht="24" x14ac:dyDescent="0.2">
      <c r="A3479" s="626" t="s">
        <v>6091</v>
      </c>
      <c r="B3479" s="626" t="s">
        <v>1908</v>
      </c>
      <c r="C3479" s="638" t="s">
        <v>2015</v>
      </c>
      <c r="D3479" s="626" t="s">
        <v>7624</v>
      </c>
      <c r="E3479" s="636">
        <v>1200</v>
      </c>
      <c r="F3479" s="637">
        <v>74622631</v>
      </c>
      <c r="G3479" s="626" t="s">
        <v>7661</v>
      </c>
      <c r="H3479" s="626" t="s">
        <v>2660</v>
      </c>
      <c r="I3479" s="638" t="s">
        <v>3768</v>
      </c>
      <c r="J3479" s="625" t="s">
        <v>2660</v>
      </c>
      <c r="K3479" s="626"/>
      <c r="L3479" s="638"/>
      <c r="M3479" s="651"/>
      <c r="N3479" s="638">
        <v>1</v>
      </c>
      <c r="O3479" s="626">
        <v>3</v>
      </c>
      <c r="P3479" s="655">
        <v>3600</v>
      </c>
    </row>
    <row r="3480" spans="1:16" s="619" customFormat="1" ht="36" x14ac:dyDescent="0.2">
      <c r="A3480" s="626" t="s">
        <v>6091</v>
      </c>
      <c r="B3480" s="626" t="s">
        <v>1908</v>
      </c>
      <c r="C3480" s="638" t="s">
        <v>2015</v>
      </c>
      <c r="D3480" s="626" t="s">
        <v>3545</v>
      </c>
      <c r="E3480" s="636">
        <v>1200</v>
      </c>
      <c r="F3480" s="637">
        <v>70807184</v>
      </c>
      <c r="G3480" s="626" t="s">
        <v>7662</v>
      </c>
      <c r="H3480" s="626" t="s">
        <v>7663</v>
      </c>
      <c r="I3480" s="638" t="s">
        <v>4354</v>
      </c>
      <c r="J3480" s="625" t="s">
        <v>7663</v>
      </c>
      <c r="K3480" s="626"/>
      <c r="L3480" s="638"/>
      <c r="M3480" s="651"/>
      <c r="N3480" s="638">
        <v>1</v>
      </c>
      <c r="O3480" s="626">
        <v>5</v>
      </c>
      <c r="P3480" s="655">
        <v>6000</v>
      </c>
    </row>
    <row r="3481" spans="1:16" s="619" customFormat="1" ht="24" x14ac:dyDescent="0.2">
      <c r="A3481" s="626" t="s">
        <v>6091</v>
      </c>
      <c r="B3481" s="626" t="s">
        <v>1908</v>
      </c>
      <c r="C3481" s="638" t="s">
        <v>2015</v>
      </c>
      <c r="D3481" s="626" t="s">
        <v>3545</v>
      </c>
      <c r="E3481" s="636">
        <v>1300</v>
      </c>
      <c r="F3481" s="637">
        <v>73480905</v>
      </c>
      <c r="G3481" s="626" t="s">
        <v>7664</v>
      </c>
      <c r="H3481" s="626" t="s">
        <v>7665</v>
      </c>
      <c r="I3481" s="638" t="s">
        <v>3768</v>
      </c>
      <c r="J3481" s="625" t="s">
        <v>7665</v>
      </c>
      <c r="K3481" s="626"/>
      <c r="L3481" s="638"/>
      <c r="M3481" s="651"/>
      <c r="N3481" s="638">
        <v>1</v>
      </c>
      <c r="O3481" s="626">
        <v>6</v>
      </c>
      <c r="P3481" s="655">
        <v>9000</v>
      </c>
    </row>
    <row r="3482" spans="1:16" s="619" customFormat="1" ht="48" x14ac:dyDescent="0.2">
      <c r="A3482" s="626" t="s">
        <v>6091</v>
      </c>
      <c r="B3482" s="626" t="s">
        <v>1908</v>
      </c>
      <c r="C3482" s="638" t="s">
        <v>2015</v>
      </c>
      <c r="D3482" s="626" t="s">
        <v>3548</v>
      </c>
      <c r="E3482" s="636">
        <v>1100</v>
      </c>
      <c r="F3482" s="637">
        <v>70053304</v>
      </c>
      <c r="G3482" s="626" t="s">
        <v>7666</v>
      </c>
      <c r="H3482" s="626" t="s">
        <v>7667</v>
      </c>
      <c r="I3482" s="638" t="s">
        <v>4354</v>
      </c>
      <c r="J3482" s="625" t="s">
        <v>7667</v>
      </c>
      <c r="K3482" s="626"/>
      <c r="L3482" s="638"/>
      <c r="M3482" s="651"/>
      <c r="N3482" s="638">
        <v>3</v>
      </c>
      <c r="O3482" s="626">
        <v>12</v>
      </c>
      <c r="P3482" s="655">
        <v>12100</v>
      </c>
    </row>
    <row r="3483" spans="1:16" s="619" customFormat="1" ht="48" x14ac:dyDescent="0.2">
      <c r="A3483" s="626" t="s">
        <v>6091</v>
      </c>
      <c r="B3483" s="626" t="s">
        <v>2032</v>
      </c>
      <c r="C3483" s="638" t="s">
        <v>2015</v>
      </c>
      <c r="D3483" s="626" t="s">
        <v>7624</v>
      </c>
      <c r="E3483" s="636">
        <v>1200</v>
      </c>
      <c r="F3483" s="637">
        <v>72118035</v>
      </c>
      <c r="G3483" s="626" t="s">
        <v>7668</v>
      </c>
      <c r="H3483" s="626" t="s">
        <v>1959</v>
      </c>
      <c r="I3483" s="638" t="s">
        <v>3768</v>
      </c>
      <c r="J3483" s="625" t="s">
        <v>1959</v>
      </c>
      <c r="K3483" s="626">
        <v>1</v>
      </c>
      <c r="L3483" s="638">
        <v>12</v>
      </c>
      <c r="M3483" s="651">
        <v>13200</v>
      </c>
      <c r="N3483" s="638">
        <v>1</v>
      </c>
      <c r="O3483" s="626">
        <v>12</v>
      </c>
      <c r="P3483" s="655">
        <v>13126.66</v>
      </c>
    </row>
    <row r="3484" spans="1:16" s="619" customFormat="1" ht="48" x14ac:dyDescent="0.2">
      <c r="A3484" s="626" t="s">
        <v>6091</v>
      </c>
      <c r="B3484" s="626" t="s">
        <v>1908</v>
      </c>
      <c r="C3484" s="638" t="s">
        <v>2015</v>
      </c>
      <c r="D3484" s="626" t="s">
        <v>3614</v>
      </c>
      <c r="E3484" s="636">
        <v>1100</v>
      </c>
      <c r="F3484" s="637">
        <v>33807783</v>
      </c>
      <c r="G3484" s="626" t="s">
        <v>7669</v>
      </c>
      <c r="H3484" s="626" t="s">
        <v>1919</v>
      </c>
      <c r="I3484" s="638" t="s">
        <v>1919</v>
      </c>
      <c r="J3484" s="625" t="s">
        <v>7621</v>
      </c>
      <c r="K3484" s="626"/>
      <c r="L3484" s="638"/>
      <c r="M3484" s="651"/>
      <c r="N3484" s="638">
        <v>1</v>
      </c>
      <c r="O3484" s="626">
        <v>12</v>
      </c>
      <c r="P3484" s="655">
        <v>11000</v>
      </c>
    </row>
    <row r="3485" spans="1:16" s="619" customFormat="1" ht="24" x14ac:dyDescent="0.2">
      <c r="A3485" s="626" t="s">
        <v>6091</v>
      </c>
      <c r="B3485" s="626" t="s">
        <v>2032</v>
      </c>
      <c r="C3485" s="638" t="s">
        <v>2015</v>
      </c>
      <c r="D3485" s="626" t="s">
        <v>7624</v>
      </c>
      <c r="E3485" s="636">
        <v>1100</v>
      </c>
      <c r="F3485" s="637">
        <v>47042968</v>
      </c>
      <c r="G3485" s="626" t="s">
        <v>7670</v>
      </c>
      <c r="H3485" s="626" t="s">
        <v>1919</v>
      </c>
      <c r="I3485" s="638" t="s">
        <v>1919</v>
      </c>
      <c r="J3485" s="625" t="s">
        <v>7621</v>
      </c>
      <c r="K3485" s="626"/>
      <c r="L3485" s="638"/>
      <c r="M3485" s="651"/>
      <c r="N3485" s="638">
        <v>1</v>
      </c>
      <c r="O3485" s="626"/>
      <c r="P3485" s="655">
        <v>11000</v>
      </c>
    </row>
    <row r="3486" spans="1:16" s="619" customFormat="1" ht="36" x14ac:dyDescent="0.2">
      <c r="A3486" s="626" t="s">
        <v>6091</v>
      </c>
      <c r="B3486" s="626" t="s">
        <v>2032</v>
      </c>
      <c r="C3486" s="638" t="s">
        <v>2015</v>
      </c>
      <c r="D3486" s="626" t="s">
        <v>7624</v>
      </c>
      <c r="E3486" s="636">
        <v>1200</v>
      </c>
      <c r="F3486" s="637">
        <v>47403839</v>
      </c>
      <c r="G3486" s="626" t="s">
        <v>7671</v>
      </c>
      <c r="H3486" s="626" t="s">
        <v>1951</v>
      </c>
      <c r="I3486" s="638" t="s">
        <v>3768</v>
      </c>
      <c r="J3486" s="625" t="s">
        <v>1951</v>
      </c>
      <c r="K3486" s="626"/>
      <c r="L3486" s="638"/>
      <c r="M3486" s="651"/>
      <c r="N3486" s="638">
        <v>3</v>
      </c>
      <c r="O3486" s="626">
        <v>5</v>
      </c>
      <c r="P3486" s="655">
        <v>5573</v>
      </c>
    </row>
    <row r="3487" spans="1:16" s="619" customFormat="1" ht="36" x14ac:dyDescent="0.2">
      <c r="A3487" s="626" t="s">
        <v>6091</v>
      </c>
      <c r="B3487" s="626" t="s">
        <v>2032</v>
      </c>
      <c r="C3487" s="638" t="s">
        <v>2015</v>
      </c>
      <c r="D3487" s="626" t="s">
        <v>7672</v>
      </c>
      <c r="E3487" s="636">
        <v>1090</v>
      </c>
      <c r="F3487" s="637">
        <v>74372612</v>
      </c>
      <c r="G3487" s="626" t="s">
        <v>7673</v>
      </c>
      <c r="H3487" s="626" t="s">
        <v>1919</v>
      </c>
      <c r="I3487" s="638" t="s">
        <v>1919</v>
      </c>
      <c r="J3487" s="625" t="s">
        <v>7621</v>
      </c>
      <c r="K3487" s="626"/>
      <c r="L3487" s="638"/>
      <c r="M3487" s="651"/>
      <c r="N3487" s="638">
        <v>1</v>
      </c>
      <c r="O3487" s="626">
        <v>2</v>
      </c>
      <c r="P3487" s="655">
        <v>2180</v>
      </c>
    </row>
    <row r="3488" spans="1:16" s="619" customFormat="1" ht="36" x14ac:dyDescent="0.2">
      <c r="A3488" s="626" t="s">
        <v>6091</v>
      </c>
      <c r="B3488" s="626" t="s">
        <v>2032</v>
      </c>
      <c r="C3488" s="638" t="s">
        <v>2015</v>
      </c>
      <c r="D3488" s="626" t="s">
        <v>4782</v>
      </c>
      <c r="E3488" s="636">
        <v>1300</v>
      </c>
      <c r="F3488" s="637">
        <v>72923326</v>
      </c>
      <c r="G3488" s="626" t="s">
        <v>7674</v>
      </c>
      <c r="H3488" s="626" t="s">
        <v>1959</v>
      </c>
      <c r="I3488" s="638" t="s">
        <v>3768</v>
      </c>
      <c r="J3488" s="625" t="s">
        <v>1959</v>
      </c>
      <c r="K3488" s="626"/>
      <c r="L3488" s="638"/>
      <c r="M3488" s="651"/>
      <c r="N3488" s="638">
        <v>1</v>
      </c>
      <c r="O3488" s="626">
        <v>12</v>
      </c>
      <c r="P3488" s="655">
        <v>17854.84</v>
      </c>
    </row>
    <row r="3489" spans="1:16" s="619" customFormat="1" ht="36" x14ac:dyDescent="0.2">
      <c r="A3489" s="626" t="s">
        <v>6091</v>
      </c>
      <c r="B3489" s="626" t="s">
        <v>2032</v>
      </c>
      <c r="C3489" s="638" t="s">
        <v>2015</v>
      </c>
      <c r="D3489" s="626" t="s">
        <v>7624</v>
      </c>
      <c r="E3489" s="636">
        <v>1200</v>
      </c>
      <c r="F3489" s="637">
        <v>16748946</v>
      </c>
      <c r="G3489" s="626" t="s">
        <v>7675</v>
      </c>
      <c r="H3489" s="626" t="s">
        <v>1959</v>
      </c>
      <c r="I3489" s="638" t="s">
        <v>3768</v>
      </c>
      <c r="J3489" s="625" t="s">
        <v>1959</v>
      </c>
      <c r="K3489" s="626"/>
      <c r="L3489" s="638"/>
      <c r="M3489" s="651"/>
      <c r="N3489" s="638">
        <v>1</v>
      </c>
      <c r="O3489" s="626">
        <v>12</v>
      </c>
      <c r="P3489" s="655">
        <v>14330</v>
      </c>
    </row>
    <row r="3490" spans="1:16" s="619" customFormat="1" ht="36" x14ac:dyDescent="0.2">
      <c r="A3490" s="626" t="s">
        <v>6091</v>
      </c>
      <c r="B3490" s="626" t="s">
        <v>1908</v>
      </c>
      <c r="C3490" s="638" t="s">
        <v>2015</v>
      </c>
      <c r="D3490" s="626" t="s">
        <v>4782</v>
      </c>
      <c r="E3490" s="636">
        <v>1200</v>
      </c>
      <c r="F3490" s="637">
        <v>7008112</v>
      </c>
      <c r="G3490" s="626" t="s">
        <v>7676</v>
      </c>
      <c r="H3490" s="626" t="s">
        <v>1959</v>
      </c>
      <c r="I3490" s="638" t="s">
        <v>3768</v>
      </c>
      <c r="J3490" s="625" t="s">
        <v>1959</v>
      </c>
      <c r="K3490" s="626"/>
      <c r="L3490" s="638"/>
      <c r="M3490" s="651"/>
      <c r="N3490" s="638">
        <v>1</v>
      </c>
      <c r="O3490" s="626">
        <v>4</v>
      </c>
      <c r="P3490" s="655">
        <v>4800</v>
      </c>
    </row>
    <row r="3491" spans="1:16" s="619" customFormat="1" ht="48" x14ac:dyDescent="0.2">
      <c r="A3491" s="626" t="s">
        <v>6091</v>
      </c>
      <c r="B3491" s="626" t="s">
        <v>1908</v>
      </c>
      <c r="C3491" s="638" t="s">
        <v>2015</v>
      </c>
      <c r="D3491" s="626" t="s">
        <v>3548</v>
      </c>
      <c r="E3491" s="636">
        <v>1090</v>
      </c>
      <c r="F3491" s="637">
        <v>72806259</v>
      </c>
      <c r="G3491" s="626" t="s">
        <v>7677</v>
      </c>
      <c r="H3491" s="626" t="s">
        <v>7678</v>
      </c>
      <c r="I3491" s="638" t="s">
        <v>7679</v>
      </c>
      <c r="J3491" s="625" t="s">
        <v>7678</v>
      </c>
      <c r="K3491" s="626"/>
      <c r="L3491" s="638"/>
      <c r="M3491" s="651"/>
      <c r="N3491" s="638">
        <v>1</v>
      </c>
      <c r="O3491" s="626">
        <v>3</v>
      </c>
      <c r="P3491" s="655">
        <v>3270</v>
      </c>
    </row>
    <row r="3492" spans="1:16" s="619" customFormat="1" ht="24" x14ac:dyDescent="0.2">
      <c r="A3492" s="626" t="s">
        <v>6091</v>
      </c>
      <c r="B3492" s="626" t="s">
        <v>1908</v>
      </c>
      <c r="C3492" s="638" t="s">
        <v>2015</v>
      </c>
      <c r="D3492" s="626" t="s">
        <v>7680</v>
      </c>
      <c r="E3492" s="636">
        <v>5000</v>
      </c>
      <c r="F3492" s="637">
        <v>43704701</v>
      </c>
      <c r="G3492" s="626" t="s">
        <v>7681</v>
      </c>
      <c r="H3492" s="626" t="s">
        <v>7680</v>
      </c>
      <c r="I3492" s="638" t="s">
        <v>3768</v>
      </c>
      <c r="J3492" s="625" t="s">
        <v>7680</v>
      </c>
      <c r="K3492" s="626"/>
      <c r="L3492" s="638"/>
      <c r="M3492" s="651"/>
      <c r="N3492" s="638">
        <v>2</v>
      </c>
      <c r="O3492" s="626">
        <v>12</v>
      </c>
      <c r="P3492" s="655">
        <v>60000</v>
      </c>
    </row>
    <row r="3493" spans="1:16" s="619" customFormat="1" ht="24" x14ac:dyDescent="0.2">
      <c r="A3493" s="626" t="s">
        <v>6091</v>
      </c>
      <c r="B3493" s="626" t="s">
        <v>1908</v>
      </c>
      <c r="C3493" s="638" t="s">
        <v>2015</v>
      </c>
      <c r="D3493" s="626" t="s">
        <v>7682</v>
      </c>
      <c r="E3493" s="636">
        <v>1200</v>
      </c>
      <c r="F3493" s="637">
        <v>60030957</v>
      </c>
      <c r="G3493" s="626" t="s">
        <v>7683</v>
      </c>
      <c r="H3493" s="626" t="s">
        <v>2660</v>
      </c>
      <c r="I3493" s="638" t="s">
        <v>3768</v>
      </c>
      <c r="J3493" s="625" t="s">
        <v>2660</v>
      </c>
      <c r="K3493" s="626"/>
      <c r="L3493" s="638"/>
      <c r="M3493" s="651"/>
      <c r="N3493" s="638">
        <v>1</v>
      </c>
      <c r="O3493" s="626">
        <v>3</v>
      </c>
      <c r="P3493" s="655">
        <v>1200</v>
      </c>
    </row>
    <row r="3494" spans="1:16" s="619" customFormat="1" ht="24" x14ac:dyDescent="0.2">
      <c r="A3494" s="626" t="s">
        <v>6091</v>
      </c>
      <c r="B3494" s="626" t="s">
        <v>1908</v>
      </c>
      <c r="C3494" s="638" t="s">
        <v>2015</v>
      </c>
      <c r="D3494" s="626" t="s">
        <v>7682</v>
      </c>
      <c r="E3494" s="636">
        <v>1200</v>
      </c>
      <c r="F3494" s="637">
        <v>41700140</v>
      </c>
      <c r="G3494" s="626" t="s">
        <v>7684</v>
      </c>
      <c r="H3494" s="626" t="s">
        <v>2660</v>
      </c>
      <c r="I3494" s="638" t="s">
        <v>3768</v>
      </c>
      <c r="J3494" s="625" t="s">
        <v>2660</v>
      </c>
      <c r="K3494" s="626"/>
      <c r="L3494" s="638"/>
      <c r="M3494" s="651"/>
      <c r="N3494" s="638">
        <v>1</v>
      </c>
      <c r="O3494" s="626">
        <v>2</v>
      </c>
      <c r="P3494" s="655">
        <v>2400</v>
      </c>
    </row>
    <row r="3495" spans="1:16" s="619" customFormat="1" ht="24" x14ac:dyDescent="0.2">
      <c r="A3495" s="626" t="s">
        <v>6091</v>
      </c>
      <c r="B3495" s="626" t="s">
        <v>1908</v>
      </c>
      <c r="C3495" s="638" t="s">
        <v>2015</v>
      </c>
      <c r="D3495" s="626" t="s">
        <v>4782</v>
      </c>
      <c r="E3495" s="636">
        <v>2200</v>
      </c>
      <c r="F3495" s="637">
        <v>47661455</v>
      </c>
      <c r="G3495" s="626" t="s">
        <v>7685</v>
      </c>
      <c r="H3495" s="626" t="s">
        <v>1911</v>
      </c>
      <c r="I3495" s="638" t="s">
        <v>3768</v>
      </c>
      <c r="J3495" s="625" t="s">
        <v>1911</v>
      </c>
      <c r="K3495" s="626"/>
      <c r="L3495" s="638"/>
      <c r="M3495" s="651"/>
      <c r="N3495" s="638">
        <v>2</v>
      </c>
      <c r="O3495" s="626">
        <v>7</v>
      </c>
      <c r="P3495" s="655">
        <v>16000</v>
      </c>
    </row>
    <row r="3496" spans="1:16" s="619" customFormat="1" ht="24" x14ac:dyDescent="0.2">
      <c r="A3496" s="626" t="s">
        <v>6091</v>
      </c>
      <c r="B3496" s="626" t="s">
        <v>1908</v>
      </c>
      <c r="C3496" s="638" t="s">
        <v>2015</v>
      </c>
      <c r="D3496" s="626" t="s">
        <v>4782</v>
      </c>
      <c r="E3496" s="636">
        <v>1100</v>
      </c>
      <c r="F3496" s="637">
        <v>42521401</v>
      </c>
      <c r="G3496" s="626" t="s">
        <v>7686</v>
      </c>
      <c r="H3496" s="626" t="s">
        <v>1919</v>
      </c>
      <c r="I3496" s="638" t="s">
        <v>1919</v>
      </c>
      <c r="J3496" s="625" t="s">
        <v>7621</v>
      </c>
      <c r="K3496" s="626"/>
      <c r="L3496" s="638"/>
      <c r="M3496" s="651"/>
      <c r="N3496" s="638">
        <v>2</v>
      </c>
      <c r="O3496" s="626">
        <v>1100</v>
      </c>
      <c r="P3496" s="655">
        <v>9880</v>
      </c>
    </row>
    <row r="3497" spans="1:16" s="619" customFormat="1" ht="36" x14ac:dyDescent="0.2">
      <c r="A3497" s="626" t="s">
        <v>6091</v>
      </c>
      <c r="B3497" s="626" t="s">
        <v>2032</v>
      </c>
      <c r="C3497" s="638" t="s">
        <v>2015</v>
      </c>
      <c r="D3497" s="626"/>
      <c r="E3497" s="636">
        <v>1200</v>
      </c>
      <c r="F3497" s="637">
        <v>47368249</v>
      </c>
      <c r="G3497" s="626" t="s">
        <v>7687</v>
      </c>
      <c r="H3497" s="626" t="s">
        <v>1959</v>
      </c>
      <c r="I3497" s="638" t="s">
        <v>3768</v>
      </c>
      <c r="J3497" s="625" t="s">
        <v>1959</v>
      </c>
      <c r="K3497" s="626"/>
      <c r="L3497" s="638"/>
      <c r="M3497" s="651"/>
      <c r="N3497" s="638">
        <v>1</v>
      </c>
      <c r="O3497" s="626">
        <v>9</v>
      </c>
      <c r="P3497" s="655">
        <v>10800</v>
      </c>
    </row>
    <row r="3498" spans="1:16" s="619" customFormat="1" ht="36" x14ac:dyDescent="0.2">
      <c r="A3498" s="626" t="s">
        <v>6091</v>
      </c>
      <c r="B3498" s="626" t="s">
        <v>1908</v>
      </c>
      <c r="C3498" s="638" t="s">
        <v>2015</v>
      </c>
      <c r="D3498" s="626"/>
      <c r="E3498" s="636">
        <v>10000</v>
      </c>
      <c r="F3498" s="637">
        <v>44373790</v>
      </c>
      <c r="G3498" s="626" t="s">
        <v>7688</v>
      </c>
      <c r="H3498" s="626" t="s">
        <v>6182</v>
      </c>
      <c r="I3498" s="638" t="s">
        <v>3768</v>
      </c>
      <c r="J3498" s="625" t="s">
        <v>6182</v>
      </c>
      <c r="K3498" s="626"/>
      <c r="L3498" s="638"/>
      <c r="M3498" s="651"/>
      <c r="N3498" s="638">
        <v>3</v>
      </c>
      <c r="O3498" s="626">
        <v>12</v>
      </c>
      <c r="P3498" s="655">
        <v>120000</v>
      </c>
    </row>
    <row r="3499" spans="1:16" s="619" customFormat="1" ht="36.75" thickBot="1" x14ac:dyDescent="0.25">
      <c r="A3499" s="626" t="s">
        <v>6091</v>
      </c>
      <c r="B3499" s="626" t="s">
        <v>1908</v>
      </c>
      <c r="C3499" s="638" t="s">
        <v>2015</v>
      </c>
      <c r="D3499" s="626"/>
      <c r="E3499" s="636">
        <v>1200</v>
      </c>
      <c r="F3499" s="637">
        <v>47292647</v>
      </c>
      <c r="G3499" s="626" t="s">
        <v>7689</v>
      </c>
      <c r="H3499" s="626" t="s">
        <v>3892</v>
      </c>
      <c r="I3499" s="638" t="s">
        <v>3768</v>
      </c>
      <c r="J3499" s="625" t="s">
        <v>3892</v>
      </c>
      <c r="K3499" s="657"/>
      <c r="L3499" s="638"/>
      <c r="M3499" s="696"/>
      <c r="N3499" s="638">
        <v>1</v>
      </c>
      <c r="O3499" s="657">
        <v>1</v>
      </c>
      <c r="P3499" s="660">
        <v>1200</v>
      </c>
    </row>
    <row r="3500" spans="1:16" s="619" customFormat="1" ht="13.5" customHeight="1" thickBot="1" x14ac:dyDescent="0.25">
      <c r="A3500" s="1149" t="s">
        <v>1852</v>
      </c>
      <c r="B3500" s="1150"/>
      <c r="C3500" s="1150"/>
      <c r="D3500" s="1151"/>
      <c r="E3500" s="610">
        <f>SUM(E2693:E3499)</f>
        <v>2432663</v>
      </c>
      <c r="F3500" s="623"/>
      <c r="G3500" s="109"/>
      <c r="H3500" s="109"/>
      <c r="I3500" s="109"/>
      <c r="J3500" s="109"/>
      <c r="K3500" s="623"/>
      <c r="L3500" s="109"/>
      <c r="M3500" s="624">
        <f>SUM(M2693:M3499)</f>
        <v>9902692</v>
      </c>
      <c r="N3500" s="623"/>
      <c r="O3500" s="623"/>
      <c r="P3500" s="624">
        <f>SUM(P2693:P3499)</f>
        <v>8860490.8200000003</v>
      </c>
    </row>
    <row r="3501" spans="1:16" s="619" customFormat="1" ht="36" x14ac:dyDescent="0.2">
      <c r="A3501" s="625" t="s">
        <v>7690</v>
      </c>
      <c r="B3501" s="626" t="s">
        <v>1908</v>
      </c>
      <c r="C3501" s="638" t="s">
        <v>7691</v>
      </c>
      <c r="D3501" s="630" t="s">
        <v>7692</v>
      </c>
      <c r="E3501" s="715">
        <v>1200</v>
      </c>
      <c r="F3501" s="630" t="s">
        <v>7693</v>
      </c>
      <c r="G3501" s="648" t="s">
        <v>7694</v>
      </c>
      <c r="H3501" s="716" t="s">
        <v>6114</v>
      </c>
      <c r="I3501" s="648" t="s">
        <v>2177</v>
      </c>
      <c r="J3501" s="630" t="s">
        <v>3768</v>
      </c>
      <c r="K3501" s="639">
        <v>1</v>
      </c>
      <c r="L3501" s="632">
        <v>12</v>
      </c>
      <c r="M3501" s="717">
        <f>+L3501*E3501</f>
        <v>14400</v>
      </c>
      <c r="N3501" s="633"/>
      <c r="O3501" s="653"/>
      <c r="P3501" s="635"/>
    </row>
    <row r="3502" spans="1:16" s="619" customFormat="1" ht="24" x14ac:dyDescent="0.2">
      <c r="A3502" s="625" t="s">
        <v>7690</v>
      </c>
      <c r="B3502" s="626" t="s">
        <v>1908</v>
      </c>
      <c r="C3502" s="638" t="s">
        <v>7695</v>
      </c>
      <c r="D3502" s="626" t="s">
        <v>6876</v>
      </c>
      <c r="E3502" s="715">
        <v>2000</v>
      </c>
      <c r="F3502" s="626" t="s">
        <v>7696</v>
      </c>
      <c r="G3502" s="648" t="s">
        <v>7697</v>
      </c>
      <c r="H3502" s="649" t="s">
        <v>6026</v>
      </c>
      <c r="I3502" s="648" t="s">
        <v>1919</v>
      </c>
      <c r="J3502" s="626" t="s">
        <v>7698</v>
      </c>
      <c r="K3502" s="642">
        <v>1</v>
      </c>
      <c r="L3502" s="640">
        <v>4</v>
      </c>
      <c r="M3502" s="717">
        <f t="shared" ref="M3502:M3565" si="36">+L3502*E3502</f>
        <v>8000</v>
      </c>
      <c r="N3502" s="654"/>
      <c r="O3502" s="653"/>
      <c r="P3502" s="643"/>
    </row>
    <row r="3503" spans="1:16" s="619" customFormat="1" ht="36" x14ac:dyDescent="0.2">
      <c r="A3503" s="625" t="s">
        <v>7690</v>
      </c>
      <c r="B3503" s="626" t="s">
        <v>1908</v>
      </c>
      <c r="C3503" s="638" t="s">
        <v>7691</v>
      </c>
      <c r="D3503" s="626" t="s">
        <v>7699</v>
      </c>
      <c r="E3503" s="715">
        <v>1500</v>
      </c>
      <c r="F3503" s="626" t="s">
        <v>7700</v>
      </c>
      <c r="G3503" s="648" t="s">
        <v>7701</v>
      </c>
      <c r="H3503" s="649" t="s">
        <v>2660</v>
      </c>
      <c r="I3503" s="648" t="s">
        <v>2660</v>
      </c>
      <c r="J3503" s="626" t="s">
        <v>3768</v>
      </c>
      <c r="K3503" s="642">
        <v>1</v>
      </c>
      <c r="L3503" s="640">
        <v>12</v>
      </c>
      <c r="M3503" s="717">
        <f t="shared" si="36"/>
        <v>18000</v>
      </c>
      <c r="N3503" s="654"/>
      <c r="O3503" s="653"/>
      <c r="P3503" s="643"/>
    </row>
    <row r="3504" spans="1:16" s="619" customFormat="1" ht="36" x14ac:dyDescent="0.2">
      <c r="A3504" s="625" t="s">
        <v>7690</v>
      </c>
      <c r="B3504" s="626" t="s">
        <v>1908</v>
      </c>
      <c r="C3504" s="638" t="s">
        <v>7691</v>
      </c>
      <c r="D3504" s="626" t="s">
        <v>6573</v>
      </c>
      <c r="E3504" s="715">
        <v>1200</v>
      </c>
      <c r="F3504" s="626" t="s">
        <v>7702</v>
      </c>
      <c r="G3504" s="648" t="s">
        <v>7703</v>
      </c>
      <c r="H3504" s="649" t="s">
        <v>7704</v>
      </c>
      <c r="I3504" s="648" t="s">
        <v>7705</v>
      </c>
      <c r="J3504" s="626" t="s">
        <v>3768</v>
      </c>
      <c r="K3504" s="642">
        <v>1</v>
      </c>
      <c r="L3504" s="640">
        <v>5</v>
      </c>
      <c r="M3504" s="717">
        <f t="shared" si="36"/>
        <v>6000</v>
      </c>
      <c r="N3504" s="654"/>
      <c r="O3504" s="653"/>
      <c r="P3504" s="643"/>
    </row>
    <row r="3505" spans="1:16" s="619" customFormat="1" ht="36" x14ac:dyDescent="0.2">
      <c r="A3505" s="625" t="s">
        <v>7690</v>
      </c>
      <c r="B3505" s="626" t="s">
        <v>1908</v>
      </c>
      <c r="C3505" s="638" t="s">
        <v>7695</v>
      </c>
      <c r="D3505" s="626" t="s">
        <v>6876</v>
      </c>
      <c r="E3505" s="715">
        <v>2000</v>
      </c>
      <c r="F3505" s="626" t="s">
        <v>7706</v>
      </c>
      <c r="G3505" s="648" t="s">
        <v>7707</v>
      </c>
      <c r="H3505" s="649" t="s">
        <v>6026</v>
      </c>
      <c r="I3505" s="648" t="s">
        <v>1919</v>
      </c>
      <c r="J3505" s="626" t="s">
        <v>7698</v>
      </c>
      <c r="K3505" s="642">
        <v>1</v>
      </c>
      <c r="L3505" s="640">
        <v>6</v>
      </c>
      <c r="M3505" s="717">
        <f t="shared" si="36"/>
        <v>12000</v>
      </c>
      <c r="N3505" s="654"/>
      <c r="O3505" s="653"/>
      <c r="P3505" s="643"/>
    </row>
    <row r="3506" spans="1:16" s="619" customFormat="1" ht="24" x14ac:dyDescent="0.2">
      <c r="A3506" s="625" t="s">
        <v>7690</v>
      </c>
      <c r="B3506" s="626" t="s">
        <v>1908</v>
      </c>
      <c r="C3506" s="638" t="s">
        <v>7691</v>
      </c>
      <c r="D3506" s="626" t="s">
        <v>7708</v>
      </c>
      <c r="E3506" s="715">
        <v>2000</v>
      </c>
      <c r="F3506" s="626" t="s">
        <v>7709</v>
      </c>
      <c r="G3506" s="648" t="s">
        <v>7710</v>
      </c>
      <c r="H3506" s="649" t="s">
        <v>2660</v>
      </c>
      <c r="I3506" s="648" t="s">
        <v>2660</v>
      </c>
      <c r="J3506" s="649" t="s">
        <v>3768</v>
      </c>
      <c r="K3506" s="642">
        <v>1</v>
      </c>
      <c r="L3506" s="640">
        <v>3</v>
      </c>
      <c r="M3506" s="717">
        <f t="shared" si="36"/>
        <v>6000</v>
      </c>
      <c r="N3506" s="654"/>
      <c r="O3506" s="653"/>
      <c r="P3506" s="643"/>
    </row>
    <row r="3507" spans="1:16" s="619" customFormat="1" ht="24" x14ac:dyDescent="0.2">
      <c r="A3507" s="625" t="s">
        <v>7690</v>
      </c>
      <c r="B3507" s="626" t="s">
        <v>1908</v>
      </c>
      <c r="C3507" s="638" t="s">
        <v>7691</v>
      </c>
      <c r="D3507" s="649" t="s">
        <v>6158</v>
      </c>
      <c r="E3507" s="715">
        <v>1000</v>
      </c>
      <c r="F3507" s="626" t="s">
        <v>7711</v>
      </c>
      <c r="G3507" s="648" t="s">
        <v>7712</v>
      </c>
      <c r="H3507" s="649" t="s">
        <v>6158</v>
      </c>
      <c r="I3507" s="648" t="s">
        <v>2660</v>
      </c>
      <c r="J3507" s="626" t="s">
        <v>7713</v>
      </c>
      <c r="K3507" s="642">
        <v>1</v>
      </c>
      <c r="L3507" s="640">
        <v>4</v>
      </c>
      <c r="M3507" s="717">
        <f t="shared" si="36"/>
        <v>4000</v>
      </c>
      <c r="N3507" s="654"/>
      <c r="O3507" s="653"/>
      <c r="P3507" s="643"/>
    </row>
    <row r="3508" spans="1:16" s="619" customFormat="1" ht="24" x14ac:dyDescent="0.2">
      <c r="A3508" s="625" t="s">
        <v>7690</v>
      </c>
      <c r="B3508" s="626" t="s">
        <v>1908</v>
      </c>
      <c r="C3508" s="638" t="s">
        <v>7695</v>
      </c>
      <c r="D3508" s="649" t="s">
        <v>2660</v>
      </c>
      <c r="E3508" s="715">
        <v>2225.81</v>
      </c>
      <c r="F3508" s="626" t="s">
        <v>7714</v>
      </c>
      <c r="G3508" s="648" t="s">
        <v>7715</v>
      </c>
      <c r="H3508" s="649" t="s">
        <v>2660</v>
      </c>
      <c r="I3508" s="648" t="s">
        <v>2660</v>
      </c>
      <c r="J3508" s="626" t="s">
        <v>7713</v>
      </c>
      <c r="K3508" s="642">
        <v>1</v>
      </c>
      <c r="L3508" s="640">
        <v>1</v>
      </c>
      <c r="M3508" s="717">
        <f t="shared" si="36"/>
        <v>2225.81</v>
      </c>
      <c r="N3508" s="654"/>
      <c r="O3508" s="653"/>
      <c r="P3508" s="643"/>
    </row>
    <row r="3509" spans="1:16" s="619" customFormat="1" ht="36" x14ac:dyDescent="0.2">
      <c r="A3509" s="625" t="s">
        <v>7690</v>
      </c>
      <c r="B3509" s="626" t="s">
        <v>1908</v>
      </c>
      <c r="C3509" s="638" t="s">
        <v>7695</v>
      </c>
      <c r="D3509" s="626" t="s">
        <v>7716</v>
      </c>
      <c r="E3509" s="715">
        <v>5000</v>
      </c>
      <c r="F3509" s="626" t="s">
        <v>7717</v>
      </c>
      <c r="G3509" s="648" t="s">
        <v>7718</v>
      </c>
      <c r="H3509" s="649" t="s">
        <v>6092</v>
      </c>
      <c r="I3509" s="648" t="s">
        <v>7719</v>
      </c>
      <c r="J3509" s="626" t="s">
        <v>7713</v>
      </c>
      <c r="K3509" s="642">
        <v>1</v>
      </c>
      <c r="L3509" s="640">
        <v>3</v>
      </c>
      <c r="M3509" s="717">
        <f t="shared" si="36"/>
        <v>15000</v>
      </c>
      <c r="N3509" s="654"/>
      <c r="O3509" s="653"/>
      <c r="P3509" s="643"/>
    </row>
    <row r="3510" spans="1:16" s="619" customFormat="1" ht="24" x14ac:dyDescent="0.2">
      <c r="A3510" s="625" t="s">
        <v>7690</v>
      </c>
      <c r="B3510" s="626" t="s">
        <v>1908</v>
      </c>
      <c r="C3510" s="638" t="s">
        <v>7691</v>
      </c>
      <c r="D3510" s="626" t="s">
        <v>7720</v>
      </c>
      <c r="E3510" s="715">
        <v>1000</v>
      </c>
      <c r="F3510" s="626" t="s">
        <v>7721</v>
      </c>
      <c r="G3510" s="648" t="s">
        <v>7722</v>
      </c>
      <c r="H3510" s="649" t="s">
        <v>6158</v>
      </c>
      <c r="I3510" s="648" t="s">
        <v>7723</v>
      </c>
      <c r="J3510" s="626" t="s">
        <v>7698</v>
      </c>
      <c r="K3510" s="642">
        <v>1</v>
      </c>
      <c r="L3510" s="640">
        <v>6</v>
      </c>
      <c r="M3510" s="717">
        <f t="shared" si="36"/>
        <v>6000</v>
      </c>
      <c r="N3510" s="654"/>
      <c r="O3510" s="653"/>
      <c r="P3510" s="643"/>
    </row>
    <row r="3511" spans="1:16" s="619" customFormat="1" ht="48" x14ac:dyDescent="0.2">
      <c r="A3511" s="625" t="s">
        <v>7690</v>
      </c>
      <c r="B3511" s="626" t="s">
        <v>1908</v>
      </c>
      <c r="C3511" s="638" t="s">
        <v>7695</v>
      </c>
      <c r="D3511" s="626" t="s">
        <v>7716</v>
      </c>
      <c r="E3511" s="715">
        <v>4500</v>
      </c>
      <c r="F3511" s="626" t="s">
        <v>7512</v>
      </c>
      <c r="G3511" s="648" t="s">
        <v>7513</v>
      </c>
      <c r="H3511" s="649" t="s">
        <v>6092</v>
      </c>
      <c r="I3511" s="648" t="s">
        <v>1993</v>
      </c>
      <c r="J3511" s="626" t="s">
        <v>7713</v>
      </c>
      <c r="K3511" s="642">
        <v>1</v>
      </c>
      <c r="L3511" s="640">
        <v>12</v>
      </c>
      <c r="M3511" s="717">
        <f t="shared" si="36"/>
        <v>54000</v>
      </c>
      <c r="N3511" s="654"/>
      <c r="O3511" s="653"/>
      <c r="P3511" s="643"/>
    </row>
    <row r="3512" spans="1:16" s="619" customFormat="1" ht="36" x14ac:dyDescent="0.2">
      <c r="A3512" s="625" t="s">
        <v>7690</v>
      </c>
      <c r="B3512" s="626" t="s">
        <v>1908</v>
      </c>
      <c r="C3512" s="638" t="s">
        <v>7691</v>
      </c>
      <c r="D3512" s="649" t="s">
        <v>7724</v>
      </c>
      <c r="E3512" s="715">
        <v>2300</v>
      </c>
      <c r="F3512" s="626" t="s">
        <v>7725</v>
      </c>
      <c r="G3512" s="648" t="s">
        <v>7726</v>
      </c>
      <c r="H3512" s="649" t="s">
        <v>7724</v>
      </c>
      <c r="I3512" s="648" t="s">
        <v>7724</v>
      </c>
      <c r="J3512" s="626"/>
      <c r="K3512" s="642">
        <v>1</v>
      </c>
      <c r="L3512" s="640">
        <v>9</v>
      </c>
      <c r="M3512" s="717">
        <f t="shared" si="36"/>
        <v>20700</v>
      </c>
      <c r="N3512" s="654"/>
      <c r="O3512" s="653"/>
      <c r="P3512" s="643"/>
    </row>
    <row r="3513" spans="1:16" s="619" customFormat="1" ht="36" x14ac:dyDescent="0.2">
      <c r="A3513" s="625" t="s">
        <v>7690</v>
      </c>
      <c r="B3513" s="626" t="s">
        <v>1908</v>
      </c>
      <c r="C3513" s="638" t="s">
        <v>7691</v>
      </c>
      <c r="D3513" s="649" t="s">
        <v>7727</v>
      </c>
      <c r="E3513" s="715">
        <v>1200</v>
      </c>
      <c r="F3513" s="626" t="s">
        <v>7728</v>
      </c>
      <c r="G3513" s="648" t="s">
        <v>7729</v>
      </c>
      <c r="H3513" s="649" t="s">
        <v>2660</v>
      </c>
      <c r="I3513" s="648" t="s">
        <v>2660</v>
      </c>
      <c r="J3513" s="626" t="s">
        <v>7713</v>
      </c>
      <c r="K3513" s="642">
        <v>1</v>
      </c>
      <c r="L3513" s="640">
        <v>3</v>
      </c>
      <c r="M3513" s="717">
        <f t="shared" si="36"/>
        <v>3600</v>
      </c>
      <c r="N3513" s="654"/>
      <c r="O3513" s="653"/>
      <c r="P3513" s="643"/>
    </row>
    <row r="3514" spans="1:16" s="619" customFormat="1" ht="36" x14ac:dyDescent="0.2">
      <c r="A3514" s="625" t="s">
        <v>7690</v>
      </c>
      <c r="B3514" s="626" t="s">
        <v>1908</v>
      </c>
      <c r="C3514" s="638" t="s">
        <v>7691</v>
      </c>
      <c r="D3514" s="626" t="s">
        <v>7624</v>
      </c>
      <c r="E3514" s="715">
        <v>1500</v>
      </c>
      <c r="F3514" s="626" t="s">
        <v>7730</v>
      </c>
      <c r="G3514" s="648" t="s">
        <v>7731</v>
      </c>
      <c r="H3514" s="649" t="s">
        <v>6120</v>
      </c>
      <c r="I3514" s="648" t="s">
        <v>6120</v>
      </c>
      <c r="J3514" s="626" t="s">
        <v>3768</v>
      </c>
      <c r="K3514" s="642">
        <v>1</v>
      </c>
      <c r="L3514" s="640">
        <v>3</v>
      </c>
      <c r="M3514" s="717">
        <f t="shared" si="36"/>
        <v>4500</v>
      </c>
      <c r="N3514" s="654"/>
      <c r="O3514" s="653"/>
      <c r="P3514" s="643"/>
    </row>
    <row r="3515" spans="1:16" s="619" customFormat="1" ht="36" x14ac:dyDescent="0.2">
      <c r="A3515" s="625" t="s">
        <v>7690</v>
      </c>
      <c r="B3515" s="626" t="s">
        <v>1908</v>
      </c>
      <c r="C3515" s="638" t="s">
        <v>7691</v>
      </c>
      <c r="D3515" s="626" t="s">
        <v>7624</v>
      </c>
      <c r="E3515" s="715">
        <v>1200</v>
      </c>
      <c r="F3515" s="626" t="s">
        <v>7732</v>
      </c>
      <c r="G3515" s="648" t="s">
        <v>7733</v>
      </c>
      <c r="H3515" s="649" t="s">
        <v>6187</v>
      </c>
      <c r="I3515" s="648" t="s">
        <v>7734</v>
      </c>
      <c r="J3515" s="626" t="s">
        <v>7713</v>
      </c>
      <c r="K3515" s="642">
        <v>1</v>
      </c>
      <c r="L3515" s="640">
        <v>12</v>
      </c>
      <c r="M3515" s="717">
        <f t="shared" si="36"/>
        <v>14400</v>
      </c>
      <c r="N3515" s="654"/>
      <c r="O3515" s="653"/>
      <c r="P3515" s="643"/>
    </row>
    <row r="3516" spans="1:16" s="619" customFormat="1" ht="36" x14ac:dyDescent="0.2">
      <c r="A3516" s="625" t="s">
        <v>7690</v>
      </c>
      <c r="B3516" s="626" t="s">
        <v>1908</v>
      </c>
      <c r="C3516" s="638" t="s">
        <v>7691</v>
      </c>
      <c r="D3516" s="626" t="s">
        <v>7735</v>
      </c>
      <c r="E3516" s="715">
        <v>1500</v>
      </c>
      <c r="F3516" s="626" t="s">
        <v>7736</v>
      </c>
      <c r="G3516" s="648" t="s">
        <v>7737</v>
      </c>
      <c r="H3516" s="649" t="s">
        <v>2660</v>
      </c>
      <c r="I3516" s="648" t="s">
        <v>2660</v>
      </c>
      <c r="J3516" s="626" t="s">
        <v>3768</v>
      </c>
      <c r="K3516" s="642">
        <v>1</v>
      </c>
      <c r="L3516" s="640">
        <v>3</v>
      </c>
      <c r="M3516" s="717">
        <f t="shared" si="36"/>
        <v>4500</v>
      </c>
      <c r="N3516" s="654"/>
      <c r="O3516" s="653"/>
      <c r="P3516" s="643"/>
    </row>
    <row r="3517" spans="1:16" s="619" customFormat="1" ht="48" x14ac:dyDescent="0.2">
      <c r="A3517" s="625" t="s">
        <v>7690</v>
      </c>
      <c r="B3517" s="626" t="s">
        <v>1908</v>
      </c>
      <c r="C3517" s="638" t="s">
        <v>7691</v>
      </c>
      <c r="D3517" s="626" t="s">
        <v>6198</v>
      </c>
      <c r="E3517" s="715">
        <v>4000</v>
      </c>
      <c r="F3517" s="626" t="s">
        <v>7738</v>
      </c>
      <c r="G3517" s="648" t="s">
        <v>7739</v>
      </c>
      <c r="H3517" s="649" t="s">
        <v>7740</v>
      </c>
      <c r="I3517" s="648" t="s">
        <v>7741</v>
      </c>
      <c r="J3517" s="626" t="s">
        <v>7713</v>
      </c>
      <c r="K3517" s="642">
        <v>1</v>
      </c>
      <c r="L3517" s="640">
        <v>12</v>
      </c>
      <c r="M3517" s="717">
        <f t="shared" si="36"/>
        <v>48000</v>
      </c>
      <c r="N3517" s="654"/>
      <c r="O3517" s="653"/>
      <c r="P3517" s="643"/>
    </row>
    <row r="3518" spans="1:16" s="619" customFormat="1" ht="24" x14ac:dyDescent="0.2">
      <c r="A3518" s="625" t="s">
        <v>7690</v>
      </c>
      <c r="B3518" s="626" t="s">
        <v>1908</v>
      </c>
      <c r="C3518" s="638" t="s">
        <v>7691</v>
      </c>
      <c r="D3518" s="626" t="s">
        <v>7742</v>
      </c>
      <c r="E3518" s="715">
        <v>2000</v>
      </c>
      <c r="F3518" s="626" t="s">
        <v>7743</v>
      </c>
      <c r="G3518" s="648" t="s">
        <v>7744</v>
      </c>
      <c r="H3518" s="649" t="s">
        <v>7745</v>
      </c>
      <c r="I3518" s="648" t="s">
        <v>6101</v>
      </c>
      <c r="J3518" s="626" t="s">
        <v>7713</v>
      </c>
      <c r="K3518" s="642">
        <v>1</v>
      </c>
      <c r="L3518" s="640">
        <v>2</v>
      </c>
      <c r="M3518" s="717">
        <f t="shared" si="36"/>
        <v>4000</v>
      </c>
      <c r="N3518" s="654"/>
      <c r="O3518" s="653"/>
      <c r="P3518" s="643"/>
    </row>
    <row r="3519" spans="1:16" s="619" customFormat="1" ht="36" x14ac:dyDescent="0.2">
      <c r="A3519" s="625" t="s">
        <v>7690</v>
      </c>
      <c r="B3519" s="626" t="s">
        <v>1908</v>
      </c>
      <c r="C3519" s="638" t="s">
        <v>7691</v>
      </c>
      <c r="D3519" s="649" t="s">
        <v>6101</v>
      </c>
      <c r="E3519" s="715">
        <v>4000</v>
      </c>
      <c r="F3519" s="626" t="s">
        <v>7746</v>
      </c>
      <c r="G3519" s="648" t="s">
        <v>7747</v>
      </c>
      <c r="H3519" s="649" t="s">
        <v>6101</v>
      </c>
      <c r="I3519" s="648" t="s">
        <v>6101</v>
      </c>
      <c r="J3519" s="626" t="s">
        <v>3768</v>
      </c>
      <c r="K3519" s="642">
        <v>1</v>
      </c>
      <c r="L3519" s="640">
        <v>12</v>
      </c>
      <c r="M3519" s="717">
        <f t="shared" si="36"/>
        <v>48000</v>
      </c>
      <c r="N3519" s="654"/>
      <c r="O3519" s="653"/>
      <c r="P3519" s="643"/>
    </row>
    <row r="3520" spans="1:16" s="619" customFormat="1" ht="24" x14ac:dyDescent="0.2">
      <c r="A3520" s="625" t="s">
        <v>7690</v>
      </c>
      <c r="B3520" s="626" t="s">
        <v>1908</v>
      </c>
      <c r="C3520" s="638" t="s">
        <v>7691</v>
      </c>
      <c r="D3520" s="626" t="s">
        <v>7716</v>
      </c>
      <c r="E3520" s="715">
        <v>5000</v>
      </c>
      <c r="F3520" s="626" t="s">
        <v>7748</v>
      </c>
      <c r="G3520" s="648" t="s">
        <v>7749</v>
      </c>
      <c r="H3520" s="649" t="s">
        <v>6092</v>
      </c>
      <c r="I3520" s="648" t="s">
        <v>1993</v>
      </c>
      <c r="J3520" s="626" t="s">
        <v>7713</v>
      </c>
      <c r="K3520" s="642">
        <v>1</v>
      </c>
      <c r="L3520" s="640">
        <v>9</v>
      </c>
      <c r="M3520" s="717">
        <f t="shared" si="36"/>
        <v>45000</v>
      </c>
      <c r="N3520" s="654"/>
      <c r="O3520" s="653"/>
      <c r="P3520" s="643"/>
    </row>
    <row r="3521" spans="1:16" s="619" customFormat="1" ht="48" x14ac:dyDescent="0.2">
      <c r="A3521" s="625" t="s">
        <v>7690</v>
      </c>
      <c r="B3521" s="626" t="s">
        <v>1908</v>
      </c>
      <c r="C3521" s="638" t="s">
        <v>7691</v>
      </c>
      <c r="D3521" s="626" t="s">
        <v>3178</v>
      </c>
      <c r="E3521" s="715">
        <v>2300</v>
      </c>
      <c r="F3521" s="626" t="s">
        <v>7750</v>
      </c>
      <c r="G3521" s="648" t="s">
        <v>7751</v>
      </c>
      <c r="H3521" s="649" t="s">
        <v>6227</v>
      </c>
      <c r="I3521" s="648" t="s">
        <v>1988</v>
      </c>
      <c r="J3521" s="626" t="s">
        <v>7713</v>
      </c>
      <c r="K3521" s="642">
        <v>1</v>
      </c>
      <c r="L3521" s="640">
        <v>3</v>
      </c>
      <c r="M3521" s="717">
        <f t="shared" si="36"/>
        <v>6900</v>
      </c>
      <c r="N3521" s="654"/>
      <c r="O3521" s="653"/>
      <c r="P3521" s="643"/>
    </row>
    <row r="3522" spans="1:16" s="619" customFormat="1" ht="24" x14ac:dyDescent="0.2">
      <c r="A3522" s="625" t="s">
        <v>7690</v>
      </c>
      <c r="B3522" s="626" t="s">
        <v>1908</v>
      </c>
      <c r="C3522" s="638" t="s">
        <v>7691</v>
      </c>
      <c r="D3522" s="626" t="s">
        <v>7752</v>
      </c>
      <c r="E3522" s="715">
        <v>1000</v>
      </c>
      <c r="F3522" s="626" t="s">
        <v>7753</v>
      </c>
      <c r="G3522" s="648" t="s">
        <v>7754</v>
      </c>
      <c r="H3522" s="649" t="s">
        <v>3548</v>
      </c>
      <c r="I3522" s="648" t="s">
        <v>1919</v>
      </c>
      <c r="J3522" s="626" t="s">
        <v>7698</v>
      </c>
      <c r="K3522" s="642">
        <v>1</v>
      </c>
      <c r="L3522" s="640">
        <v>2</v>
      </c>
      <c r="M3522" s="717">
        <f t="shared" si="36"/>
        <v>2000</v>
      </c>
      <c r="N3522" s="654"/>
      <c r="O3522" s="653"/>
      <c r="P3522" s="643"/>
    </row>
    <row r="3523" spans="1:16" s="619" customFormat="1" ht="36" x14ac:dyDescent="0.2">
      <c r="A3523" s="625" t="s">
        <v>7690</v>
      </c>
      <c r="B3523" s="626" t="s">
        <v>1908</v>
      </c>
      <c r="C3523" s="638" t="s">
        <v>7691</v>
      </c>
      <c r="D3523" s="626" t="s">
        <v>6876</v>
      </c>
      <c r="E3523" s="715">
        <v>1300</v>
      </c>
      <c r="F3523" s="626" t="s">
        <v>7755</v>
      </c>
      <c r="G3523" s="648" t="s">
        <v>7756</v>
      </c>
      <c r="H3523" s="649" t="s">
        <v>6026</v>
      </c>
      <c r="I3523" s="648" t="s">
        <v>1919</v>
      </c>
      <c r="J3523" s="626" t="s">
        <v>7698</v>
      </c>
      <c r="K3523" s="642">
        <v>1</v>
      </c>
      <c r="L3523" s="640">
        <v>12</v>
      </c>
      <c r="M3523" s="717">
        <f t="shared" si="36"/>
        <v>15600</v>
      </c>
      <c r="N3523" s="654"/>
      <c r="O3523" s="653"/>
      <c r="P3523" s="643"/>
    </row>
    <row r="3524" spans="1:16" s="619" customFormat="1" ht="24" x14ac:dyDescent="0.2">
      <c r="A3524" s="625" t="s">
        <v>7690</v>
      </c>
      <c r="B3524" s="626" t="s">
        <v>1908</v>
      </c>
      <c r="C3524" s="638" t="s">
        <v>7691</v>
      </c>
      <c r="D3524" s="626" t="s">
        <v>7757</v>
      </c>
      <c r="E3524" s="715">
        <v>4000</v>
      </c>
      <c r="F3524" s="626" t="s">
        <v>7758</v>
      </c>
      <c r="G3524" s="648" t="s">
        <v>7759</v>
      </c>
      <c r="H3524" s="649" t="s">
        <v>6092</v>
      </c>
      <c r="I3524" s="648" t="s">
        <v>1993</v>
      </c>
      <c r="J3524" s="626" t="s">
        <v>3768</v>
      </c>
      <c r="K3524" s="642">
        <v>1</v>
      </c>
      <c r="L3524" s="640">
        <v>3</v>
      </c>
      <c r="M3524" s="717">
        <f t="shared" si="36"/>
        <v>12000</v>
      </c>
      <c r="N3524" s="654"/>
      <c r="O3524" s="653"/>
      <c r="P3524" s="643"/>
    </row>
    <row r="3525" spans="1:16" s="619" customFormat="1" ht="24" x14ac:dyDescent="0.2">
      <c r="A3525" s="625" t="s">
        <v>7690</v>
      </c>
      <c r="B3525" s="626" t="s">
        <v>1908</v>
      </c>
      <c r="C3525" s="638" t="s">
        <v>7695</v>
      </c>
      <c r="D3525" s="626" t="s">
        <v>7716</v>
      </c>
      <c r="E3525" s="715">
        <v>5000</v>
      </c>
      <c r="F3525" s="626" t="s">
        <v>7760</v>
      </c>
      <c r="G3525" s="648" t="s">
        <v>7761</v>
      </c>
      <c r="H3525" s="649" t="s">
        <v>6092</v>
      </c>
      <c r="I3525" s="648" t="s">
        <v>1993</v>
      </c>
      <c r="J3525" s="626" t="s">
        <v>7713</v>
      </c>
      <c r="K3525" s="642">
        <v>1</v>
      </c>
      <c r="L3525" s="640">
        <v>4</v>
      </c>
      <c r="M3525" s="717">
        <f t="shared" si="36"/>
        <v>20000</v>
      </c>
      <c r="N3525" s="654"/>
      <c r="O3525" s="653"/>
      <c r="P3525" s="643"/>
    </row>
    <row r="3526" spans="1:16" s="619" customFormat="1" ht="36" x14ac:dyDescent="0.2">
      <c r="A3526" s="625" t="s">
        <v>7690</v>
      </c>
      <c r="B3526" s="626" t="s">
        <v>1908</v>
      </c>
      <c r="C3526" s="638" t="s">
        <v>7691</v>
      </c>
      <c r="D3526" s="649" t="s">
        <v>6101</v>
      </c>
      <c r="E3526" s="718">
        <v>4000</v>
      </c>
      <c r="F3526" s="626" t="s">
        <v>7762</v>
      </c>
      <c r="G3526" s="648" t="s">
        <v>7763</v>
      </c>
      <c r="H3526" s="649" t="s">
        <v>6101</v>
      </c>
      <c r="I3526" s="648" t="s">
        <v>6101</v>
      </c>
      <c r="J3526" s="626" t="s">
        <v>7713</v>
      </c>
      <c r="K3526" s="642">
        <v>1</v>
      </c>
      <c r="L3526" s="640">
        <v>4</v>
      </c>
      <c r="M3526" s="717">
        <f t="shared" si="36"/>
        <v>16000</v>
      </c>
      <c r="N3526" s="654"/>
      <c r="O3526" s="653"/>
      <c r="P3526" s="643"/>
    </row>
    <row r="3527" spans="1:16" s="619" customFormat="1" ht="24" x14ac:dyDescent="0.2">
      <c r="A3527" s="625" t="s">
        <v>7690</v>
      </c>
      <c r="B3527" s="626" t="s">
        <v>1908</v>
      </c>
      <c r="C3527" s="638" t="s">
        <v>7695</v>
      </c>
      <c r="D3527" s="626" t="s">
        <v>7764</v>
      </c>
      <c r="E3527" s="715">
        <v>2000</v>
      </c>
      <c r="F3527" s="626" t="s">
        <v>7765</v>
      </c>
      <c r="G3527" s="648" t="s">
        <v>7766</v>
      </c>
      <c r="H3527" s="649" t="s">
        <v>7626</v>
      </c>
      <c r="I3527" s="648" t="s">
        <v>7764</v>
      </c>
      <c r="J3527" s="626" t="s">
        <v>7713</v>
      </c>
      <c r="K3527" s="642">
        <v>1</v>
      </c>
      <c r="L3527" s="640">
        <v>1</v>
      </c>
      <c r="M3527" s="717">
        <f t="shared" si="36"/>
        <v>2000</v>
      </c>
      <c r="N3527" s="654"/>
      <c r="O3527" s="653"/>
      <c r="P3527" s="643"/>
    </row>
    <row r="3528" spans="1:16" s="619" customFormat="1" ht="24" x14ac:dyDescent="0.2">
      <c r="A3528" s="625" t="s">
        <v>7690</v>
      </c>
      <c r="B3528" s="626" t="s">
        <v>1908</v>
      </c>
      <c r="C3528" s="638" t="s">
        <v>7691</v>
      </c>
      <c r="D3528" s="626" t="s">
        <v>2660</v>
      </c>
      <c r="E3528" s="715">
        <v>1200</v>
      </c>
      <c r="F3528" s="626" t="s">
        <v>7767</v>
      </c>
      <c r="G3528" s="648" t="s">
        <v>7768</v>
      </c>
      <c r="H3528" s="649" t="s">
        <v>2660</v>
      </c>
      <c r="I3528" s="648" t="s">
        <v>2660</v>
      </c>
      <c r="J3528" s="626" t="s">
        <v>3768</v>
      </c>
      <c r="K3528" s="642">
        <v>1</v>
      </c>
      <c r="L3528" s="640">
        <v>8</v>
      </c>
      <c r="M3528" s="717">
        <f t="shared" si="36"/>
        <v>9600</v>
      </c>
      <c r="N3528" s="654"/>
      <c r="O3528" s="653"/>
      <c r="P3528" s="643"/>
    </row>
    <row r="3529" spans="1:16" s="619" customFormat="1" ht="24" x14ac:dyDescent="0.2">
      <c r="A3529" s="625" t="s">
        <v>7690</v>
      </c>
      <c r="B3529" s="626" t="s">
        <v>1908</v>
      </c>
      <c r="C3529" s="638" t="s">
        <v>7691</v>
      </c>
      <c r="D3529" s="626" t="s">
        <v>2660</v>
      </c>
      <c r="E3529" s="715">
        <v>1100</v>
      </c>
      <c r="F3529" s="626" t="s">
        <v>7769</v>
      </c>
      <c r="G3529" s="648" t="s">
        <v>7770</v>
      </c>
      <c r="H3529" s="649" t="s">
        <v>2660</v>
      </c>
      <c r="I3529" s="648" t="s">
        <v>2660</v>
      </c>
      <c r="J3529" s="626" t="s">
        <v>3768</v>
      </c>
      <c r="K3529" s="642">
        <v>1</v>
      </c>
      <c r="L3529" s="640">
        <v>8</v>
      </c>
      <c r="M3529" s="717">
        <f t="shared" si="36"/>
        <v>8800</v>
      </c>
      <c r="N3529" s="654"/>
      <c r="O3529" s="653"/>
      <c r="P3529" s="643"/>
    </row>
    <row r="3530" spans="1:16" s="619" customFormat="1" ht="36" x14ac:dyDescent="0.2">
      <c r="A3530" s="625" t="s">
        <v>7690</v>
      </c>
      <c r="B3530" s="626" t="s">
        <v>1908</v>
      </c>
      <c r="C3530" s="638" t="s">
        <v>7691</v>
      </c>
      <c r="D3530" s="626" t="s">
        <v>7757</v>
      </c>
      <c r="E3530" s="715">
        <v>2000</v>
      </c>
      <c r="F3530" s="626" t="s">
        <v>7771</v>
      </c>
      <c r="G3530" s="648" t="s">
        <v>7772</v>
      </c>
      <c r="H3530" s="649" t="s">
        <v>6092</v>
      </c>
      <c r="I3530" s="648" t="s">
        <v>1993</v>
      </c>
      <c r="J3530" s="626" t="s">
        <v>3768</v>
      </c>
      <c r="K3530" s="642">
        <v>1</v>
      </c>
      <c r="L3530" s="640">
        <v>12</v>
      </c>
      <c r="M3530" s="717">
        <f t="shared" si="36"/>
        <v>24000</v>
      </c>
      <c r="N3530" s="654"/>
      <c r="O3530" s="653"/>
      <c r="P3530" s="643"/>
    </row>
    <row r="3531" spans="1:16" s="619" customFormat="1" ht="36" x14ac:dyDescent="0.2">
      <c r="A3531" s="625" t="s">
        <v>7690</v>
      </c>
      <c r="B3531" s="626" t="s">
        <v>1908</v>
      </c>
      <c r="C3531" s="638" t="s">
        <v>7691</v>
      </c>
      <c r="D3531" s="626" t="s">
        <v>3695</v>
      </c>
      <c r="E3531" s="715">
        <v>1500</v>
      </c>
      <c r="F3531" s="626" t="s">
        <v>7773</v>
      </c>
      <c r="G3531" s="648" t="s">
        <v>7774</v>
      </c>
      <c r="H3531" s="649" t="s">
        <v>3695</v>
      </c>
      <c r="I3531" s="648" t="s">
        <v>1919</v>
      </c>
      <c r="J3531" s="626" t="s">
        <v>7698</v>
      </c>
      <c r="K3531" s="642">
        <v>1</v>
      </c>
      <c r="L3531" s="640">
        <v>12</v>
      </c>
      <c r="M3531" s="717">
        <f t="shared" si="36"/>
        <v>18000</v>
      </c>
      <c r="N3531" s="654"/>
      <c r="O3531" s="653"/>
      <c r="P3531" s="643"/>
    </row>
    <row r="3532" spans="1:16" s="619" customFormat="1" ht="36" x14ac:dyDescent="0.2">
      <c r="A3532" s="625" t="s">
        <v>7690</v>
      </c>
      <c r="B3532" s="626" t="s">
        <v>1908</v>
      </c>
      <c r="C3532" s="638" t="s">
        <v>7695</v>
      </c>
      <c r="D3532" s="626" t="s">
        <v>7757</v>
      </c>
      <c r="E3532" s="715">
        <v>5500</v>
      </c>
      <c r="F3532" s="626" t="s">
        <v>7775</v>
      </c>
      <c r="G3532" s="648" t="s">
        <v>7776</v>
      </c>
      <c r="H3532" s="649" t="s">
        <v>6092</v>
      </c>
      <c r="I3532" s="648" t="s">
        <v>1993</v>
      </c>
      <c r="J3532" s="626" t="s">
        <v>3768</v>
      </c>
      <c r="K3532" s="642">
        <v>1</v>
      </c>
      <c r="L3532" s="640">
        <v>12</v>
      </c>
      <c r="M3532" s="717">
        <f t="shared" si="36"/>
        <v>66000</v>
      </c>
      <c r="N3532" s="654"/>
      <c r="O3532" s="653"/>
      <c r="P3532" s="643"/>
    </row>
    <row r="3533" spans="1:16" s="619" customFormat="1" ht="36" x14ac:dyDescent="0.2">
      <c r="A3533" s="625" t="s">
        <v>7690</v>
      </c>
      <c r="B3533" s="626" t="s">
        <v>1908</v>
      </c>
      <c r="C3533" s="638" t="s">
        <v>7691</v>
      </c>
      <c r="D3533" s="626" t="s">
        <v>7720</v>
      </c>
      <c r="E3533" s="715">
        <v>1100</v>
      </c>
      <c r="F3533" s="626" t="s">
        <v>7777</v>
      </c>
      <c r="G3533" s="648" t="s">
        <v>7778</v>
      </c>
      <c r="H3533" s="649" t="s">
        <v>3569</v>
      </c>
      <c r="I3533" s="648" t="s">
        <v>1919</v>
      </c>
      <c r="J3533" s="626" t="s">
        <v>7698</v>
      </c>
      <c r="K3533" s="642">
        <v>1</v>
      </c>
      <c r="L3533" s="640">
        <v>5</v>
      </c>
      <c r="M3533" s="717">
        <f t="shared" si="36"/>
        <v>5500</v>
      </c>
      <c r="N3533" s="654"/>
      <c r="O3533" s="653"/>
      <c r="P3533" s="643"/>
    </row>
    <row r="3534" spans="1:16" s="619" customFormat="1" ht="24" x14ac:dyDescent="0.2">
      <c r="A3534" s="625" t="s">
        <v>7690</v>
      </c>
      <c r="B3534" s="626" t="s">
        <v>1908</v>
      </c>
      <c r="C3534" s="638" t="s">
        <v>7695</v>
      </c>
      <c r="D3534" s="626" t="s">
        <v>6198</v>
      </c>
      <c r="E3534" s="715">
        <v>4500</v>
      </c>
      <c r="F3534" s="626" t="s">
        <v>7779</v>
      </c>
      <c r="G3534" s="648" t="s">
        <v>7780</v>
      </c>
      <c r="H3534" s="649" t="s">
        <v>7740</v>
      </c>
      <c r="I3534" s="648" t="s">
        <v>7741</v>
      </c>
      <c r="J3534" s="626" t="s">
        <v>7713</v>
      </c>
      <c r="K3534" s="642">
        <v>1</v>
      </c>
      <c r="L3534" s="640">
        <v>12</v>
      </c>
      <c r="M3534" s="717">
        <f t="shared" si="36"/>
        <v>54000</v>
      </c>
      <c r="N3534" s="654"/>
      <c r="O3534" s="653"/>
      <c r="P3534" s="643"/>
    </row>
    <row r="3535" spans="1:16" s="619" customFormat="1" ht="36" x14ac:dyDescent="0.2">
      <c r="A3535" s="625" t="s">
        <v>7690</v>
      </c>
      <c r="B3535" s="626" t="s">
        <v>1908</v>
      </c>
      <c r="C3535" s="638" t="s">
        <v>7691</v>
      </c>
      <c r="D3535" s="626" t="s">
        <v>7716</v>
      </c>
      <c r="E3535" s="715">
        <v>2000</v>
      </c>
      <c r="F3535" s="626" t="s">
        <v>7781</v>
      </c>
      <c r="G3535" s="648" t="s">
        <v>7782</v>
      </c>
      <c r="H3535" s="649" t="s">
        <v>6092</v>
      </c>
      <c r="I3535" s="648" t="s">
        <v>1993</v>
      </c>
      <c r="J3535" s="626" t="s">
        <v>7713</v>
      </c>
      <c r="K3535" s="642">
        <v>1</v>
      </c>
      <c r="L3535" s="640">
        <v>12</v>
      </c>
      <c r="M3535" s="717">
        <f t="shared" si="36"/>
        <v>24000</v>
      </c>
      <c r="N3535" s="654"/>
      <c r="O3535" s="653"/>
      <c r="P3535" s="643"/>
    </row>
    <row r="3536" spans="1:16" s="619" customFormat="1" ht="24" x14ac:dyDescent="0.2">
      <c r="A3536" s="625" t="s">
        <v>7690</v>
      </c>
      <c r="B3536" s="626" t="s">
        <v>1908</v>
      </c>
      <c r="C3536" s="638" t="s">
        <v>7691</v>
      </c>
      <c r="D3536" s="626" t="s">
        <v>7757</v>
      </c>
      <c r="E3536" s="715">
        <v>2300</v>
      </c>
      <c r="F3536" s="626" t="s">
        <v>7783</v>
      </c>
      <c r="G3536" s="648" t="s">
        <v>7784</v>
      </c>
      <c r="H3536" s="649" t="s">
        <v>6092</v>
      </c>
      <c r="I3536" s="648" t="s">
        <v>1993</v>
      </c>
      <c r="J3536" s="626" t="s">
        <v>3768</v>
      </c>
      <c r="K3536" s="642">
        <v>1</v>
      </c>
      <c r="L3536" s="640">
        <v>12</v>
      </c>
      <c r="M3536" s="717">
        <f t="shared" si="36"/>
        <v>27600</v>
      </c>
      <c r="N3536" s="654"/>
      <c r="O3536" s="653"/>
      <c r="P3536" s="643"/>
    </row>
    <row r="3537" spans="1:16" s="619" customFormat="1" ht="36" x14ac:dyDescent="0.2">
      <c r="A3537" s="625" t="s">
        <v>7690</v>
      </c>
      <c r="B3537" s="626" t="s">
        <v>1908</v>
      </c>
      <c r="C3537" s="638" t="s">
        <v>7695</v>
      </c>
      <c r="D3537" s="626" t="s">
        <v>6198</v>
      </c>
      <c r="E3537" s="715">
        <v>5000</v>
      </c>
      <c r="F3537" s="626" t="s">
        <v>7785</v>
      </c>
      <c r="G3537" s="648" t="s">
        <v>7786</v>
      </c>
      <c r="H3537" s="649" t="s">
        <v>7740</v>
      </c>
      <c r="I3537" s="648" t="s">
        <v>7741</v>
      </c>
      <c r="J3537" s="626" t="s">
        <v>7713</v>
      </c>
      <c r="K3537" s="642">
        <v>1</v>
      </c>
      <c r="L3537" s="640">
        <v>4</v>
      </c>
      <c r="M3537" s="717">
        <f t="shared" si="36"/>
        <v>20000</v>
      </c>
      <c r="N3537" s="654"/>
      <c r="O3537" s="653"/>
      <c r="P3537" s="643"/>
    </row>
    <row r="3538" spans="1:16" s="619" customFormat="1" ht="36" x14ac:dyDescent="0.2">
      <c r="A3538" s="625" t="s">
        <v>7690</v>
      </c>
      <c r="B3538" s="626" t="s">
        <v>1908</v>
      </c>
      <c r="C3538" s="638" t="s">
        <v>7691</v>
      </c>
      <c r="D3538" s="626" t="s">
        <v>7716</v>
      </c>
      <c r="E3538" s="715">
        <v>5000</v>
      </c>
      <c r="F3538" s="626" t="s">
        <v>7787</v>
      </c>
      <c r="G3538" s="648" t="s">
        <v>7788</v>
      </c>
      <c r="H3538" s="649" t="s">
        <v>6092</v>
      </c>
      <c r="I3538" s="648" t="s">
        <v>1993</v>
      </c>
      <c r="J3538" s="626" t="s">
        <v>7713</v>
      </c>
      <c r="K3538" s="642">
        <v>1</v>
      </c>
      <c r="L3538" s="640">
        <v>2</v>
      </c>
      <c r="M3538" s="717">
        <f t="shared" si="36"/>
        <v>10000</v>
      </c>
      <c r="N3538" s="654"/>
      <c r="O3538" s="653"/>
      <c r="P3538" s="643"/>
    </row>
    <row r="3539" spans="1:16" s="619" customFormat="1" ht="36" x14ac:dyDescent="0.2">
      <c r="A3539" s="625" t="s">
        <v>7690</v>
      </c>
      <c r="B3539" s="626" t="s">
        <v>1908</v>
      </c>
      <c r="C3539" s="638" t="s">
        <v>7691</v>
      </c>
      <c r="D3539" s="649" t="s">
        <v>6101</v>
      </c>
      <c r="E3539" s="715">
        <v>2000</v>
      </c>
      <c r="F3539" s="626" t="s">
        <v>7789</v>
      </c>
      <c r="G3539" s="648" t="s">
        <v>7790</v>
      </c>
      <c r="H3539" s="649" t="s">
        <v>6101</v>
      </c>
      <c r="I3539" s="648" t="s">
        <v>6101</v>
      </c>
      <c r="J3539" s="626" t="s">
        <v>3768</v>
      </c>
      <c r="K3539" s="642">
        <v>1</v>
      </c>
      <c r="L3539" s="640">
        <v>12</v>
      </c>
      <c r="M3539" s="717">
        <f t="shared" si="36"/>
        <v>24000</v>
      </c>
      <c r="N3539" s="654"/>
      <c r="O3539" s="653"/>
      <c r="P3539" s="643"/>
    </row>
    <row r="3540" spans="1:16" s="619" customFormat="1" ht="24" x14ac:dyDescent="0.2">
      <c r="A3540" s="625" t="s">
        <v>7690</v>
      </c>
      <c r="B3540" s="626" t="s">
        <v>1908</v>
      </c>
      <c r="C3540" s="638" t="s">
        <v>7691</v>
      </c>
      <c r="D3540" s="626" t="s">
        <v>7764</v>
      </c>
      <c r="E3540" s="715">
        <v>1500</v>
      </c>
      <c r="F3540" s="626" t="s">
        <v>7791</v>
      </c>
      <c r="G3540" s="648" t="s">
        <v>7792</v>
      </c>
      <c r="H3540" s="649" t="s">
        <v>7626</v>
      </c>
      <c r="I3540" s="648" t="s">
        <v>7764</v>
      </c>
      <c r="J3540" s="626" t="s">
        <v>7713</v>
      </c>
      <c r="K3540" s="642">
        <v>1</v>
      </c>
      <c r="L3540" s="640">
        <v>12</v>
      </c>
      <c r="M3540" s="717">
        <f t="shared" si="36"/>
        <v>18000</v>
      </c>
      <c r="N3540" s="654"/>
      <c r="O3540" s="653"/>
      <c r="P3540" s="643"/>
    </row>
    <row r="3541" spans="1:16" s="619" customFormat="1" ht="48" x14ac:dyDescent="0.2">
      <c r="A3541" s="625" t="s">
        <v>7690</v>
      </c>
      <c r="B3541" s="626" t="s">
        <v>1908</v>
      </c>
      <c r="C3541" s="638" t="s">
        <v>7691</v>
      </c>
      <c r="D3541" s="649" t="s">
        <v>6101</v>
      </c>
      <c r="E3541" s="715">
        <v>2000</v>
      </c>
      <c r="F3541" s="626" t="s">
        <v>7793</v>
      </c>
      <c r="G3541" s="648" t="s">
        <v>7794</v>
      </c>
      <c r="H3541" s="649" t="s">
        <v>6101</v>
      </c>
      <c r="I3541" s="648" t="s">
        <v>6101</v>
      </c>
      <c r="J3541" s="626" t="s">
        <v>7713</v>
      </c>
      <c r="K3541" s="642">
        <v>1</v>
      </c>
      <c r="L3541" s="640">
        <v>10</v>
      </c>
      <c r="M3541" s="717">
        <f t="shared" si="36"/>
        <v>20000</v>
      </c>
      <c r="N3541" s="654"/>
      <c r="O3541" s="653"/>
      <c r="P3541" s="643"/>
    </row>
    <row r="3542" spans="1:16" s="619" customFormat="1" ht="48" x14ac:dyDescent="0.2">
      <c r="A3542" s="625" t="s">
        <v>7690</v>
      </c>
      <c r="B3542" s="626" t="s">
        <v>1908</v>
      </c>
      <c r="C3542" s="638" t="s">
        <v>7695</v>
      </c>
      <c r="D3542" s="626" t="s">
        <v>6198</v>
      </c>
      <c r="E3542" s="715">
        <v>5000</v>
      </c>
      <c r="F3542" s="626" t="s">
        <v>7795</v>
      </c>
      <c r="G3542" s="648" t="s">
        <v>7796</v>
      </c>
      <c r="H3542" s="649" t="s">
        <v>7740</v>
      </c>
      <c r="I3542" s="648" t="s">
        <v>7741</v>
      </c>
      <c r="J3542" s="626" t="s">
        <v>7713</v>
      </c>
      <c r="K3542" s="642">
        <v>1</v>
      </c>
      <c r="L3542" s="640">
        <v>4</v>
      </c>
      <c r="M3542" s="717">
        <f t="shared" si="36"/>
        <v>20000</v>
      </c>
      <c r="N3542" s="654"/>
      <c r="O3542" s="653"/>
      <c r="P3542" s="643"/>
    </row>
    <row r="3543" spans="1:16" s="619" customFormat="1" ht="36" x14ac:dyDescent="0.2">
      <c r="A3543" s="625" t="s">
        <v>7690</v>
      </c>
      <c r="B3543" s="626" t="s">
        <v>1908</v>
      </c>
      <c r="C3543" s="638" t="s">
        <v>7691</v>
      </c>
      <c r="D3543" s="626" t="s">
        <v>6198</v>
      </c>
      <c r="E3543" s="715">
        <v>4000</v>
      </c>
      <c r="F3543" s="626" t="s">
        <v>7797</v>
      </c>
      <c r="G3543" s="648" t="s">
        <v>7798</v>
      </c>
      <c r="H3543" s="649" t="s">
        <v>7740</v>
      </c>
      <c r="I3543" s="648" t="s">
        <v>7741</v>
      </c>
      <c r="J3543" s="626" t="s">
        <v>7713</v>
      </c>
      <c r="K3543" s="642">
        <v>1</v>
      </c>
      <c r="L3543" s="640">
        <v>2</v>
      </c>
      <c r="M3543" s="717">
        <f t="shared" si="36"/>
        <v>8000</v>
      </c>
      <c r="N3543" s="654"/>
      <c r="O3543" s="653"/>
      <c r="P3543" s="643"/>
    </row>
    <row r="3544" spans="1:16" s="619" customFormat="1" ht="36" x14ac:dyDescent="0.2">
      <c r="A3544" s="625" t="s">
        <v>7690</v>
      </c>
      <c r="B3544" s="626" t="s">
        <v>1908</v>
      </c>
      <c r="C3544" s="638" t="s">
        <v>7691</v>
      </c>
      <c r="D3544" s="626" t="s">
        <v>7626</v>
      </c>
      <c r="E3544" s="715">
        <v>1200</v>
      </c>
      <c r="F3544" s="626" t="s">
        <v>7799</v>
      </c>
      <c r="G3544" s="648" t="s">
        <v>7800</v>
      </c>
      <c r="H3544" s="649" t="s">
        <v>7626</v>
      </c>
      <c r="I3544" s="648" t="s">
        <v>7626</v>
      </c>
      <c r="J3544" s="626" t="s">
        <v>7713</v>
      </c>
      <c r="K3544" s="642">
        <v>1</v>
      </c>
      <c r="L3544" s="640">
        <v>2</v>
      </c>
      <c r="M3544" s="717">
        <f t="shared" si="36"/>
        <v>2400</v>
      </c>
      <c r="N3544" s="654"/>
      <c r="O3544" s="653"/>
      <c r="P3544" s="643"/>
    </row>
    <row r="3545" spans="1:16" s="619" customFormat="1" ht="36" x14ac:dyDescent="0.2">
      <c r="A3545" s="625" t="s">
        <v>7690</v>
      </c>
      <c r="B3545" s="626" t="s">
        <v>1908</v>
      </c>
      <c r="C3545" s="638" t="s">
        <v>7691</v>
      </c>
      <c r="D3545" s="626" t="s">
        <v>7801</v>
      </c>
      <c r="E3545" s="715">
        <v>1000</v>
      </c>
      <c r="F3545" s="626" t="s">
        <v>7802</v>
      </c>
      <c r="G3545" s="648" t="s">
        <v>7803</v>
      </c>
      <c r="H3545" s="649" t="s">
        <v>3548</v>
      </c>
      <c r="I3545" s="648" t="s">
        <v>1919</v>
      </c>
      <c r="J3545" s="626" t="s">
        <v>7698</v>
      </c>
      <c r="K3545" s="642">
        <v>1</v>
      </c>
      <c r="L3545" s="640">
        <v>4</v>
      </c>
      <c r="M3545" s="717">
        <f t="shared" si="36"/>
        <v>4000</v>
      </c>
      <c r="N3545" s="654"/>
      <c r="O3545" s="653"/>
      <c r="P3545" s="643"/>
    </row>
    <row r="3546" spans="1:16" s="619" customFormat="1" ht="24" x14ac:dyDescent="0.2">
      <c r="A3546" s="625" t="s">
        <v>7690</v>
      </c>
      <c r="B3546" s="626" t="s">
        <v>1908</v>
      </c>
      <c r="C3546" s="638" t="s">
        <v>7691</v>
      </c>
      <c r="D3546" s="626" t="s">
        <v>7804</v>
      </c>
      <c r="E3546" s="715">
        <v>1200</v>
      </c>
      <c r="F3546" s="626" t="s">
        <v>7805</v>
      </c>
      <c r="G3546" s="648" t="s">
        <v>7806</v>
      </c>
      <c r="H3546" s="649" t="s">
        <v>3606</v>
      </c>
      <c r="I3546" s="648" t="s">
        <v>2055</v>
      </c>
      <c r="J3546" s="626" t="s">
        <v>7713</v>
      </c>
      <c r="K3546" s="642">
        <v>1</v>
      </c>
      <c r="L3546" s="640">
        <v>1</v>
      </c>
      <c r="M3546" s="717">
        <f t="shared" si="36"/>
        <v>1200</v>
      </c>
      <c r="N3546" s="654"/>
      <c r="O3546" s="653"/>
      <c r="P3546" s="643"/>
    </row>
    <row r="3547" spans="1:16" s="619" customFormat="1" ht="36" x14ac:dyDescent="0.2">
      <c r="A3547" s="625" t="s">
        <v>7690</v>
      </c>
      <c r="B3547" s="626" t="s">
        <v>1908</v>
      </c>
      <c r="C3547" s="638" t="s">
        <v>7691</v>
      </c>
      <c r="D3547" s="626" t="s">
        <v>7801</v>
      </c>
      <c r="E3547" s="715">
        <v>1100</v>
      </c>
      <c r="F3547" s="626" t="s">
        <v>7807</v>
      </c>
      <c r="G3547" s="648" t="s">
        <v>7808</v>
      </c>
      <c r="H3547" s="649" t="s">
        <v>6158</v>
      </c>
      <c r="I3547" s="648" t="s">
        <v>1919</v>
      </c>
      <c r="J3547" s="626" t="s">
        <v>7698</v>
      </c>
      <c r="K3547" s="642">
        <v>1</v>
      </c>
      <c r="L3547" s="640">
        <v>12</v>
      </c>
      <c r="M3547" s="717">
        <f t="shared" si="36"/>
        <v>13200</v>
      </c>
      <c r="N3547" s="654"/>
      <c r="O3547" s="653"/>
      <c r="P3547" s="643"/>
    </row>
    <row r="3548" spans="1:16" s="619" customFormat="1" ht="36" x14ac:dyDescent="0.2">
      <c r="A3548" s="625" t="s">
        <v>7690</v>
      </c>
      <c r="B3548" s="626" t="s">
        <v>1908</v>
      </c>
      <c r="C3548" s="638" t="s">
        <v>7695</v>
      </c>
      <c r="D3548" s="626" t="s">
        <v>7716</v>
      </c>
      <c r="E3548" s="715">
        <v>4000</v>
      </c>
      <c r="F3548" s="626" t="s">
        <v>7809</v>
      </c>
      <c r="G3548" s="648" t="s">
        <v>7810</v>
      </c>
      <c r="H3548" s="649" t="s">
        <v>6092</v>
      </c>
      <c r="I3548" s="648" t="s">
        <v>7811</v>
      </c>
      <c r="J3548" s="626" t="s">
        <v>7713</v>
      </c>
      <c r="K3548" s="642">
        <v>1</v>
      </c>
      <c r="L3548" s="640">
        <v>4</v>
      </c>
      <c r="M3548" s="717">
        <f t="shared" si="36"/>
        <v>16000</v>
      </c>
      <c r="N3548" s="654"/>
      <c r="O3548" s="653"/>
      <c r="P3548" s="643"/>
    </row>
    <row r="3549" spans="1:16" s="619" customFormat="1" ht="24" x14ac:dyDescent="0.2">
      <c r="A3549" s="625" t="s">
        <v>7690</v>
      </c>
      <c r="B3549" s="626" t="s">
        <v>1908</v>
      </c>
      <c r="C3549" s="638" t="s">
        <v>7691</v>
      </c>
      <c r="D3549" s="649" t="s">
        <v>2660</v>
      </c>
      <c r="E3549" s="715">
        <v>1100</v>
      </c>
      <c r="F3549" s="626" t="s">
        <v>7812</v>
      </c>
      <c r="G3549" s="648" t="s">
        <v>7813</v>
      </c>
      <c r="H3549" s="649" t="s">
        <v>2660</v>
      </c>
      <c r="I3549" s="648" t="s">
        <v>3709</v>
      </c>
      <c r="J3549" s="626" t="s">
        <v>7713</v>
      </c>
      <c r="K3549" s="642">
        <v>1</v>
      </c>
      <c r="L3549" s="640">
        <v>9</v>
      </c>
      <c r="M3549" s="717">
        <f t="shared" si="36"/>
        <v>9900</v>
      </c>
      <c r="N3549" s="654"/>
      <c r="O3549" s="653"/>
      <c r="P3549" s="643"/>
    </row>
    <row r="3550" spans="1:16" s="619" customFormat="1" ht="24" x14ac:dyDescent="0.2">
      <c r="A3550" s="625" t="s">
        <v>7690</v>
      </c>
      <c r="B3550" s="626" t="s">
        <v>1908</v>
      </c>
      <c r="C3550" s="638" t="s">
        <v>7691</v>
      </c>
      <c r="D3550" s="626" t="s">
        <v>7626</v>
      </c>
      <c r="E3550" s="715">
        <v>1200</v>
      </c>
      <c r="F3550" s="626" t="s">
        <v>7814</v>
      </c>
      <c r="G3550" s="648" t="s">
        <v>7815</v>
      </c>
      <c r="H3550" s="649" t="s">
        <v>7626</v>
      </c>
      <c r="I3550" s="648" t="s">
        <v>7626</v>
      </c>
      <c r="J3550" s="626" t="s">
        <v>7713</v>
      </c>
      <c r="K3550" s="642">
        <v>1</v>
      </c>
      <c r="L3550" s="640">
        <v>12</v>
      </c>
      <c r="M3550" s="717">
        <f t="shared" si="36"/>
        <v>14400</v>
      </c>
      <c r="N3550" s="654"/>
      <c r="O3550" s="653"/>
      <c r="P3550" s="643"/>
    </row>
    <row r="3551" spans="1:16" s="619" customFormat="1" ht="36" x14ac:dyDescent="0.2">
      <c r="A3551" s="625" t="s">
        <v>7690</v>
      </c>
      <c r="B3551" s="626" t="s">
        <v>1908</v>
      </c>
      <c r="C3551" s="638" t="s">
        <v>7695</v>
      </c>
      <c r="D3551" s="626" t="s">
        <v>6198</v>
      </c>
      <c r="E3551" s="715">
        <v>5000</v>
      </c>
      <c r="F3551" s="626" t="s">
        <v>7816</v>
      </c>
      <c r="G3551" s="648" t="s">
        <v>7817</v>
      </c>
      <c r="H3551" s="649" t="s">
        <v>7740</v>
      </c>
      <c r="I3551" s="648" t="s">
        <v>7741</v>
      </c>
      <c r="J3551" s="626" t="s">
        <v>7713</v>
      </c>
      <c r="K3551" s="642">
        <v>1</v>
      </c>
      <c r="L3551" s="640">
        <v>5</v>
      </c>
      <c r="M3551" s="717">
        <f t="shared" si="36"/>
        <v>25000</v>
      </c>
      <c r="N3551" s="654"/>
      <c r="O3551" s="653"/>
      <c r="P3551" s="643"/>
    </row>
    <row r="3552" spans="1:16" s="619" customFormat="1" ht="24" x14ac:dyDescent="0.2">
      <c r="A3552" s="625" t="s">
        <v>7690</v>
      </c>
      <c r="B3552" s="626" t="s">
        <v>1908</v>
      </c>
      <c r="C3552" s="638" t="s">
        <v>7691</v>
      </c>
      <c r="D3552" s="626" t="s">
        <v>7818</v>
      </c>
      <c r="E3552" s="715">
        <v>1000</v>
      </c>
      <c r="F3552" s="626" t="s">
        <v>7819</v>
      </c>
      <c r="G3552" s="648" t="s">
        <v>7820</v>
      </c>
      <c r="H3552" s="649" t="s">
        <v>3548</v>
      </c>
      <c r="I3552" s="648" t="s">
        <v>1919</v>
      </c>
      <c r="J3552" s="626" t="s">
        <v>7698</v>
      </c>
      <c r="K3552" s="642">
        <v>1</v>
      </c>
      <c r="L3552" s="640">
        <v>12</v>
      </c>
      <c r="M3552" s="717">
        <f t="shared" si="36"/>
        <v>12000</v>
      </c>
      <c r="N3552" s="654"/>
      <c r="O3552" s="653"/>
      <c r="P3552" s="643"/>
    </row>
    <row r="3553" spans="1:16" s="619" customFormat="1" ht="36" x14ac:dyDescent="0.2">
      <c r="A3553" s="625" t="s">
        <v>7690</v>
      </c>
      <c r="B3553" s="626" t="s">
        <v>1908</v>
      </c>
      <c r="C3553" s="638" t="s">
        <v>7691</v>
      </c>
      <c r="D3553" s="626" t="s">
        <v>7716</v>
      </c>
      <c r="E3553" s="715">
        <v>2300</v>
      </c>
      <c r="F3553" s="626" t="s">
        <v>7821</v>
      </c>
      <c r="G3553" s="648" t="s">
        <v>7822</v>
      </c>
      <c r="H3553" s="649" t="s">
        <v>6092</v>
      </c>
      <c r="I3553" s="648" t="s">
        <v>1993</v>
      </c>
      <c r="J3553" s="626" t="s">
        <v>7713</v>
      </c>
      <c r="K3553" s="642">
        <v>1</v>
      </c>
      <c r="L3553" s="640">
        <v>12</v>
      </c>
      <c r="M3553" s="717">
        <f t="shared" si="36"/>
        <v>27600</v>
      </c>
      <c r="N3553" s="654"/>
      <c r="O3553" s="653"/>
      <c r="P3553" s="643"/>
    </row>
    <row r="3554" spans="1:16" s="619" customFormat="1" ht="24" x14ac:dyDescent="0.2">
      <c r="A3554" s="625" t="s">
        <v>7690</v>
      </c>
      <c r="B3554" s="626" t="s">
        <v>1908</v>
      </c>
      <c r="C3554" s="638" t="s">
        <v>7691</v>
      </c>
      <c r="D3554" s="626" t="s">
        <v>6198</v>
      </c>
      <c r="E3554" s="715">
        <v>2000</v>
      </c>
      <c r="F3554" s="626" t="s">
        <v>7823</v>
      </c>
      <c r="G3554" s="648" t="s">
        <v>7824</v>
      </c>
      <c r="H3554" s="649" t="s">
        <v>7740</v>
      </c>
      <c r="I3554" s="648" t="s">
        <v>7741</v>
      </c>
      <c r="J3554" s="626" t="s">
        <v>7713</v>
      </c>
      <c r="K3554" s="642">
        <v>1</v>
      </c>
      <c r="L3554" s="640">
        <v>10</v>
      </c>
      <c r="M3554" s="717">
        <f t="shared" si="36"/>
        <v>20000</v>
      </c>
      <c r="N3554" s="654"/>
      <c r="O3554" s="653"/>
      <c r="P3554" s="643"/>
    </row>
    <row r="3555" spans="1:16" s="619" customFormat="1" ht="24" x14ac:dyDescent="0.2">
      <c r="A3555" s="625" t="s">
        <v>7690</v>
      </c>
      <c r="B3555" s="626" t="s">
        <v>1908</v>
      </c>
      <c r="C3555" s="638" t="s">
        <v>7691</v>
      </c>
      <c r="D3555" s="626" t="s">
        <v>3709</v>
      </c>
      <c r="E3555" s="715">
        <v>1200</v>
      </c>
      <c r="F3555" s="626" t="s">
        <v>7825</v>
      </c>
      <c r="G3555" s="648" t="s">
        <v>7826</v>
      </c>
      <c r="H3555" s="649" t="s">
        <v>2660</v>
      </c>
      <c r="I3555" s="648" t="s">
        <v>2660</v>
      </c>
      <c r="J3555" s="626" t="s">
        <v>7713</v>
      </c>
      <c r="K3555" s="642">
        <v>1</v>
      </c>
      <c r="L3555" s="640">
        <v>12</v>
      </c>
      <c r="M3555" s="717">
        <f t="shared" si="36"/>
        <v>14400</v>
      </c>
      <c r="N3555" s="654"/>
      <c r="O3555" s="653"/>
      <c r="P3555" s="643"/>
    </row>
    <row r="3556" spans="1:16" s="619" customFormat="1" ht="36" x14ac:dyDescent="0.2">
      <c r="A3556" s="625" t="s">
        <v>7690</v>
      </c>
      <c r="B3556" s="626" t="s">
        <v>1908</v>
      </c>
      <c r="C3556" s="638" t="s">
        <v>7695</v>
      </c>
      <c r="D3556" s="626" t="s">
        <v>7716</v>
      </c>
      <c r="E3556" s="715">
        <v>4500</v>
      </c>
      <c r="F3556" s="626" t="s">
        <v>7827</v>
      </c>
      <c r="G3556" s="648" t="s">
        <v>7828</v>
      </c>
      <c r="H3556" s="649" t="s">
        <v>6092</v>
      </c>
      <c r="I3556" s="648" t="s">
        <v>1993</v>
      </c>
      <c r="J3556" s="626" t="s">
        <v>7713</v>
      </c>
      <c r="K3556" s="642">
        <v>1</v>
      </c>
      <c r="L3556" s="640">
        <v>12</v>
      </c>
      <c r="M3556" s="717">
        <f t="shared" si="36"/>
        <v>54000</v>
      </c>
      <c r="N3556" s="654"/>
      <c r="O3556" s="653"/>
      <c r="P3556" s="643"/>
    </row>
    <row r="3557" spans="1:16" s="619" customFormat="1" ht="36" x14ac:dyDescent="0.2">
      <c r="A3557" s="625" t="s">
        <v>7690</v>
      </c>
      <c r="B3557" s="626" t="s">
        <v>1908</v>
      </c>
      <c r="C3557" s="638" t="s">
        <v>7695</v>
      </c>
      <c r="D3557" s="626" t="s">
        <v>7757</v>
      </c>
      <c r="E3557" s="715">
        <v>6000</v>
      </c>
      <c r="F3557" s="626" t="s">
        <v>7829</v>
      </c>
      <c r="G3557" s="648" t="s">
        <v>7830</v>
      </c>
      <c r="H3557" s="649" t="s">
        <v>6092</v>
      </c>
      <c r="I3557" s="648" t="s">
        <v>1993</v>
      </c>
      <c r="J3557" s="626" t="s">
        <v>3768</v>
      </c>
      <c r="K3557" s="642">
        <v>1</v>
      </c>
      <c r="L3557" s="640">
        <v>12</v>
      </c>
      <c r="M3557" s="717">
        <f t="shared" si="36"/>
        <v>72000</v>
      </c>
      <c r="N3557" s="654"/>
      <c r="O3557" s="653"/>
      <c r="P3557" s="643"/>
    </row>
    <row r="3558" spans="1:16" s="619" customFormat="1" ht="36" x14ac:dyDescent="0.2">
      <c r="A3558" s="625" t="s">
        <v>7690</v>
      </c>
      <c r="B3558" s="626" t="s">
        <v>1908</v>
      </c>
      <c r="C3558" s="638" t="s">
        <v>7691</v>
      </c>
      <c r="D3558" s="626" t="s">
        <v>5790</v>
      </c>
      <c r="E3558" s="715">
        <v>2300</v>
      </c>
      <c r="F3558" s="626" t="s">
        <v>7831</v>
      </c>
      <c r="G3558" s="648" t="s">
        <v>7832</v>
      </c>
      <c r="H3558" s="649" t="s">
        <v>6227</v>
      </c>
      <c r="I3558" s="648" t="s">
        <v>1988</v>
      </c>
      <c r="J3558" s="626" t="s">
        <v>3768</v>
      </c>
      <c r="K3558" s="642">
        <v>1</v>
      </c>
      <c r="L3558" s="640">
        <v>5</v>
      </c>
      <c r="M3558" s="717">
        <f t="shared" si="36"/>
        <v>11500</v>
      </c>
      <c r="N3558" s="654"/>
      <c r="O3558" s="653"/>
      <c r="P3558" s="643"/>
    </row>
    <row r="3559" spans="1:16" s="619" customFormat="1" ht="36" x14ac:dyDescent="0.2">
      <c r="A3559" s="625" t="s">
        <v>7690</v>
      </c>
      <c r="B3559" s="626" t="s">
        <v>1908</v>
      </c>
      <c r="C3559" s="638" t="s">
        <v>7691</v>
      </c>
      <c r="D3559" s="626" t="s">
        <v>6152</v>
      </c>
      <c r="E3559" s="715">
        <v>5000</v>
      </c>
      <c r="F3559" s="626" t="s">
        <v>7833</v>
      </c>
      <c r="G3559" s="648" t="s">
        <v>7834</v>
      </c>
      <c r="H3559" s="649" t="s">
        <v>6149</v>
      </c>
      <c r="I3559" s="648" t="s">
        <v>7835</v>
      </c>
      <c r="J3559" s="626" t="s">
        <v>3768</v>
      </c>
      <c r="K3559" s="642">
        <v>1</v>
      </c>
      <c r="L3559" s="640">
        <v>7</v>
      </c>
      <c r="M3559" s="717">
        <f t="shared" si="36"/>
        <v>35000</v>
      </c>
      <c r="N3559" s="654"/>
      <c r="O3559" s="653"/>
      <c r="P3559" s="643"/>
    </row>
    <row r="3560" spans="1:16" s="619" customFormat="1" ht="24" x14ac:dyDescent="0.2">
      <c r="A3560" s="625" t="s">
        <v>7690</v>
      </c>
      <c r="B3560" s="626" t="s">
        <v>1908</v>
      </c>
      <c r="C3560" s="638" t="s">
        <v>7691</v>
      </c>
      <c r="D3560" s="626" t="s">
        <v>6876</v>
      </c>
      <c r="E3560" s="715">
        <v>1500</v>
      </c>
      <c r="F3560" s="626" t="s">
        <v>7836</v>
      </c>
      <c r="G3560" s="648" t="s">
        <v>7837</v>
      </c>
      <c r="H3560" s="649" t="s">
        <v>6026</v>
      </c>
      <c r="I3560" s="648" t="s">
        <v>1919</v>
      </c>
      <c r="J3560" s="626" t="s">
        <v>7698</v>
      </c>
      <c r="K3560" s="642">
        <v>1</v>
      </c>
      <c r="L3560" s="640">
        <v>6</v>
      </c>
      <c r="M3560" s="717">
        <f t="shared" si="36"/>
        <v>9000</v>
      </c>
      <c r="N3560" s="654"/>
      <c r="O3560" s="653"/>
      <c r="P3560" s="643"/>
    </row>
    <row r="3561" spans="1:16" s="619" customFormat="1" ht="36" x14ac:dyDescent="0.2">
      <c r="A3561" s="625" t="s">
        <v>7690</v>
      </c>
      <c r="B3561" s="626" t="s">
        <v>1908</v>
      </c>
      <c r="C3561" s="638" t="s">
        <v>7691</v>
      </c>
      <c r="D3561" s="626" t="s">
        <v>7624</v>
      </c>
      <c r="E3561" s="715">
        <v>1800</v>
      </c>
      <c r="F3561" s="626" t="s">
        <v>7838</v>
      </c>
      <c r="G3561" s="648" t="s">
        <v>7839</v>
      </c>
      <c r="H3561" s="649" t="s">
        <v>6114</v>
      </c>
      <c r="I3561" s="648" t="s">
        <v>1959</v>
      </c>
      <c r="J3561" s="626" t="s">
        <v>7713</v>
      </c>
      <c r="K3561" s="642">
        <v>1</v>
      </c>
      <c r="L3561" s="640">
        <v>12</v>
      </c>
      <c r="M3561" s="717">
        <f t="shared" si="36"/>
        <v>21600</v>
      </c>
      <c r="N3561" s="654"/>
      <c r="O3561" s="653"/>
      <c r="P3561" s="643"/>
    </row>
    <row r="3562" spans="1:16" s="619" customFormat="1" ht="36" x14ac:dyDescent="0.2">
      <c r="A3562" s="625" t="s">
        <v>7690</v>
      </c>
      <c r="B3562" s="626" t="s">
        <v>1908</v>
      </c>
      <c r="C3562" s="638" t="s">
        <v>7691</v>
      </c>
      <c r="D3562" s="626" t="s">
        <v>3178</v>
      </c>
      <c r="E3562" s="715">
        <v>2300</v>
      </c>
      <c r="F3562" s="626" t="s">
        <v>7840</v>
      </c>
      <c r="G3562" s="648" t="s">
        <v>7841</v>
      </c>
      <c r="H3562" s="649" t="s">
        <v>6227</v>
      </c>
      <c r="I3562" s="648" t="s">
        <v>1988</v>
      </c>
      <c r="J3562" s="626" t="s">
        <v>7713</v>
      </c>
      <c r="K3562" s="642">
        <v>1</v>
      </c>
      <c r="L3562" s="640">
        <v>3</v>
      </c>
      <c r="M3562" s="717">
        <f t="shared" si="36"/>
        <v>6900</v>
      </c>
      <c r="N3562" s="654"/>
      <c r="O3562" s="653"/>
      <c r="P3562" s="643"/>
    </row>
    <row r="3563" spans="1:16" s="619" customFormat="1" ht="36" x14ac:dyDescent="0.2">
      <c r="A3563" s="625" t="s">
        <v>7690</v>
      </c>
      <c r="B3563" s="626" t="s">
        <v>1908</v>
      </c>
      <c r="C3563" s="638" t="s">
        <v>7691</v>
      </c>
      <c r="D3563" s="626" t="s">
        <v>2232</v>
      </c>
      <c r="E3563" s="715">
        <v>1800</v>
      </c>
      <c r="F3563" s="626" t="s">
        <v>7842</v>
      </c>
      <c r="G3563" s="648" t="s">
        <v>7843</v>
      </c>
      <c r="H3563" s="649" t="s">
        <v>2232</v>
      </c>
      <c r="I3563" s="648" t="s">
        <v>2232</v>
      </c>
      <c r="J3563" s="626" t="s">
        <v>7713</v>
      </c>
      <c r="K3563" s="642">
        <v>1</v>
      </c>
      <c r="L3563" s="640">
        <v>12</v>
      </c>
      <c r="M3563" s="717">
        <f t="shared" si="36"/>
        <v>21600</v>
      </c>
      <c r="N3563" s="654"/>
      <c r="O3563" s="653"/>
      <c r="P3563" s="643"/>
    </row>
    <row r="3564" spans="1:16" s="619" customFormat="1" ht="24" x14ac:dyDescent="0.2">
      <c r="A3564" s="625" t="s">
        <v>7690</v>
      </c>
      <c r="B3564" s="626" t="s">
        <v>1908</v>
      </c>
      <c r="C3564" s="638" t="s">
        <v>7695</v>
      </c>
      <c r="D3564" s="626" t="s">
        <v>2660</v>
      </c>
      <c r="E3564" s="715">
        <v>1600</v>
      </c>
      <c r="F3564" s="626" t="s">
        <v>7844</v>
      </c>
      <c r="G3564" s="648" t="s">
        <v>7845</v>
      </c>
      <c r="H3564" s="649" t="s">
        <v>2660</v>
      </c>
      <c r="I3564" s="648" t="s">
        <v>2660</v>
      </c>
      <c r="J3564" s="626" t="s">
        <v>7713</v>
      </c>
      <c r="K3564" s="642">
        <v>1</v>
      </c>
      <c r="L3564" s="640">
        <v>12</v>
      </c>
      <c r="M3564" s="717">
        <f t="shared" si="36"/>
        <v>19200</v>
      </c>
      <c r="N3564" s="654"/>
      <c r="O3564" s="653"/>
      <c r="P3564" s="643"/>
    </row>
    <row r="3565" spans="1:16" s="619" customFormat="1" ht="36" x14ac:dyDescent="0.2">
      <c r="A3565" s="625" t="s">
        <v>7690</v>
      </c>
      <c r="B3565" s="626" t="s">
        <v>1908</v>
      </c>
      <c r="C3565" s="638" t="s">
        <v>7691</v>
      </c>
      <c r="D3565" s="626" t="s">
        <v>2660</v>
      </c>
      <c r="E3565" s="715">
        <v>1200</v>
      </c>
      <c r="F3565" s="626" t="s">
        <v>7846</v>
      </c>
      <c r="G3565" s="648" t="s">
        <v>7847</v>
      </c>
      <c r="H3565" s="649" t="s">
        <v>2660</v>
      </c>
      <c r="I3565" s="648" t="s">
        <v>2660</v>
      </c>
      <c r="J3565" s="626" t="s">
        <v>7713</v>
      </c>
      <c r="K3565" s="642">
        <v>1</v>
      </c>
      <c r="L3565" s="640">
        <v>2</v>
      </c>
      <c r="M3565" s="717">
        <f t="shared" si="36"/>
        <v>2400</v>
      </c>
      <c r="N3565" s="654"/>
      <c r="O3565" s="653"/>
      <c r="P3565" s="643"/>
    </row>
    <row r="3566" spans="1:16" s="619" customFormat="1" ht="36" x14ac:dyDescent="0.2">
      <c r="A3566" s="625" t="s">
        <v>7690</v>
      </c>
      <c r="B3566" s="626" t="s">
        <v>1908</v>
      </c>
      <c r="C3566" s="638" t="s">
        <v>7691</v>
      </c>
      <c r="D3566" s="626" t="s">
        <v>3677</v>
      </c>
      <c r="E3566" s="715">
        <v>930</v>
      </c>
      <c r="F3566" s="626" t="s">
        <v>7848</v>
      </c>
      <c r="G3566" s="648" t="s">
        <v>7849</v>
      </c>
      <c r="H3566" s="649" t="s">
        <v>6158</v>
      </c>
      <c r="I3566" s="648" t="s">
        <v>1919</v>
      </c>
      <c r="J3566" s="626" t="s">
        <v>7698</v>
      </c>
      <c r="K3566" s="642">
        <v>1</v>
      </c>
      <c r="L3566" s="640">
        <v>12</v>
      </c>
      <c r="M3566" s="717">
        <f t="shared" ref="M3566:M3629" si="37">+L3566*E3566</f>
        <v>11160</v>
      </c>
      <c r="N3566" s="654"/>
      <c r="O3566" s="653"/>
      <c r="P3566" s="643"/>
    </row>
    <row r="3567" spans="1:16" s="619" customFormat="1" ht="36" x14ac:dyDescent="0.2">
      <c r="A3567" s="625" t="s">
        <v>7690</v>
      </c>
      <c r="B3567" s="626" t="s">
        <v>1908</v>
      </c>
      <c r="C3567" s="638" t="s">
        <v>7695</v>
      </c>
      <c r="D3567" s="626" t="s">
        <v>6198</v>
      </c>
      <c r="E3567" s="715">
        <v>5000</v>
      </c>
      <c r="F3567" s="626" t="s">
        <v>7850</v>
      </c>
      <c r="G3567" s="648" t="s">
        <v>7851</v>
      </c>
      <c r="H3567" s="649" t="s">
        <v>7740</v>
      </c>
      <c r="I3567" s="648" t="s">
        <v>7741</v>
      </c>
      <c r="J3567" s="626" t="s">
        <v>7713</v>
      </c>
      <c r="K3567" s="642">
        <v>1</v>
      </c>
      <c r="L3567" s="640">
        <v>12</v>
      </c>
      <c r="M3567" s="717">
        <f t="shared" si="37"/>
        <v>60000</v>
      </c>
      <c r="N3567" s="654"/>
      <c r="O3567" s="653"/>
      <c r="P3567" s="643"/>
    </row>
    <row r="3568" spans="1:16" s="619" customFormat="1" ht="24" x14ac:dyDescent="0.2">
      <c r="A3568" s="625" t="s">
        <v>7690</v>
      </c>
      <c r="B3568" s="626" t="s">
        <v>1908</v>
      </c>
      <c r="C3568" s="638" t="s">
        <v>7691</v>
      </c>
      <c r="D3568" s="626" t="s">
        <v>2660</v>
      </c>
      <c r="E3568" s="715">
        <v>1200</v>
      </c>
      <c r="F3568" s="626" t="s">
        <v>7852</v>
      </c>
      <c r="G3568" s="648" t="s">
        <v>7853</v>
      </c>
      <c r="H3568" s="649" t="s">
        <v>2660</v>
      </c>
      <c r="I3568" s="648" t="s">
        <v>2660</v>
      </c>
      <c r="J3568" s="626" t="s">
        <v>3768</v>
      </c>
      <c r="K3568" s="642">
        <v>1</v>
      </c>
      <c r="L3568" s="640">
        <v>5</v>
      </c>
      <c r="M3568" s="717">
        <f t="shared" si="37"/>
        <v>6000</v>
      </c>
      <c r="N3568" s="654"/>
      <c r="O3568" s="653"/>
      <c r="P3568" s="643"/>
    </row>
    <row r="3569" spans="1:16" s="619" customFormat="1" ht="36" x14ac:dyDescent="0.2">
      <c r="A3569" s="625" t="s">
        <v>7690</v>
      </c>
      <c r="B3569" s="626" t="s">
        <v>1908</v>
      </c>
      <c r="C3569" s="638" t="s">
        <v>7691</v>
      </c>
      <c r="D3569" s="626" t="s">
        <v>7624</v>
      </c>
      <c r="E3569" s="715">
        <v>1800</v>
      </c>
      <c r="F3569" s="626" t="s">
        <v>7854</v>
      </c>
      <c r="G3569" s="648" t="s">
        <v>7855</v>
      </c>
      <c r="H3569" s="649" t="s">
        <v>6114</v>
      </c>
      <c r="I3569" s="648" t="s">
        <v>1959</v>
      </c>
      <c r="J3569" s="626" t="s">
        <v>3768</v>
      </c>
      <c r="K3569" s="642">
        <v>1</v>
      </c>
      <c r="L3569" s="640">
        <v>12</v>
      </c>
      <c r="M3569" s="717">
        <f t="shared" si="37"/>
        <v>21600</v>
      </c>
      <c r="N3569" s="654"/>
      <c r="O3569" s="653"/>
      <c r="P3569" s="643"/>
    </row>
    <row r="3570" spans="1:16" s="619" customFormat="1" ht="24" x14ac:dyDescent="0.2">
      <c r="A3570" s="625" t="s">
        <v>7690</v>
      </c>
      <c r="B3570" s="626" t="s">
        <v>1908</v>
      </c>
      <c r="C3570" s="638" t="s">
        <v>7691</v>
      </c>
      <c r="D3570" s="626" t="s">
        <v>3178</v>
      </c>
      <c r="E3570" s="715">
        <v>2300</v>
      </c>
      <c r="F3570" s="626" t="s">
        <v>7856</v>
      </c>
      <c r="G3570" s="648" t="s">
        <v>7857</v>
      </c>
      <c r="H3570" s="649" t="s">
        <v>6227</v>
      </c>
      <c r="I3570" s="648" t="s">
        <v>1988</v>
      </c>
      <c r="J3570" s="626" t="s">
        <v>7713</v>
      </c>
      <c r="K3570" s="642">
        <v>1</v>
      </c>
      <c r="L3570" s="640">
        <v>12</v>
      </c>
      <c r="M3570" s="717">
        <f t="shared" si="37"/>
        <v>27600</v>
      </c>
      <c r="N3570" s="654"/>
      <c r="O3570" s="653"/>
      <c r="P3570" s="643"/>
    </row>
    <row r="3571" spans="1:16" s="619" customFormat="1" ht="24" x14ac:dyDescent="0.2">
      <c r="A3571" s="625" t="s">
        <v>7690</v>
      </c>
      <c r="B3571" s="626" t="s">
        <v>1908</v>
      </c>
      <c r="C3571" s="638" t="s">
        <v>7691</v>
      </c>
      <c r="D3571" s="626" t="s">
        <v>6876</v>
      </c>
      <c r="E3571" s="715">
        <v>1200</v>
      </c>
      <c r="F3571" s="626" t="s">
        <v>7858</v>
      </c>
      <c r="G3571" s="648" t="s">
        <v>7859</v>
      </c>
      <c r="H3571" s="649" t="s">
        <v>6876</v>
      </c>
      <c r="I3571" s="648" t="s">
        <v>1919</v>
      </c>
      <c r="J3571" s="626" t="s">
        <v>7698</v>
      </c>
      <c r="K3571" s="642">
        <v>1</v>
      </c>
      <c r="L3571" s="640">
        <v>12</v>
      </c>
      <c r="M3571" s="717">
        <f t="shared" si="37"/>
        <v>14400</v>
      </c>
      <c r="N3571" s="654"/>
      <c r="O3571" s="653"/>
      <c r="P3571" s="643"/>
    </row>
    <row r="3572" spans="1:16" s="619" customFormat="1" ht="24" x14ac:dyDescent="0.2">
      <c r="A3572" s="625" t="s">
        <v>7690</v>
      </c>
      <c r="B3572" s="626" t="s">
        <v>1908</v>
      </c>
      <c r="C3572" s="638" t="s">
        <v>7691</v>
      </c>
      <c r="D3572" s="626" t="s">
        <v>6198</v>
      </c>
      <c r="E3572" s="715">
        <v>5500</v>
      </c>
      <c r="F3572" s="626" t="s">
        <v>7860</v>
      </c>
      <c r="G3572" s="648" t="s">
        <v>7861</v>
      </c>
      <c r="H3572" s="649" t="s">
        <v>7740</v>
      </c>
      <c r="I3572" s="648" t="s">
        <v>7741</v>
      </c>
      <c r="J3572" s="626" t="s">
        <v>3768</v>
      </c>
      <c r="K3572" s="642">
        <v>1</v>
      </c>
      <c r="L3572" s="640">
        <v>12</v>
      </c>
      <c r="M3572" s="717">
        <f t="shared" si="37"/>
        <v>66000</v>
      </c>
      <c r="N3572" s="654"/>
      <c r="O3572" s="653"/>
      <c r="P3572" s="643"/>
    </row>
    <row r="3573" spans="1:16" s="619" customFormat="1" ht="36" x14ac:dyDescent="0.2">
      <c r="A3573" s="625" t="s">
        <v>7690</v>
      </c>
      <c r="B3573" s="626" t="s">
        <v>1908</v>
      </c>
      <c r="C3573" s="638" t="s">
        <v>7695</v>
      </c>
      <c r="D3573" s="626" t="s">
        <v>6198</v>
      </c>
      <c r="E3573" s="715">
        <v>5000</v>
      </c>
      <c r="F3573" s="626" t="s">
        <v>7862</v>
      </c>
      <c r="G3573" s="648" t="s">
        <v>7863</v>
      </c>
      <c r="H3573" s="649" t="s">
        <v>7740</v>
      </c>
      <c r="I3573" s="648" t="s">
        <v>7741</v>
      </c>
      <c r="J3573" s="626" t="s">
        <v>3768</v>
      </c>
      <c r="K3573" s="642">
        <v>1</v>
      </c>
      <c r="L3573" s="640">
        <v>4</v>
      </c>
      <c r="M3573" s="717">
        <f t="shared" si="37"/>
        <v>20000</v>
      </c>
      <c r="N3573" s="654"/>
      <c r="O3573" s="653"/>
      <c r="P3573" s="643"/>
    </row>
    <row r="3574" spans="1:16" s="619" customFormat="1" ht="36" x14ac:dyDescent="0.2">
      <c r="A3574" s="625" t="s">
        <v>7690</v>
      </c>
      <c r="B3574" s="626" t="s">
        <v>1908</v>
      </c>
      <c r="C3574" s="638" t="s">
        <v>7691</v>
      </c>
      <c r="D3574" s="626" t="s">
        <v>6876</v>
      </c>
      <c r="E3574" s="715">
        <v>1500</v>
      </c>
      <c r="F3574" s="626" t="s">
        <v>7864</v>
      </c>
      <c r="G3574" s="648" t="s">
        <v>7865</v>
      </c>
      <c r="H3574" s="649" t="s">
        <v>6158</v>
      </c>
      <c r="I3574" s="648" t="s">
        <v>1919</v>
      </c>
      <c r="J3574" s="626" t="s">
        <v>7698</v>
      </c>
      <c r="K3574" s="642">
        <v>1</v>
      </c>
      <c r="L3574" s="640">
        <v>1</v>
      </c>
      <c r="M3574" s="717">
        <f t="shared" si="37"/>
        <v>1500</v>
      </c>
      <c r="N3574" s="654"/>
      <c r="O3574" s="653"/>
      <c r="P3574" s="643"/>
    </row>
    <row r="3575" spans="1:16" s="619" customFormat="1" ht="36" x14ac:dyDescent="0.2">
      <c r="A3575" s="625" t="s">
        <v>7690</v>
      </c>
      <c r="B3575" s="626" t="s">
        <v>1908</v>
      </c>
      <c r="C3575" s="638" t="s">
        <v>7691</v>
      </c>
      <c r="D3575" s="626" t="s">
        <v>7866</v>
      </c>
      <c r="E3575" s="715">
        <v>2500</v>
      </c>
      <c r="F3575" s="626" t="s">
        <v>7867</v>
      </c>
      <c r="G3575" s="648" t="s">
        <v>7868</v>
      </c>
      <c r="H3575" s="649" t="s">
        <v>6114</v>
      </c>
      <c r="I3575" s="648" t="s">
        <v>6114</v>
      </c>
      <c r="J3575" s="626" t="s">
        <v>3768</v>
      </c>
      <c r="K3575" s="642">
        <v>1</v>
      </c>
      <c r="L3575" s="640">
        <v>8</v>
      </c>
      <c r="M3575" s="717">
        <f t="shared" si="37"/>
        <v>20000</v>
      </c>
      <c r="N3575" s="654"/>
      <c r="O3575" s="653"/>
      <c r="P3575" s="643"/>
    </row>
    <row r="3576" spans="1:16" s="619" customFormat="1" ht="36" x14ac:dyDescent="0.2">
      <c r="A3576" s="625" t="s">
        <v>7690</v>
      </c>
      <c r="B3576" s="626" t="s">
        <v>1908</v>
      </c>
      <c r="C3576" s="638" t="s">
        <v>7691</v>
      </c>
      <c r="D3576" s="626" t="s">
        <v>7624</v>
      </c>
      <c r="E3576" s="715">
        <v>1200</v>
      </c>
      <c r="F3576" s="626" t="s">
        <v>7869</v>
      </c>
      <c r="G3576" s="648" t="s">
        <v>7870</v>
      </c>
      <c r="H3576" s="649" t="s">
        <v>6114</v>
      </c>
      <c r="I3576" s="648" t="s">
        <v>6114</v>
      </c>
      <c r="J3576" s="626"/>
      <c r="K3576" s="642">
        <v>1</v>
      </c>
      <c r="L3576" s="640">
        <v>5</v>
      </c>
      <c r="M3576" s="717">
        <f t="shared" si="37"/>
        <v>6000</v>
      </c>
      <c r="N3576" s="654"/>
      <c r="O3576" s="653"/>
      <c r="P3576" s="643"/>
    </row>
    <row r="3577" spans="1:16" s="619" customFormat="1" ht="36" x14ac:dyDescent="0.2">
      <c r="A3577" s="625" t="s">
        <v>7690</v>
      </c>
      <c r="B3577" s="626" t="s">
        <v>1908</v>
      </c>
      <c r="C3577" s="638" t="s">
        <v>7691</v>
      </c>
      <c r="D3577" s="626" t="s">
        <v>7866</v>
      </c>
      <c r="E3577" s="715">
        <v>1200</v>
      </c>
      <c r="F3577" s="626" t="s">
        <v>7871</v>
      </c>
      <c r="G3577" s="648" t="s">
        <v>7872</v>
      </c>
      <c r="H3577" s="649" t="s">
        <v>6114</v>
      </c>
      <c r="I3577" s="648" t="s">
        <v>6114</v>
      </c>
      <c r="J3577" s="626" t="s">
        <v>3768</v>
      </c>
      <c r="K3577" s="642">
        <v>1</v>
      </c>
      <c r="L3577" s="640">
        <v>12</v>
      </c>
      <c r="M3577" s="717">
        <f t="shared" si="37"/>
        <v>14400</v>
      </c>
      <c r="N3577" s="654"/>
      <c r="O3577" s="653"/>
      <c r="P3577" s="643"/>
    </row>
    <row r="3578" spans="1:16" s="619" customFormat="1" ht="36" x14ac:dyDescent="0.2">
      <c r="A3578" s="625" t="s">
        <v>7690</v>
      </c>
      <c r="B3578" s="626" t="s">
        <v>1908</v>
      </c>
      <c r="C3578" s="638" t="s">
        <v>7691</v>
      </c>
      <c r="D3578" s="626" t="s">
        <v>7624</v>
      </c>
      <c r="E3578" s="715">
        <v>1200</v>
      </c>
      <c r="F3578" s="626" t="s">
        <v>7873</v>
      </c>
      <c r="G3578" s="648" t="s">
        <v>7874</v>
      </c>
      <c r="H3578" s="649" t="s">
        <v>6114</v>
      </c>
      <c r="I3578" s="648" t="s">
        <v>6114</v>
      </c>
      <c r="J3578" s="626" t="s">
        <v>3768</v>
      </c>
      <c r="K3578" s="642">
        <v>1</v>
      </c>
      <c r="L3578" s="640">
        <v>12</v>
      </c>
      <c r="M3578" s="717">
        <f t="shared" si="37"/>
        <v>14400</v>
      </c>
      <c r="N3578" s="654"/>
      <c r="O3578" s="653"/>
      <c r="P3578" s="643"/>
    </row>
    <row r="3579" spans="1:16" s="619" customFormat="1" ht="36" x14ac:dyDescent="0.2">
      <c r="A3579" s="625" t="s">
        <v>7690</v>
      </c>
      <c r="B3579" s="626" t="s">
        <v>1908</v>
      </c>
      <c r="C3579" s="638" t="s">
        <v>7695</v>
      </c>
      <c r="D3579" s="626" t="s">
        <v>3709</v>
      </c>
      <c r="E3579" s="715">
        <v>2000</v>
      </c>
      <c r="F3579" s="626" t="s">
        <v>7875</v>
      </c>
      <c r="G3579" s="648" t="s">
        <v>7876</v>
      </c>
      <c r="H3579" s="649" t="s">
        <v>2660</v>
      </c>
      <c r="I3579" s="648" t="s">
        <v>2660</v>
      </c>
      <c r="J3579" s="626" t="s">
        <v>7713</v>
      </c>
      <c r="K3579" s="642">
        <v>1</v>
      </c>
      <c r="L3579" s="640">
        <v>2</v>
      </c>
      <c r="M3579" s="717">
        <f t="shared" si="37"/>
        <v>4000</v>
      </c>
      <c r="N3579" s="654"/>
      <c r="O3579" s="653"/>
      <c r="P3579" s="643"/>
    </row>
    <row r="3580" spans="1:16" s="619" customFormat="1" ht="36" x14ac:dyDescent="0.2">
      <c r="A3580" s="625" t="s">
        <v>7690</v>
      </c>
      <c r="B3580" s="626" t="s">
        <v>1908</v>
      </c>
      <c r="C3580" s="638" t="s">
        <v>7695</v>
      </c>
      <c r="D3580" s="626" t="s">
        <v>6198</v>
      </c>
      <c r="E3580" s="715">
        <v>3300</v>
      </c>
      <c r="F3580" s="626" t="s">
        <v>7877</v>
      </c>
      <c r="G3580" s="648" t="s">
        <v>7878</v>
      </c>
      <c r="H3580" s="649" t="s">
        <v>7740</v>
      </c>
      <c r="I3580" s="648" t="s">
        <v>7741</v>
      </c>
      <c r="J3580" s="626" t="s">
        <v>7713</v>
      </c>
      <c r="K3580" s="642">
        <v>1</v>
      </c>
      <c r="L3580" s="640">
        <v>12</v>
      </c>
      <c r="M3580" s="717">
        <f t="shared" si="37"/>
        <v>39600</v>
      </c>
      <c r="N3580" s="654"/>
      <c r="O3580" s="653"/>
      <c r="P3580" s="643"/>
    </row>
    <row r="3581" spans="1:16" s="619" customFormat="1" ht="24" x14ac:dyDescent="0.2">
      <c r="A3581" s="625" t="s">
        <v>7690</v>
      </c>
      <c r="B3581" s="626" t="s">
        <v>1908</v>
      </c>
      <c r="C3581" s="638" t="s">
        <v>7691</v>
      </c>
      <c r="D3581" s="649" t="s">
        <v>2660</v>
      </c>
      <c r="E3581" s="715">
        <v>1000</v>
      </c>
      <c r="F3581" s="626" t="s">
        <v>7879</v>
      </c>
      <c r="G3581" s="648" t="s">
        <v>7880</v>
      </c>
      <c r="H3581" s="649" t="s">
        <v>2660</v>
      </c>
      <c r="I3581" s="648" t="s">
        <v>2660</v>
      </c>
      <c r="J3581" s="626" t="s">
        <v>7713</v>
      </c>
      <c r="K3581" s="642">
        <v>1</v>
      </c>
      <c r="L3581" s="640">
        <v>12</v>
      </c>
      <c r="M3581" s="717">
        <f t="shared" si="37"/>
        <v>12000</v>
      </c>
      <c r="N3581" s="654"/>
      <c r="O3581" s="653"/>
      <c r="P3581" s="643"/>
    </row>
    <row r="3582" spans="1:16" s="619" customFormat="1" ht="36" x14ac:dyDescent="0.2">
      <c r="A3582" s="625" t="s">
        <v>7690</v>
      </c>
      <c r="B3582" s="626" t="s">
        <v>1908</v>
      </c>
      <c r="C3582" s="638" t="s">
        <v>7691</v>
      </c>
      <c r="D3582" s="649" t="s">
        <v>2660</v>
      </c>
      <c r="E3582" s="715">
        <v>1200</v>
      </c>
      <c r="F3582" s="626" t="s">
        <v>7881</v>
      </c>
      <c r="G3582" s="648" t="s">
        <v>7882</v>
      </c>
      <c r="H3582" s="649" t="s">
        <v>2660</v>
      </c>
      <c r="I3582" s="648" t="s">
        <v>2660</v>
      </c>
      <c r="J3582" s="626" t="s">
        <v>7713</v>
      </c>
      <c r="K3582" s="642">
        <v>1</v>
      </c>
      <c r="L3582" s="640">
        <v>12</v>
      </c>
      <c r="M3582" s="717">
        <f t="shared" si="37"/>
        <v>14400</v>
      </c>
      <c r="N3582" s="654"/>
      <c r="O3582" s="653"/>
      <c r="P3582" s="643"/>
    </row>
    <row r="3583" spans="1:16" s="619" customFormat="1" ht="24" x14ac:dyDescent="0.2">
      <c r="A3583" s="625" t="s">
        <v>7690</v>
      </c>
      <c r="B3583" s="626" t="s">
        <v>1908</v>
      </c>
      <c r="C3583" s="638" t="s">
        <v>7691</v>
      </c>
      <c r="D3583" s="626" t="s">
        <v>7716</v>
      </c>
      <c r="E3583" s="715">
        <v>2300</v>
      </c>
      <c r="F3583" s="626" t="s">
        <v>7883</v>
      </c>
      <c r="G3583" s="648" t="s">
        <v>7884</v>
      </c>
      <c r="H3583" s="649" t="s">
        <v>6092</v>
      </c>
      <c r="I3583" s="648" t="s">
        <v>1993</v>
      </c>
      <c r="J3583" s="626" t="s">
        <v>7713</v>
      </c>
      <c r="K3583" s="642">
        <v>1</v>
      </c>
      <c r="L3583" s="640">
        <v>12</v>
      </c>
      <c r="M3583" s="717">
        <f t="shared" si="37"/>
        <v>27600</v>
      </c>
      <c r="N3583" s="654"/>
      <c r="O3583" s="653"/>
      <c r="P3583" s="643"/>
    </row>
    <row r="3584" spans="1:16" s="619" customFormat="1" ht="24" x14ac:dyDescent="0.2">
      <c r="A3584" s="625" t="s">
        <v>7690</v>
      </c>
      <c r="B3584" s="626" t="s">
        <v>1908</v>
      </c>
      <c r="C3584" s="638" t="s">
        <v>7691</v>
      </c>
      <c r="D3584" s="649" t="s">
        <v>2660</v>
      </c>
      <c r="E3584" s="715">
        <v>1100</v>
      </c>
      <c r="F3584" s="626" t="s">
        <v>7885</v>
      </c>
      <c r="G3584" s="648" t="s">
        <v>7886</v>
      </c>
      <c r="H3584" s="649" t="s">
        <v>2660</v>
      </c>
      <c r="I3584" s="648" t="s">
        <v>2660</v>
      </c>
      <c r="J3584" s="626" t="s">
        <v>7713</v>
      </c>
      <c r="K3584" s="642">
        <v>1</v>
      </c>
      <c r="L3584" s="640">
        <v>7</v>
      </c>
      <c r="M3584" s="717">
        <f t="shared" si="37"/>
        <v>7700</v>
      </c>
      <c r="N3584" s="654"/>
      <c r="O3584" s="653"/>
      <c r="P3584" s="643"/>
    </row>
    <row r="3585" spans="1:16" s="619" customFormat="1" ht="24" x14ac:dyDescent="0.2">
      <c r="A3585" s="625" t="s">
        <v>7690</v>
      </c>
      <c r="B3585" s="626" t="s">
        <v>1908</v>
      </c>
      <c r="C3585" s="638" t="s">
        <v>7691</v>
      </c>
      <c r="D3585" s="626" t="s">
        <v>7818</v>
      </c>
      <c r="E3585" s="715">
        <v>1000</v>
      </c>
      <c r="F3585" s="626" t="s">
        <v>7887</v>
      </c>
      <c r="G3585" s="648" t="s">
        <v>7888</v>
      </c>
      <c r="H3585" s="649" t="s">
        <v>3548</v>
      </c>
      <c r="I3585" s="648" t="s">
        <v>1919</v>
      </c>
      <c r="J3585" s="626" t="s">
        <v>7698</v>
      </c>
      <c r="K3585" s="642">
        <v>1</v>
      </c>
      <c r="L3585" s="640">
        <v>12</v>
      </c>
      <c r="M3585" s="717">
        <f t="shared" si="37"/>
        <v>12000</v>
      </c>
      <c r="N3585" s="654"/>
      <c r="O3585" s="653"/>
      <c r="P3585" s="643"/>
    </row>
    <row r="3586" spans="1:16" s="619" customFormat="1" ht="72" x14ac:dyDescent="0.2">
      <c r="A3586" s="625" t="s">
        <v>7690</v>
      </c>
      <c r="B3586" s="626" t="s">
        <v>1908</v>
      </c>
      <c r="C3586" s="638" t="s">
        <v>7691</v>
      </c>
      <c r="D3586" s="626" t="s">
        <v>7724</v>
      </c>
      <c r="E3586" s="715">
        <v>2300</v>
      </c>
      <c r="F3586" s="626" t="s">
        <v>7889</v>
      </c>
      <c r="G3586" s="648" t="s">
        <v>7890</v>
      </c>
      <c r="H3586" s="649" t="s">
        <v>7724</v>
      </c>
      <c r="I3586" s="648" t="s">
        <v>7891</v>
      </c>
      <c r="J3586" s="626" t="s">
        <v>7713</v>
      </c>
      <c r="K3586" s="642">
        <v>1</v>
      </c>
      <c r="L3586" s="640">
        <v>5</v>
      </c>
      <c r="M3586" s="717">
        <f t="shared" si="37"/>
        <v>11500</v>
      </c>
      <c r="N3586" s="654"/>
      <c r="O3586" s="653"/>
      <c r="P3586" s="643"/>
    </row>
    <row r="3587" spans="1:16" s="619" customFormat="1" ht="48" x14ac:dyDescent="0.2">
      <c r="A3587" s="625" t="s">
        <v>7690</v>
      </c>
      <c r="B3587" s="626" t="s">
        <v>1908</v>
      </c>
      <c r="C3587" s="638" t="s">
        <v>7691</v>
      </c>
      <c r="D3587" s="626" t="s">
        <v>7716</v>
      </c>
      <c r="E3587" s="715">
        <v>4000</v>
      </c>
      <c r="F3587" s="626" t="s">
        <v>7892</v>
      </c>
      <c r="G3587" s="648" t="s">
        <v>7893</v>
      </c>
      <c r="H3587" s="649" t="s">
        <v>6092</v>
      </c>
      <c r="I3587" s="648" t="s">
        <v>7894</v>
      </c>
      <c r="J3587" s="626" t="s">
        <v>7713</v>
      </c>
      <c r="K3587" s="642">
        <v>1</v>
      </c>
      <c r="L3587" s="640">
        <v>2</v>
      </c>
      <c r="M3587" s="717">
        <f t="shared" si="37"/>
        <v>8000</v>
      </c>
      <c r="N3587" s="654"/>
      <c r="O3587" s="653"/>
      <c r="P3587" s="643"/>
    </row>
    <row r="3588" spans="1:16" s="619" customFormat="1" ht="36" x14ac:dyDescent="0.2">
      <c r="A3588" s="625" t="s">
        <v>7690</v>
      </c>
      <c r="B3588" s="626" t="s">
        <v>1908</v>
      </c>
      <c r="C3588" s="638" t="s">
        <v>7695</v>
      </c>
      <c r="D3588" s="649" t="s">
        <v>7716</v>
      </c>
      <c r="E3588" s="715">
        <v>4200</v>
      </c>
      <c r="F3588" s="626" t="s">
        <v>7895</v>
      </c>
      <c r="G3588" s="648" t="s">
        <v>7896</v>
      </c>
      <c r="H3588" s="649" t="s">
        <v>6092</v>
      </c>
      <c r="I3588" s="648" t="s">
        <v>7894</v>
      </c>
      <c r="J3588" s="626" t="s">
        <v>7713</v>
      </c>
      <c r="K3588" s="642">
        <v>1</v>
      </c>
      <c r="L3588" s="640">
        <v>3</v>
      </c>
      <c r="M3588" s="717">
        <f t="shared" si="37"/>
        <v>12600</v>
      </c>
      <c r="N3588" s="654"/>
      <c r="O3588" s="653"/>
      <c r="P3588" s="643"/>
    </row>
    <row r="3589" spans="1:16" s="619" customFormat="1" ht="24" x14ac:dyDescent="0.2">
      <c r="A3589" s="625" t="s">
        <v>7690</v>
      </c>
      <c r="B3589" s="626" t="s">
        <v>1908</v>
      </c>
      <c r="C3589" s="638" t="s">
        <v>7691</v>
      </c>
      <c r="D3589" s="649" t="s">
        <v>2660</v>
      </c>
      <c r="E3589" s="715">
        <v>1100</v>
      </c>
      <c r="F3589" s="626" t="s">
        <v>7897</v>
      </c>
      <c r="G3589" s="648" t="s">
        <v>7898</v>
      </c>
      <c r="H3589" s="649" t="s">
        <v>2660</v>
      </c>
      <c r="I3589" s="648" t="s">
        <v>2660</v>
      </c>
      <c r="J3589" s="626" t="s">
        <v>7713</v>
      </c>
      <c r="K3589" s="642">
        <v>1</v>
      </c>
      <c r="L3589" s="640">
        <v>12</v>
      </c>
      <c r="M3589" s="717">
        <f t="shared" si="37"/>
        <v>13200</v>
      </c>
      <c r="N3589" s="654"/>
      <c r="O3589" s="653"/>
      <c r="P3589" s="643"/>
    </row>
    <row r="3590" spans="1:16" s="619" customFormat="1" ht="24" x14ac:dyDescent="0.2">
      <c r="A3590" s="625" t="s">
        <v>7690</v>
      </c>
      <c r="B3590" s="626" t="s">
        <v>1908</v>
      </c>
      <c r="C3590" s="638" t="s">
        <v>7691</v>
      </c>
      <c r="D3590" s="626" t="s">
        <v>7716</v>
      </c>
      <c r="E3590" s="715">
        <v>3870.97</v>
      </c>
      <c r="F3590" s="626" t="s">
        <v>7899</v>
      </c>
      <c r="G3590" s="648" t="s">
        <v>7900</v>
      </c>
      <c r="H3590" s="649" t="s">
        <v>6092</v>
      </c>
      <c r="I3590" s="648" t="s">
        <v>7894</v>
      </c>
      <c r="J3590" s="626" t="s">
        <v>7713</v>
      </c>
      <c r="K3590" s="642">
        <v>1</v>
      </c>
      <c r="L3590" s="640">
        <v>1</v>
      </c>
      <c r="M3590" s="717">
        <f t="shared" si="37"/>
        <v>3870.97</v>
      </c>
      <c r="N3590" s="654"/>
      <c r="O3590" s="653"/>
      <c r="P3590" s="643"/>
    </row>
    <row r="3591" spans="1:16" s="619" customFormat="1" ht="24" x14ac:dyDescent="0.2">
      <c r="A3591" s="625" t="s">
        <v>7690</v>
      </c>
      <c r="B3591" s="626" t="s">
        <v>1908</v>
      </c>
      <c r="C3591" s="638" t="s">
        <v>7695</v>
      </c>
      <c r="D3591" s="626" t="s">
        <v>6876</v>
      </c>
      <c r="E3591" s="715">
        <v>2000</v>
      </c>
      <c r="F3591" s="626" t="s">
        <v>7901</v>
      </c>
      <c r="G3591" s="648" t="s">
        <v>7902</v>
      </c>
      <c r="H3591" s="649" t="s">
        <v>6026</v>
      </c>
      <c r="I3591" s="648" t="s">
        <v>1919</v>
      </c>
      <c r="J3591" s="626" t="s">
        <v>7698</v>
      </c>
      <c r="K3591" s="642">
        <v>1</v>
      </c>
      <c r="L3591" s="640">
        <v>4</v>
      </c>
      <c r="M3591" s="717">
        <f t="shared" si="37"/>
        <v>8000</v>
      </c>
      <c r="N3591" s="654"/>
      <c r="O3591" s="653"/>
      <c r="P3591" s="643"/>
    </row>
    <row r="3592" spans="1:16" s="619" customFormat="1" ht="24" x14ac:dyDescent="0.2">
      <c r="A3592" s="625" t="s">
        <v>7690</v>
      </c>
      <c r="B3592" s="626" t="s">
        <v>1908</v>
      </c>
      <c r="C3592" s="638" t="s">
        <v>7691</v>
      </c>
      <c r="D3592" s="649" t="s">
        <v>2660</v>
      </c>
      <c r="E3592" s="715">
        <v>1100</v>
      </c>
      <c r="F3592" s="626" t="s">
        <v>7903</v>
      </c>
      <c r="G3592" s="648" t="s">
        <v>7904</v>
      </c>
      <c r="H3592" s="649" t="s">
        <v>2660</v>
      </c>
      <c r="I3592" s="648" t="s">
        <v>2660</v>
      </c>
      <c r="J3592" s="626" t="s">
        <v>7713</v>
      </c>
      <c r="K3592" s="642">
        <v>1</v>
      </c>
      <c r="L3592" s="640">
        <v>12</v>
      </c>
      <c r="M3592" s="717">
        <f t="shared" si="37"/>
        <v>13200</v>
      </c>
      <c r="N3592" s="654"/>
      <c r="O3592" s="653"/>
      <c r="P3592" s="643"/>
    </row>
    <row r="3593" spans="1:16" s="619" customFormat="1" ht="36" x14ac:dyDescent="0.2">
      <c r="A3593" s="625" t="s">
        <v>7690</v>
      </c>
      <c r="B3593" s="626" t="s">
        <v>1908</v>
      </c>
      <c r="C3593" s="638" t="s">
        <v>7691</v>
      </c>
      <c r="D3593" s="649" t="s">
        <v>2660</v>
      </c>
      <c r="E3593" s="715">
        <v>1100</v>
      </c>
      <c r="F3593" s="626" t="s">
        <v>7905</v>
      </c>
      <c r="G3593" s="648" t="s">
        <v>7906</v>
      </c>
      <c r="H3593" s="649" t="s">
        <v>2660</v>
      </c>
      <c r="I3593" s="648" t="s">
        <v>2660</v>
      </c>
      <c r="J3593" s="626" t="s">
        <v>7713</v>
      </c>
      <c r="K3593" s="642">
        <v>1</v>
      </c>
      <c r="L3593" s="640">
        <v>8</v>
      </c>
      <c r="M3593" s="717">
        <f t="shared" si="37"/>
        <v>8800</v>
      </c>
      <c r="N3593" s="654"/>
      <c r="O3593" s="653"/>
      <c r="P3593" s="643"/>
    </row>
    <row r="3594" spans="1:16" s="619" customFormat="1" ht="36" x14ac:dyDescent="0.2">
      <c r="A3594" s="625" t="s">
        <v>7690</v>
      </c>
      <c r="B3594" s="626" t="s">
        <v>1908</v>
      </c>
      <c r="C3594" s="638" t="s">
        <v>7695</v>
      </c>
      <c r="D3594" s="649" t="s">
        <v>6198</v>
      </c>
      <c r="E3594" s="715">
        <v>5000</v>
      </c>
      <c r="F3594" s="626" t="s">
        <v>7907</v>
      </c>
      <c r="G3594" s="648" t="s">
        <v>7908</v>
      </c>
      <c r="H3594" s="649" t="s">
        <v>7740</v>
      </c>
      <c r="I3594" s="648" t="s">
        <v>7741</v>
      </c>
      <c r="J3594" s="626" t="s">
        <v>7713</v>
      </c>
      <c r="K3594" s="642">
        <v>1</v>
      </c>
      <c r="L3594" s="640">
        <v>4</v>
      </c>
      <c r="M3594" s="717">
        <f t="shared" si="37"/>
        <v>20000</v>
      </c>
      <c r="N3594" s="654"/>
      <c r="O3594" s="653"/>
      <c r="P3594" s="643"/>
    </row>
    <row r="3595" spans="1:16" s="619" customFormat="1" ht="36" x14ac:dyDescent="0.2">
      <c r="A3595" s="625" t="s">
        <v>7690</v>
      </c>
      <c r="B3595" s="626" t="s">
        <v>1908</v>
      </c>
      <c r="C3595" s="638" t="s">
        <v>7691</v>
      </c>
      <c r="D3595" s="649" t="s">
        <v>2660</v>
      </c>
      <c r="E3595" s="715">
        <v>1100</v>
      </c>
      <c r="F3595" s="626" t="s">
        <v>7909</v>
      </c>
      <c r="G3595" s="648" t="s">
        <v>7910</v>
      </c>
      <c r="H3595" s="649" t="s">
        <v>2660</v>
      </c>
      <c r="I3595" s="648" t="s">
        <v>2660</v>
      </c>
      <c r="J3595" s="626" t="s">
        <v>7713</v>
      </c>
      <c r="K3595" s="642">
        <v>1</v>
      </c>
      <c r="L3595" s="640">
        <v>12</v>
      </c>
      <c r="M3595" s="717">
        <f t="shared" si="37"/>
        <v>13200</v>
      </c>
      <c r="N3595" s="654"/>
      <c r="O3595" s="653"/>
      <c r="P3595" s="643"/>
    </row>
    <row r="3596" spans="1:16" s="619" customFormat="1" ht="36" x14ac:dyDescent="0.2">
      <c r="A3596" s="625" t="s">
        <v>7690</v>
      </c>
      <c r="B3596" s="626" t="s">
        <v>1908</v>
      </c>
      <c r="C3596" s="638" t="s">
        <v>7695</v>
      </c>
      <c r="D3596" s="649" t="s">
        <v>6152</v>
      </c>
      <c r="E3596" s="715">
        <v>5000</v>
      </c>
      <c r="F3596" s="626" t="s">
        <v>7911</v>
      </c>
      <c r="G3596" s="648" t="s">
        <v>7912</v>
      </c>
      <c r="H3596" s="649" t="s">
        <v>6149</v>
      </c>
      <c r="I3596" s="648" t="s">
        <v>7835</v>
      </c>
      <c r="J3596" s="626" t="s">
        <v>7713</v>
      </c>
      <c r="K3596" s="642">
        <v>1</v>
      </c>
      <c r="L3596" s="640">
        <v>12</v>
      </c>
      <c r="M3596" s="717">
        <f t="shared" si="37"/>
        <v>60000</v>
      </c>
      <c r="N3596" s="654"/>
      <c r="O3596" s="653"/>
      <c r="P3596" s="643"/>
    </row>
    <row r="3597" spans="1:16" s="619" customFormat="1" ht="36" x14ac:dyDescent="0.2">
      <c r="A3597" s="625" t="s">
        <v>7690</v>
      </c>
      <c r="B3597" s="626" t="s">
        <v>1908</v>
      </c>
      <c r="C3597" s="638" t="s">
        <v>7695</v>
      </c>
      <c r="D3597" s="649" t="s">
        <v>2660</v>
      </c>
      <c r="E3597" s="715">
        <v>2419.35</v>
      </c>
      <c r="F3597" s="626" t="s">
        <v>7913</v>
      </c>
      <c r="G3597" s="648" t="s">
        <v>7914</v>
      </c>
      <c r="H3597" s="649" t="s">
        <v>2660</v>
      </c>
      <c r="I3597" s="648" t="s">
        <v>2660</v>
      </c>
      <c r="J3597" s="626" t="s">
        <v>7713</v>
      </c>
      <c r="K3597" s="642">
        <v>1</v>
      </c>
      <c r="L3597" s="640">
        <v>1</v>
      </c>
      <c r="M3597" s="717">
        <f t="shared" si="37"/>
        <v>2419.35</v>
      </c>
      <c r="N3597" s="654"/>
      <c r="O3597" s="653"/>
      <c r="P3597" s="643"/>
    </row>
    <row r="3598" spans="1:16" s="619" customFormat="1" ht="36" x14ac:dyDescent="0.2">
      <c r="A3598" s="625" t="s">
        <v>7690</v>
      </c>
      <c r="B3598" s="626" t="s">
        <v>1908</v>
      </c>
      <c r="C3598" s="638" t="s">
        <v>7691</v>
      </c>
      <c r="D3598" s="649" t="s">
        <v>2660</v>
      </c>
      <c r="E3598" s="715">
        <v>1100</v>
      </c>
      <c r="F3598" s="626" t="s">
        <v>7915</v>
      </c>
      <c r="G3598" s="648" t="s">
        <v>7916</v>
      </c>
      <c r="H3598" s="649" t="s">
        <v>2660</v>
      </c>
      <c r="I3598" s="648" t="s">
        <v>2660</v>
      </c>
      <c r="J3598" s="626" t="s">
        <v>7713</v>
      </c>
      <c r="K3598" s="642">
        <v>1</v>
      </c>
      <c r="L3598" s="640">
        <v>12</v>
      </c>
      <c r="M3598" s="717">
        <f t="shared" si="37"/>
        <v>13200</v>
      </c>
      <c r="N3598" s="654"/>
      <c r="O3598" s="653"/>
      <c r="P3598" s="643"/>
    </row>
    <row r="3599" spans="1:16" s="619" customFormat="1" ht="24" x14ac:dyDescent="0.2">
      <c r="A3599" s="625" t="s">
        <v>7690</v>
      </c>
      <c r="B3599" s="626" t="s">
        <v>1908</v>
      </c>
      <c r="C3599" s="638" t="s">
        <v>7695</v>
      </c>
      <c r="D3599" s="649" t="s">
        <v>7716</v>
      </c>
      <c r="E3599" s="715">
        <v>4500</v>
      </c>
      <c r="F3599" s="626" t="s">
        <v>7917</v>
      </c>
      <c r="G3599" s="648" t="s">
        <v>7918</v>
      </c>
      <c r="H3599" s="649" t="s">
        <v>6092</v>
      </c>
      <c r="I3599" s="648" t="s">
        <v>7894</v>
      </c>
      <c r="J3599" s="626" t="s">
        <v>7713</v>
      </c>
      <c r="K3599" s="642">
        <v>1</v>
      </c>
      <c r="L3599" s="640">
        <v>12</v>
      </c>
      <c r="M3599" s="717">
        <f t="shared" si="37"/>
        <v>54000</v>
      </c>
      <c r="N3599" s="654"/>
      <c r="O3599" s="653"/>
      <c r="P3599" s="643"/>
    </row>
    <row r="3600" spans="1:16" s="619" customFormat="1" ht="36" x14ac:dyDescent="0.2">
      <c r="A3600" s="625" t="s">
        <v>7690</v>
      </c>
      <c r="B3600" s="626" t="s">
        <v>1908</v>
      </c>
      <c r="C3600" s="638" t="s">
        <v>7691</v>
      </c>
      <c r="D3600" s="649" t="s">
        <v>1416</v>
      </c>
      <c r="E3600" s="715">
        <v>2000</v>
      </c>
      <c r="F3600" s="626" t="s">
        <v>7919</v>
      </c>
      <c r="G3600" s="648" t="s">
        <v>2116</v>
      </c>
      <c r="H3600" s="649" t="s">
        <v>6418</v>
      </c>
      <c r="I3600" s="648" t="s">
        <v>1416</v>
      </c>
      <c r="J3600" s="626" t="s">
        <v>7713</v>
      </c>
      <c r="K3600" s="642">
        <v>1</v>
      </c>
      <c r="L3600" s="640">
        <v>8</v>
      </c>
      <c r="M3600" s="717">
        <f t="shared" si="37"/>
        <v>16000</v>
      </c>
      <c r="N3600" s="654"/>
      <c r="O3600" s="653"/>
      <c r="P3600" s="643"/>
    </row>
    <row r="3601" spans="1:16" s="619" customFormat="1" ht="24" x14ac:dyDescent="0.2">
      <c r="A3601" s="625" t="s">
        <v>7690</v>
      </c>
      <c r="B3601" s="626" t="s">
        <v>1908</v>
      </c>
      <c r="C3601" s="638" t="s">
        <v>7691</v>
      </c>
      <c r="D3601" s="649" t="s">
        <v>7920</v>
      </c>
      <c r="E3601" s="715">
        <v>2300</v>
      </c>
      <c r="F3601" s="626" t="s">
        <v>7921</v>
      </c>
      <c r="G3601" s="648" t="s">
        <v>7922</v>
      </c>
      <c r="H3601" s="649" t="s">
        <v>7923</v>
      </c>
      <c r="I3601" s="648" t="s">
        <v>2787</v>
      </c>
      <c r="J3601" s="626" t="s">
        <v>7713</v>
      </c>
      <c r="K3601" s="642">
        <v>1</v>
      </c>
      <c r="L3601" s="640">
        <v>12</v>
      </c>
      <c r="M3601" s="717">
        <f t="shared" si="37"/>
        <v>27600</v>
      </c>
      <c r="N3601" s="654"/>
      <c r="O3601" s="653"/>
      <c r="P3601" s="643"/>
    </row>
    <row r="3602" spans="1:16" s="619" customFormat="1" ht="36" x14ac:dyDescent="0.2">
      <c r="A3602" s="625" t="s">
        <v>7690</v>
      </c>
      <c r="B3602" s="626" t="s">
        <v>1908</v>
      </c>
      <c r="C3602" s="638" t="s">
        <v>7691</v>
      </c>
      <c r="D3602" s="626" t="s">
        <v>7624</v>
      </c>
      <c r="E3602" s="715">
        <v>1200</v>
      </c>
      <c r="F3602" s="626" t="s">
        <v>7924</v>
      </c>
      <c r="G3602" s="648" t="s">
        <v>7925</v>
      </c>
      <c r="H3602" s="649" t="s">
        <v>6114</v>
      </c>
      <c r="I3602" s="648" t="s">
        <v>6114</v>
      </c>
      <c r="J3602" s="626" t="s">
        <v>7713</v>
      </c>
      <c r="K3602" s="642">
        <v>1</v>
      </c>
      <c r="L3602" s="640">
        <v>2</v>
      </c>
      <c r="M3602" s="717">
        <f t="shared" si="37"/>
        <v>2400</v>
      </c>
      <c r="N3602" s="654"/>
      <c r="O3602" s="653"/>
      <c r="P3602" s="643"/>
    </row>
    <row r="3603" spans="1:16" s="619" customFormat="1" ht="36" x14ac:dyDescent="0.2">
      <c r="A3603" s="625" t="s">
        <v>7690</v>
      </c>
      <c r="B3603" s="626" t="s">
        <v>1908</v>
      </c>
      <c r="C3603" s="638" t="s">
        <v>7695</v>
      </c>
      <c r="D3603" s="626" t="s">
        <v>7926</v>
      </c>
      <c r="E3603" s="715">
        <v>1200</v>
      </c>
      <c r="F3603" s="626" t="s">
        <v>7927</v>
      </c>
      <c r="G3603" s="648" t="s">
        <v>7928</v>
      </c>
      <c r="H3603" s="649" t="s">
        <v>3583</v>
      </c>
      <c r="I3603" s="648" t="s">
        <v>2464</v>
      </c>
      <c r="J3603" s="626" t="s">
        <v>7713</v>
      </c>
      <c r="K3603" s="642">
        <v>1</v>
      </c>
      <c r="L3603" s="640">
        <v>1</v>
      </c>
      <c r="M3603" s="717">
        <f t="shared" si="37"/>
        <v>1200</v>
      </c>
      <c r="N3603" s="654"/>
      <c r="O3603" s="653"/>
      <c r="P3603" s="643"/>
    </row>
    <row r="3604" spans="1:16" s="619" customFormat="1" ht="24" x14ac:dyDescent="0.2">
      <c r="A3604" s="625" t="s">
        <v>7690</v>
      </c>
      <c r="B3604" s="626" t="s">
        <v>1908</v>
      </c>
      <c r="C3604" s="638" t="s">
        <v>7695</v>
      </c>
      <c r="D3604" s="649" t="s">
        <v>2660</v>
      </c>
      <c r="E3604" s="715">
        <v>1500</v>
      </c>
      <c r="F3604" s="626" t="s">
        <v>7929</v>
      </c>
      <c r="G3604" s="648" t="s">
        <v>7930</v>
      </c>
      <c r="H3604" s="649" t="s">
        <v>2660</v>
      </c>
      <c r="I3604" s="648" t="s">
        <v>2660</v>
      </c>
      <c r="J3604" s="626" t="s">
        <v>7713</v>
      </c>
      <c r="K3604" s="642">
        <v>1</v>
      </c>
      <c r="L3604" s="640">
        <v>12</v>
      </c>
      <c r="M3604" s="717">
        <f t="shared" si="37"/>
        <v>18000</v>
      </c>
      <c r="N3604" s="654"/>
      <c r="O3604" s="653"/>
      <c r="P3604" s="643"/>
    </row>
    <row r="3605" spans="1:16" s="619" customFormat="1" ht="24" x14ac:dyDescent="0.2">
      <c r="A3605" s="625" t="s">
        <v>7690</v>
      </c>
      <c r="B3605" s="626" t="s">
        <v>1908</v>
      </c>
      <c r="C3605" s="638" t="s">
        <v>7691</v>
      </c>
      <c r="D3605" s="649" t="s">
        <v>7757</v>
      </c>
      <c r="E3605" s="715">
        <v>2300</v>
      </c>
      <c r="F3605" s="626" t="s">
        <v>7931</v>
      </c>
      <c r="G3605" s="648" t="s">
        <v>7932</v>
      </c>
      <c r="H3605" s="649" t="s">
        <v>6092</v>
      </c>
      <c r="I3605" s="648" t="s">
        <v>7894</v>
      </c>
      <c r="J3605" s="626" t="s">
        <v>7713</v>
      </c>
      <c r="K3605" s="642">
        <v>1</v>
      </c>
      <c r="L3605" s="640">
        <v>12</v>
      </c>
      <c r="M3605" s="717">
        <f t="shared" si="37"/>
        <v>27600</v>
      </c>
      <c r="N3605" s="654"/>
      <c r="O3605" s="653"/>
      <c r="P3605" s="643"/>
    </row>
    <row r="3606" spans="1:16" s="619" customFormat="1" ht="36" x14ac:dyDescent="0.2">
      <c r="A3606" s="625" t="s">
        <v>7690</v>
      </c>
      <c r="B3606" s="626" t="s">
        <v>1908</v>
      </c>
      <c r="C3606" s="638" t="s">
        <v>7691</v>
      </c>
      <c r="D3606" s="649" t="s">
        <v>2660</v>
      </c>
      <c r="E3606" s="715">
        <v>1100</v>
      </c>
      <c r="F3606" s="626" t="s">
        <v>7933</v>
      </c>
      <c r="G3606" s="648" t="s">
        <v>7934</v>
      </c>
      <c r="H3606" s="649" t="s">
        <v>2660</v>
      </c>
      <c r="I3606" s="648" t="s">
        <v>2660</v>
      </c>
      <c r="J3606" s="626" t="s">
        <v>7713</v>
      </c>
      <c r="K3606" s="642">
        <v>1</v>
      </c>
      <c r="L3606" s="640">
        <v>12</v>
      </c>
      <c r="M3606" s="717">
        <f t="shared" si="37"/>
        <v>13200</v>
      </c>
      <c r="N3606" s="654"/>
      <c r="O3606" s="653"/>
      <c r="P3606" s="643"/>
    </row>
    <row r="3607" spans="1:16" s="619" customFormat="1" ht="24" x14ac:dyDescent="0.2">
      <c r="A3607" s="625" t="s">
        <v>7690</v>
      </c>
      <c r="B3607" s="626" t="s">
        <v>1908</v>
      </c>
      <c r="C3607" s="638" t="s">
        <v>7695</v>
      </c>
      <c r="D3607" s="649" t="s">
        <v>2660</v>
      </c>
      <c r="E3607" s="715">
        <v>1500</v>
      </c>
      <c r="F3607" s="626" t="s">
        <v>7935</v>
      </c>
      <c r="G3607" s="648" t="s">
        <v>7936</v>
      </c>
      <c r="H3607" s="649" t="s">
        <v>2660</v>
      </c>
      <c r="I3607" s="648" t="s">
        <v>2660</v>
      </c>
      <c r="J3607" s="626" t="s">
        <v>7713</v>
      </c>
      <c r="K3607" s="642">
        <v>1</v>
      </c>
      <c r="L3607" s="640">
        <v>1</v>
      </c>
      <c r="M3607" s="717">
        <f t="shared" si="37"/>
        <v>1500</v>
      </c>
      <c r="N3607" s="654"/>
      <c r="O3607" s="653"/>
      <c r="P3607" s="643"/>
    </row>
    <row r="3608" spans="1:16" s="619" customFormat="1" ht="24" x14ac:dyDescent="0.2">
      <c r="A3608" s="625" t="s">
        <v>7690</v>
      </c>
      <c r="B3608" s="626" t="s">
        <v>1908</v>
      </c>
      <c r="C3608" s="638" t="s">
        <v>7691</v>
      </c>
      <c r="D3608" s="649" t="s">
        <v>2660</v>
      </c>
      <c r="E3608" s="715">
        <v>1100</v>
      </c>
      <c r="F3608" s="626" t="s">
        <v>7937</v>
      </c>
      <c r="G3608" s="648" t="s">
        <v>7938</v>
      </c>
      <c r="H3608" s="649" t="s">
        <v>2660</v>
      </c>
      <c r="I3608" s="648" t="s">
        <v>2660</v>
      </c>
      <c r="J3608" s="626" t="s">
        <v>7713</v>
      </c>
      <c r="K3608" s="642">
        <v>1</v>
      </c>
      <c r="L3608" s="640">
        <v>9</v>
      </c>
      <c r="M3608" s="717">
        <f t="shared" si="37"/>
        <v>9900</v>
      </c>
      <c r="N3608" s="654"/>
      <c r="O3608" s="653"/>
      <c r="P3608" s="643"/>
    </row>
    <row r="3609" spans="1:16" s="619" customFormat="1" ht="24" x14ac:dyDescent="0.2">
      <c r="A3609" s="625" t="s">
        <v>7690</v>
      </c>
      <c r="B3609" s="626" t="s">
        <v>1908</v>
      </c>
      <c r="C3609" s="638" t="s">
        <v>7695</v>
      </c>
      <c r="D3609" s="649" t="s">
        <v>7740</v>
      </c>
      <c r="E3609" s="715">
        <v>5000</v>
      </c>
      <c r="F3609" s="626" t="s">
        <v>7939</v>
      </c>
      <c r="G3609" s="648" t="s">
        <v>7940</v>
      </c>
      <c r="H3609" s="649" t="s">
        <v>7740</v>
      </c>
      <c r="I3609" s="648" t="s">
        <v>7741</v>
      </c>
      <c r="J3609" s="626" t="s">
        <v>7713</v>
      </c>
      <c r="K3609" s="642">
        <v>1</v>
      </c>
      <c r="L3609" s="640">
        <v>6</v>
      </c>
      <c r="M3609" s="717">
        <f t="shared" si="37"/>
        <v>30000</v>
      </c>
      <c r="N3609" s="654"/>
      <c r="O3609" s="653"/>
      <c r="P3609" s="643"/>
    </row>
    <row r="3610" spans="1:16" s="619" customFormat="1" ht="72" x14ac:dyDescent="0.2">
      <c r="A3610" s="625" t="s">
        <v>7690</v>
      </c>
      <c r="B3610" s="626" t="s">
        <v>1908</v>
      </c>
      <c r="C3610" s="638" t="s">
        <v>7691</v>
      </c>
      <c r="D3610" s="649" t="s">
        <v>7724</v>
      </c>
      <c r="E3610" s="715">
        <v>2000</v>
      </c>
      <c r="F3610" s="626" t="s">
        <v>7941</v>
      </c>
      <c r="G3610" s="648" t="s">
        <v>7942</v>
      </c>
      <c r="H3610" s="649" t="s">
        <v>7724</v>
      </c>
      <c r="I3610" s="648" t="s">
        <v>7943</v>
      </c>
      <c r="J3610" s="626" t="s">
        <v>7713</v>
      </c>
      <c r="K3610" s="642">
        <v>1</v>
      </c>
      <c r="L3610" s="640">
        <v>12</v>
      </c>
      <c r="M3610" s="717">
        <f t="shared" si="37"/>
        <v>24000</v>
      </c>
      <c r="N3610" s="654"/>
      <c r="O3610" s="653"/>
      <c r="P3610" s="643"/>
    </row>
    <row r="3611" spans="1:16" s="619" customFormat="1" ht="36" x14ac:dyDescent="0.2">
      <c r="A3611" s="625" t="s">
        <v>7690</v>
      </c>
      <c r="B3611" s="626" t="s">
        <v>1908</v>
      </c>
      <c r="C3611" s="638" t="s">
        <v>7691</v>
      </c>
      <c r="D3611" s="649" t="s">
        <v>6876</v>
      </c>
      <c r="E3611" s="715">
        <v>1100</v>
      </c>
      <c r="F3611" s="626" t="s">
        <v>7944</v>
      </c>
      <c r="G3611" s="648" t="s">
        <v>7945</v>
      </c>
      <c r="H3611" s="649" t="s">
        <v>6876</v>
      </c>
      <c r="I3611" s="648" t="s">
        <v>1919</v>
      </c>
      <c r="J3611" s="626" t="s">
        <v>7698</v>
      </c>
      <c r="K3611" s="642">
        <v>1</v>
      </c>
      <c r="L3611" s="640">
        <v>12</v>
      </c>
      <c r="M3611" s="717">
        <f t="shared" si="37"/>
        <v>13200</v>
      </c>
      <c r="N3611" s="654"/>
      <c r="O3611" s="653"/>
      <c r="P3611" s="643"/>
    </row>
    <row r="3612" spans="1:16" s="619" customFormat="1" ht="36" x14ac:dyDescent="0.2">
      <c r="A3612" s="625" t="s">
        <v>7690</v>
      </c>
      <c r="B3612" s="626" t="s">
        <v>1908</v>
      </c>
      <c r="C3612" s="638" t="s">
        <v>7691</v>
      </c>
      <c r="D3612" s="649" t="s">
        <v>2660</v>
      </c>
      <c r="E3612" s="715">
        <v>1200</v>
      </c>
      <c r="F3612" s="626" t="s">
        <v>7946</v>
      </c>
      <c r="G3612" s="648" t="s">
        <v>7947</v>
      </c>
      <c r="H3612" s="649" t="s">
        <v>2660</v>
      </c>
      <c r="I3612" s="648" t="s">
        <v>2660</v>
      </c>
      <c r="J3612" s="626" t="s">
        <v>7713</v>
      </c>
      <c r="K3612" s="642">
        <v>1</v>
      </c>
      <c r="L3612" s="640">
        <v>9</v>
      </c>
      <c r="M3612" s="717">
        <f t="shared" si="37"/>
        <v>10800</v>
      </c>
      <c r="N3612" s="654"/>
      <c r="O3612" s="653"/>
      <c r="P3612" s="643"/>
    </row>
    <row r="3613" spans="1:16" s="619" customFormat="1" ht="36" x14ac:dyDescent="0.2">
      <c r="A3613" s="625" t="s">
        <v>7690</v>
      </c>
      <c r="B3613" s="626" t="s">
        <v>1908</v>
      </c>
      <c r="C3613" s="638" t="s">
        <v>7691</v>
      </c>
      <c r="D3613" s="649" t="s">
        <v>6182</v>
      </c>
      <c r="E3613" s="715">
        <v>8000</v>
      </c>
      <c r="F3613" s="626" t="s">
        <v>7948</v>
      </c>
      <c r="G3613" s="648" t="s">
        <v>7949</v>
      </c>
      <c r="H3613" s="649" t="s">
        <v>6182</v>
      </c>
      <c r="I3613" s="648" t="s">
        <v>6182</v>
      </c>
      <c r="J3613" s="626" t="s">
        <v>7713</v>
      </c>
      <c r="K3613" s="642">
        <v>1</v>
      </c>
      <c r="L3613" s="640">
        <v>2</v>
      </c>
      <c r="M3613" s="717">
        <f t="shared" si="37"/>
        <v>16000</v>
      </c>
      <c r="N3613" s="654"/>
      <c r="O3613" s="653"/>
      <c r="P3613" s="643"/>
    </row>
    <row r="3614" spans="1:16" s="619" customFormat="1" ht="24" x14ac:dyDescent="0.2">
      <c r="A3614" s="625" t="s">
        <v>7690</v>
      </c>
      <c r="B3614" s="626" t="s">
        <v>1908</v>
      </c>
      <c r="C3614" s="638" t="s">
        <v>7691</v>
      </c>
      <c r="D3614" s="649" t="s">
        <v>7716</v>
      </c>
      <c r="E3614" s="715">
        <v>4500</v>
      </c>
      <c r="F3614" s="626" t="s">
        <v>7950</v>
      </c>
      <c r="G3614" s="648" t="s">
        <v>7951</v>
      </c>
      <c r="H3614" s="649" t="s">
        <v>6092</v>
      </c>
      <c r="I3614" s="648" t="s">
        <v>7894</v>
      </c>
      <c r="J3614" s="626" t="s">
        <v>7713</v>
      </c>
      <c r="K3614" s="642">
        <v>1</v>
      </c>
      <c r="L3614" s="640">
        <v>3</v>
      </c>
      <c r="M3614" s="717">
        <f t="shared" si="37"/>
        <v>13500</v>
      </c>
      <c r="N3614" s="654"/>
      <c r="O3614" s="653"/>
      <c r="P3614" s="643"/>
    </row>
    <row r="3615" spans="1:16" s="619" customFormat="1" ht="24" x14ac:dyDescent="0.2">
      <c r="A3615" s="625" t="s">
        <v>7690</v>
      </c>
      <c r="B3615" s="626" t="s">
        <v>1908</v>
      </c>
      <c r="C3615" s="638" t="s">
        <v>7691</v>
      </c>
      <c r="D3615" s="649" t="s">
        <v>6101</v>
      </c>
      <c r="E3615" s="715">
        <v>4000</v>
      </c>
      <c r="F3615" s="626" t="s">
        <v>7952</v>
      </c>
      <c r="G3615" s="648" t="s">
        <v>7953</v>
      </c>
      <c r="H3615" s="649" t="s">
        <v>6101</v>
      </c>
      <c r="I3615" s="648" t="s">
        <v>6101</v>
      </c>
      <c r="J3615" s="626" t="s">
        <v>7713</v>
      </c>
      <c r="K3615" s="642">
        <v>1</v>
      </c>
      <c r="L3615" s="640">
        <v>12</v>
      </c>
      <c r="M3615" s="717">
        <f t="shared" si="37"/>
        <v>48000</v>
      </c>
      <c r="N3615" s="654"/>
      <c r="O3615" s="653"/>
      <c r="P3615" s="643"/>
    </row>
    <row r="3616" spans="1:16" s="619" customFormat="1" ht="24" x14ac:dyDescent="0.2">
      <c r="A3616" s="625" t="s">
        <v>7690</v>
      </c>
      <c r="B3616" s="626" t="s">
        <v>1908</v>
      </c>
      <c r="C3616" s="638" t="s">
        <v>7695</v>
      </c>
      <c r="D3616" s="649" t="s">
        <v>7716</v>
      </c>
      <c r="E3616" s="715">
        <v>516.13</v>
      </c>
      <c r="F3616" s="626" t="s">
        <v>7954</v>
      </c>
      <c r="G3616" s="648" t="s">
        <v>7955</v>
      </c>
      <c r="H3616" s="649" t="s">
        <v>6092</v>
      </c>
      <c r="I3616" s="648" t="s">
        <v>7894</v>
      </c>
      <c r="J3616" s="626" t="s">
        <v>7713</v>
      </c>
      <c r="K3616" s="642">
        <v>1</v>
      </c>
      <c r="L3616" s="640">
        <v>2</v>
      </c>
      <c r="M3616" s="717">
        <f t="shared" si="37"/>
        <v>1032.26</v>
      </c>
      <c r="N3616" s="654"/>
      <c r="O3616" s="653"/>
      <c r="P3616" s="643"/>
    </row>
    <row r="3617" spans="1:16" s="619" customFormat="1" ht="24" x14ac:dyDescent="0.2">
      <c r="A3617" s="625" t="s">
        <v>7690</v>
      </c>
      <c r="B3617" s="626" t="s">
        <v>1908</v>
      </c>
      <c r="C3617" s="638" t="s">
        <v>7691</v>
      </c>
      <c r="D3617" s="649" t="s">
        <v>7757</v>
      </c>
      <c r="E3617" s="715">
        <v>3000</v>
      </c>
      <c r="F3617" s="626" t="s">
        <v>7956</v>
      </c>
      <c r="G3617" s="648" t="s">
        <v>7957</v>
      </c>
      <c r="H3617" s="649" t="s">
        <v>6092</v>
      </c>
      <c r="I3617" s="648" t="s">
        <v>7894</v>
      </c>
      <c r="J3617" s="626" t="s">
        <v>7713</v>
      </c>
      <c r="K3617" s="642">
        <v>1</v>
      </c>
      <c r="L3617" s="640">
        <v>10</v>
      </c>
      <c r="M3617" s="717">
        <f t="shared" si="37"/>
        <v>30000</v>
      </c>
      <c r="N3617" s="654"/>
      <c r="O3617" s="653"/>
      <c r="P3617" s="643"/>
    </row>
    <row r="3618" spans="1:16" s="619" customFormat="1" ht="24" x14ac:dyDescent="0.2">
      <c r="A3618" s="625" t="s">
        <v>7690</v>
      </c>
      <c r="B3618" s="626" t="s">
        <v>1908</v>
      </c>
      <c r="C3618" s="638" t="s">
        <v>7691</v>
      </c>
      <c r="D3618" s="649" t="s">
        <v>2660</v>
      </c>
      <c r="E3618" s="715">
        <v>1100</v>
      </c>
      <c r="F3618" s="626" t="s">
        <v>7958</v>
      </c>
      <c r="G3618" s="648" t="s">
        <v>7959</v>
      </c>
      <c r="H3618" s="649" t="s">
        <v>2660</v>
      </c>
      <c r="I3618" s="648" t="s">
        <v>2660</v>
      </c>
      <c r="J3618" s="626" t="s">
        <v>7713</v>
      </c>
      <c r="K3618" s="642">
        <v>1</v>
      </c>
      <c r="L3618" s="640">
        <v>12</v>
      </c>
      <c r="M3618" s="717">
        <f t="shared" si="37"/>
        <v>13200</v>
      </c>
      <c r="N3618" s="654"/>
      <c r="O3618" s="653"/>
      <c r="P3618" s="643"/>
    </row>
    <row r="3619" spans="1:16" s="619" customFormat="1" ht="24" x14ac:dyDescent="0.2">
      <c r="A3619" s="625" t="s">
        <v>7690</v>
      </c>
      <c r="B3619" s="626" t="s">
        <v>1908</v>
      </c>
      <c r="C3619" s="638" t="s">
        <v>7695</v>
      </c>
      <c r="D3619" s="649" t="s">
        <v>2660</v>
      </c>
      <c r="E3619" s="715">
        <v>1500</v>
      </c>
      <c r="F3619" s="626" t="s">
        <v>7960</v>
      </c>
      <c r="G3619" s="648" t="s">
        <v>7961</v>
      </c>
      <c r="H3619" s="649" t="s">
        <v>2660</v>
      </c>
      <c r="I3619" s="648" t="s">
        <v>2660</v>
      </c>
      <c r="J3619" s="626" t="s">
        <v>7713</v>
      </c>
      <c r="K3619" s="642">
        <v>1</v>
      </c>
      <c r="L3619" s="640">
        <v>4</v>
      </c>
      <c r="M3619" s="717">
        <f t="shared" si="37"/>
        <v>6000</v>
      </c>
      <c r="N3619" s="654"/>
      <c r="O3619" s="653"/>
      <c r="P3619" s="643"/>
    </row>
    <row r="3620" spans="1:16" s="619" customFormat="1" ht="24" x14ac:dyDescent="0.2">
      <c r="A3620" s="625" t="s">
        <v>7690</v>
      </c>
      <c r="B3620" s="626" t="s">
        <v>1908</v>
      </c>
      <c r="C3620" s="638" t="s">
        <v>7691</v>
      </c>
      <c r="D3620" s="649" t="s">
        <v>2660</v>
      </c>
      <c r="E3620" s="715">
        <v>1100</v>
      </c>
      <c r="F3620" s="626" t="s">
        <v>7962</v>
      </c>
      <c r="G3620" s="648" t="s">
        <v>7963</v>
      </c>
      <c r="H3620" s="649" t="s">
        <v>2660</v>
      </c>
      <c r="I3620" s="648" t="s">
        <v>2660</v>
      </c>
      <c r="J3620" s="626" t="s">
        <v>7713</v>
      </c>
      <c r="K3620" s="642">
        <v>1</v>
      </c>
      <c r="L3620" s="640">
        <v>7</v>
      </c>
      <c r="M3620" s="717">
        <f t="shared" si="37"/>
        <v>7700</v>
      </c>
      <c r="N3620" s="654"/>
      <c r="O3620" s="653"/>
      <c r="P3620" s="643"/>
    </row>
    <row r="3621" spans="1:16" s="619" customFormat="1" ht="36" x14ac:dyDescent="0.2">
      <c r="A3621" s="625" t="s">
        <v>7690</v>
      </c>
      <c r="B3621" s="626" t="s">
        <v>1908</v>
      </c>
      <c r="C3621" s="638" t="s">
        <v>7691</v>
      </c>
      <c r="D3621" s="649" t="s">
        <v>7716</v>
      </c>
      <c r="E3621" s="715">
        <v>4000</v>
      </c>
      <c r="F3621" s="626" t="s">
        <v>7964</v>
      </c>
      <c r="G3621" s="648" t="s">
        <v>7965</v>
      </c>
      <c r="H3621" s="649" t="s">
        <v>6092</v>
      </c>
      <c r="I3621" s="648" t="s">
        <v>7894</v>
      </c>
      <c r="J3621" s="626" t="s">
        <v>7713</v>
      </c>
      <c r="K3621" s="642">
        <v>1</v>
      </c>
      <c r="L3621" s="640">
        <v>4</v>
      </c>
      <c r="M3621" s="717">
        <f t="shared" si="37"/>
        <v>16000</v>
      </c>
      <c r="N3621" s="654"/>
      <c r="O3621" s="653"/>
      <c r="P3621" s="643"/>
    </row>
    <row r="3622" spans="1:16" s="619" customFormat="1" ht="36" x14ac:dyDescent="0.2">
      <c r="A3622" s="625" t="s">
        <v>7690</v>
      </c>
      <c r="B3622" s="626" t="s">
        <v>1908</v>
      </c>
      <c r="C3622" s="638" t="s">
        <v>7691</v>
      </c>
      <c r="D3622" s="649" t="s">
        <v>7716</v>
      </c>
      <c r="E3622" s="715">
        <v>2000</v>
      </c>
      <c r="F3622" s="626" t="s">
        <v>7966</v>
      </c>
      <c r="G3622" s="648" t="s">
        <v>7967</v>
      </c>
      <c r="H3622" s="649" t="s">
        <v>6092</v>
      </c>
      <c r="I3622" s="648" t="s">
        <v>7894</v>
      </c>
      <c r="J3622" s="626" t="s">
        <v>7713</v>
      </c>
      <c r="K3622" s="642">
        <v>1</v>
      </c>
      <c r="L3622" s="640">
        <v>12</v>
      </c>
      <c r="M3622" s="717">
        <f t="shared" si="37"/>
        <v>24000</v>
      </c>
      <c r="N3622" s="654"/>
      <c r="O3622" s="653"/>
      <c r="P3622" s="643"/>
    </row>
    <row r="3623" spans="1:16" s="619" customFormat="1" ht="36" x14ac:dyDescent="0.2">
      <c r="A3623" s="625" t="s">
        <v>7690</v>
      </c>
      <c r="B3623" s="626" t="s">
        <v>1908</v>
      </c>
      <c r="C3623" s="638" t="s">
        <v>7691</v>
      </c>
      <c r="D3623" s="649" t="s">
        <v>2660</v>
      </c>
      <c r="E3623" s="715">
        <v>1200</v>
      </c>
      <c r="F3623" s="626" t="s">
        <v>7968</v>
      </c>
      <c r="G3623" s="648" t="s">
        <v>7969</v>
      </c>
      <c r="H3623" s="649" t="s">
        <v>2660</v>
      </c>
      <c r="I3623" s="648" t="s">
        <v>2660</v>
      </c>
      <c r="J3623" s="626" t="s">
        <v>7713</v>
      </c>
      <c r="K3623" s="642">
        <v>1</v>
      </c>
      <c r="L3623" s="640">
        <v>12</v>
      </c>
      <c r="M3623" s="717">
        <f t="shared" si="37"/>
        <v>14400</v>
      </c>
      <c r="N3623" s="654"/>
      <c r="O3623" s="653"/>
      <c r="P3623" s="643"/>
    </row>
    <row r="3624" spans="1:16" s="619" customFormat="1" ht="36" x14ac:dyDescent="0.2">
      <c r="A3624" s="625" t="s">
        <v>7690</v>
      </c>
      <c r="B3624" s="626" t="s">
        <v>1908</v>
      </c>
      <c r="C3624" s="638" t="s">
        <v>7691</v>
      </c>
      <c r="D3624" s="649" t="s">
        <v>7740</v>
      </c>
      <c r="E3624" s="715">
        <v>4000</v>
      </c>
      <c r="F3624" s="626" t="s">
        <v>7970</v>
      </c>
      <c r="G3624" s="648" t="s">
        <v>7971</v>
      </c>
      <c r="H3624" s="649" t="s">
        <v>7740</v>
      </c>
      <c r="I3624" s="648" t="s">
        <v>7741</v>
      </c>
      <c r="J3624" s="626" t="s">
        <v>7713</v>
      </c>
      <c r="K3624" s="642">
        <v>1</v>
      </c>
      <c r="L3624" s="640">
        <v>4</v>
      </c>
      <c r="M3624" s="717">
        <f t="shared" si="37"/>
        <v>16000</v>
      </c>
      <c r="N3624" s="654"/>
      <c r="O3624" s="653"/>
      <c r="P3624" s="643"/>
    </row>
    <row r="3625" spans="1:16" s="619" customFormat="1" ht="36" x14ac:dyDescent="0.2">
      <c r="A3625" s="625" t="s">
        <v>7690</v>
      </c>
      <c r="B3625" s="626" t="s">
        <v>1908</v>
      </c>
      <c r="C3625" s="638" t="s">
        <v>7691</v>
      </c>
      <c r="D3625" s="626" t="s">
        <v>7624</v>
      </c>
      <c r="E3625" s="715">
        <v>1800</v>
      </c>
      <c r="F3625" s="626" t="s">
        <v>7972</v>
      </c>
      <c r="G3625" s="648" t="s">
        <v>7973</v>
      </c>
      <c r="H3625" s="649" t="s">
        <v>6114</v>
      </c>
      <c r="I3625" s="648" t="s">
        <v>6114</v>
      </c>
      <c r="J3625" s="626" t="s">
        <v>3768</v>
      </c>
      <c r="K3625" s="642">
        <v>1</v>
      </c>
      <c r="L3625" s="640">
        <v>12</v>
      </c>
      <c r="M3625" s="717">
        <f t="shared" si="37"/>
        <v>21600</v>
      </c>
      <c r="N3625" s="654"/>
      <c r="O3625" s="653"/>
      <c r="P3625" s="643"/>
    </row>
    <row r="3626" spans="1:16" s="619" customFormat="1" ht="36" x14ac:dyDescent="0.2">
      <c r="A3626" s="625" t="s">
        <v>7690</v>
      </c>
      <c r="B3626" s="626" t="s">
        <v>1908</v>
      </c>
      <c r="C3626" s="638" t="s">
        <v>7691</v>
      </c>
      <c r="D3626" s="649" t="s">
        <v>2660</v>
      </c>
      <c r="E3626" s="715">
        <v>1100</v>
      </c>
      <c r="F3626" s="626" t="s">
        <v>7974</v>
      </c>
      <c r="G3626" s="648" t="s">
        <v>7975</v>
      </c>
      <c r="H3626" s="649" t="s">
        <v>2660</v>
      </c>
      <c r="I3626" s="648" t="s">
        <v>2660</v>
      </c>
      <c r="J3626" s="626" t="s">
        <v>7713</v>
      </c>
      <c r="K3626" s="642">
        <v>1</v>
      </c>
      <c r="L3626" s="640">
        <v>12</v>
      </c>
      <c r="M3626" s="717">
        <f t="shared" si="37"/>
        <v>13200</v>
      </c>
      <c r="N3626" s="654"/>
      <c r="O3626" s="653"/>
      <c r="P3626" s="643"/>
    </row>
    <row r="3627" spans="1:16" s="619" customFormat="1" ht="48" x14ac:dyDescent="0.2">
      <c r="A3627" s="625" t="s">
        <v>7690</v>
      </c>
      <c r="B3627" s="626" t="s">
        <v>1908</v>
      </c>
      <c r="C3627" s="638" t="s">
        <v>7695</v>
      </c>
      <c r="D3627" s="649" t="s">
        <v>7740</v>
      </c>
      <c r="E3627" s="715">
        <v>4000</v>
      </c>
      <c r="F3627" s="626" t="s">
        <v>7976</v>
      </c>
      <c r="G3627" s="648" t="s">
        <v>7977</v>
      </c>
      <c r="H3627" s="649" t="s">
        <v>7740</v>
      </c>
      <c r="I3627" s="648" t="s">
        <v>7741</v>
      </c>
      <c r="J3627" s="626" t="s">
        <v>7713</v>
      </c>
      <c r="K3627" s="642">
        <v>1</v>
      </c>
      <c r="L3627" s="640">
        <v>3</v>
      </c>
      <c r="M3627" s="717">
        <f t="shared" si="37"/>
        <v>12000</v>
      </c>
      <c r="N3627" s="654"/>
      <c r="O3627" s="653"/>
      <c r="P3627" s="643"/>
    </row>
    <row r="3628" spans="1:16" s="619" customFormat="1" ht="36" x14ac:dyDescent="0.2">
      <c r="A3628" s="625" t="s">
        <v>7690</v>
      </c>
      <c r="B3628" s="626" t="s">
        <v>1908</v>
      </c>
      <c r="C3628" s="638" t="s">
        <v>7695</v>
      </c>
      <c r="D3628" s="649" t="s">
        <v>6092</v>
      </c>
      <c r="E3628" s="715">
        <v>4000</v>
      </c>
      <c r="F3628" s="626" t="s">
        <v>7978</v>
      </c>
      <c r="G3628" s="648" t="s">
        <v>7979</v>
      </c>
      <c r="H3628" s="649" t="s">
        <v>6092</v>
      </c>
      <c r="I3628" s="648" t="s">
        <v>7894</v>
      </c>
      <c r="J3628" s="626" t="s">
        <v>7713</v>
      </c>
      <c r="K3628" s="642">
        <v>1</v>
      </c>
      <c r="L3628" s="640">
        <v>2</v>
      </c>
      <c r="M3628" s="717">
        <f t="shared" si="37"/>
        <v>8000</v>
      </c>
      <c r="N3628" s="654"/>
      <c r="O3628" s="653"/>
      <c r="P3628" s="643"/>
    </row>
    <row r="3629" spans="1:16" s="619" customFormat="1" ht="36" x14ac:dyDescent="0.2">
      <c r="A3629" s="625" t="s">
        <v>7690</v>
      </c>
      <c r="B3629" s="626" t="s">
        <v>1908</v>
      </c>
      <c r="C3629" s="638" t="s">
        <v>7691</v>
      </c>
      <c r="D3629" s="649" t="s">
        <v>2660</v>
      </c>
      <c r="E3629" s="715">
        <v>1500</v>
      </c>
      <c r="F3629" s="626" t="s">
        <v>7980</v>
      </c>
      <c r="G3629" s="648" t="s">
        <v>7981</v>
      </c>
      <c r="H3629" s="649" t="s">
        <v>2660</v>
      </c>
      <c r="I3629" s="648" t="s">
        <v>2660</v>
      </c>
      <c r="J3629" s="626" t="s">
        <v>7713</v>
      </c>
      <c r="K3629" s="642">
        <v>1</v>
      </c>
      <c r="L3629" s="640">
        <v>9</v>
      </c>
      <c r="M3629" s="717">
        <f t="shared" si="37"/>
        <v>13500</v>
      </c>
      <c r="N3629" s="654"/>
      <c r="O3629" s="653"/>
      <c r="P3629" s="643"/>
    </row>
    <row r="3630" spans="1:16" s="619" customFormat="1" ht="36" x14ac:dyDescent="0.2">
      <c r="A3630" s="625" t="s">
        <v>7690</v>
      </c>
      <c r="B3630" s="626" t="s">
        <v>1908</v>
      </c>
      <c r="C3630" s="638" t="s">
        <v>7691</v>
      </c>
      <c r="D3630" s="649" t="s">
        <v>7624</v>
      </c>
      <c r="E3630" s="715">
        <v>1200</v>
      </c>
      <c r="F3630" s="626" t="s">
        <v>7982</v>
      </c>
      <c r="G3630" s="648" t="s">
        <v>7983</v>
      </c>
      <c r="H3630" s="649" t="s">
        <v>6114</v>
      </c>
      <c r="I3630" s="648" t="s">
        <v>6114</v>
      </c>
      <c r="J3630" s="626" t="s">
        <v>7713</v>
      </c>
      <c r="K3630" s="642">
        <v>1</v>
      </c>
      <c r="L3630" s="640">
        <v>12</v>
      </c>
      <c r="M3630" s="717">
        <f t="shared" ref="M3630:M3693" si="38">+L3630*E3630</f>
        <v>14400</v>
      </c>
      <c r="N3630" s="654"/>
      <c r="O3630" s="653"/>
      <c r="P3630" s="643"/>
    </row>
    <row r="3631" spans="1:16" s="619" customFormat="1" ht="36" x14ac:dyDescent="0.2">
      <c r="A3631" s="625" t="s">
        <v>7690</v>
      </c>
      <c r="B3631" s="626" t="s">
        <v>1908</v>
      </c>
      <c r="C3631" s="638" t="s">
        <v>7695</v>
      </c>
      <c r="D3631" s="649" t="s">
        <v>2660</v>
      </c>
      <c r="E3631" s="715">
        <v>3000</v>
      </c>
      <c r="F3631" s="626" t="s">
        <v>7984</v>
      </c>
      <c r="G3631" s="648" t="s">
        <v>7985</v>
      </c>
      <c r="H3631" s="649" t="s">
        <v>2660</v>
      </c>
      <c r="I3631" s="648" t="s">
        <v>2660</v>
      </c>
      <c r="J3631" s="626" t="s">
        <v>7713</v>
      </c>
      <c r="K3631" s="642">
        <v>1</v>
      </c>
      <c r="L3631" s="640">
        <v>4</v>
      </c>
      <c r="M3631" s="717">
        <f t="shared" si="38"/>
        <v>12000</v>
      </c>
      <c r="N3631" s="654"/>
      <c r="O3631" s="653"/>
      <c r="P3631" s="643"/>
    </row>
    <row r="3632" spans="1:16" s="619" customFormat="1" ht="24" x14ac:dyDescent="0.2">
      <c r="A3632" s="625" t="s">
        <v>7690</v>
      </c>
      <c r="B3632" s="626" t="s">
        <v>1908</v>
      </c>
      <c r="C3632" s="638" t="s">
        <v>7691</v>
      </c>
      <c r="D3632" s="649" t="s">
        <v>6158</v>
      </c>
      <c r="E3632" s="715">
        <v>1100</v>
      </c>
      <c r="F3632" s="626" t="s">
        <v>7986</v>
      </c>
      <c r="G3632" s="648" t="s">
        <v>7987</v>
      </c>
      <c r="H3632" s="649" t="s">
        <v>6158</v>
      </c>
      <c r="I3632" s="648" t="s">
        <v>1919</v>
      </c>
      <c r="J3632" s="626" t="s">
        <v>7698</v>
      </c>
      <c r="K3632" s="642">
        <v>1</v>
      </c>
      <c r="L3632" s="640">
        <v>9</v>
      </c>
      <c r="M3632" s="717">
        <f t="shared" si="38"/>
        <v>9900</v>
      </c>
      <c r="N3632" s="654"/>
      <c r="O3632" s="653"/>
      <c r="P3632" s="643"/>
    </row>
    <row r="3633" spans="1:16" s="619" customFormat="1" ht="48" x14ac:dyDescent="0.2">
      <c r="A3633" s="625" t="s">
        <v>7690</v>
      </c>
      <c r="B3633" s="626" t="s">
        <v>1908</v>
      </c>
      <c r="C3633" s="638" t="s">
        <v>7691</v>
      </c>
      <c r="D3633" s="649" t="s">
        <v>7716</v>
      </c>
      <c r="E3633" s="715">
        <v>2300</v>
      </c>
      <c r="F3633" s="626" t="s">
        <v>7988</v>
      </c>
      <c r="G3633" s="648" t="s">
        <v>7989</v>
      </c>
      <c r="H3633" s="649" t="s">
        <v>6092</v>
      </c>
      <c r="I3633" s="648" t="s">
        <v>7894</v>
      </c>
      <c r="J3633" s="626" t="s">
        <v>7713</v>
      </c>
      <c r="K3633" s="642">
        <v>1</v>
      </c>
      <c r="L3633" s="640">
        <v>3</v>
      </c>
      <c r="M3633" s="717">
        <f t="shared" si="38"/>
        <v>6900</v>
      </c>
      <c r="N3633" s="654"/>
      <c r="O3633" s="653"/>
      <c r="P3633" s="643"/>
    </row>
    <row r="3634" spans="1:16" s="619" customFormat="1" ht="36" x14ac:dyDescent="0.2">
      <c r="A3634" s="625" t="s">
        <v>7690</v>
      </c>
      <c r="B3634" s="626" t="s">
        <v>1908</v>
      </c>
      <c r="C3634" s="638" t="s">
        <v>7695</v>
      </c>
      <c r="D3634" s="649" t="s">
        <v>7716</v>
      </c>
      <c r="E3634" s="715">
        <v>4000</v>
      </c>
      <c r="F3634" s="626" t="s">
        <v>7990</v>
      </c>
      <c r="G3634" s="648" t="s">
        <v>7991</v>
      </c>
      <c r="H3634" s="649" t="s">
        <v>6092</v>
      </c>
      <c r="I3634" s="648" t="s">
        <v>7894</v>
      </c>
      <c r="J3634" s="626" t="s">
        <v>7713</v>
      </c>
      <c r="K3634" s="642">
        <v>1</v>
      </c>
      <c r="L3634" s="640">
        <v>2</v>
      </c>
      <c r="M3634" s="717">
        <f t="shared" si="38"/>
        <v>8000</v>
      </c>
      <c r="N3634" s="654"/>
      <c r="O3634" s="653"/>
      <c r="P3634" s="643"/>
    </row>
    <row r="3635" spans="1:16" s="619" customFormat="1" ht="36" x14ac:dyDescent="0.2">
      <c r="A3635" s="625" t="s">
        <v>7690</v>
      </c>
      <c r="B3635" s="626" t="s">
        <v>1908</v>
      </c>
      <c r="C3635" s="638" t="s">
        <v>7691</v>
      </c>
      <c r="D3635" s="649" t="s">
        <v>2660</v>
      </c>
      <c r="E3635" s="715">
        <v>1200</v>
      </c>
      <c r="F3635" s="626" t="s">
        <v>7992</v>
      </c>
      <c r="G3635" s="648" t="s">
        <v>7993</v>
      </c>
      <c r="H3635" s="649" t="s">
        <v>2660</v>
      </c>
      <c r="I3635" s="648" t="s">
        <v>2660</v>
      </c>
      <c r="J3635" s="626" t="s">
        <v>7713</v>
      </c>
      <c r="K3635" s="642">
        <v>1</v>
      </c>
      <c r="L3635" s="640">
        <v>8</v>
      </c>
      <c r="M3635" s="717">
        <f t="shared" si="38"/>
        <v>9600</v>
      </c>
      <c r="N3635" s="654"/>
      <c r="O3635" s="653"/>
      <c r="P3635" s="643"/>
    </row>
    <row r="3636" spans="1:16" s="619" customFormat="1" ht="36" x14ac:dyDescent="0.2">
      <c r="A3636" s="625" t="s">
        <v>7690</v>
      </c>
      <c r="B3636" s="626" t="s">
        <v>1908</v>
      </c>
      <c r="C3636" s="638" t="s">
        <v>7691</v>
      </c>
      <c r="D3636" s="649" t="s">
        <v>6114</v>
      </c>
      <c r="E3636" s="715">
        <v>1200</v>
      </c>
      <c r="F3636" s="626" t="s">
        <v>7994</v>
      </c>
      <c r="G3636" s="648" t="s">
        <v>7995</v>
      </c>
      <c r="H3636" s="649" t="s">
        <v>6114</v>
      </c>
      <c r="I3636" s="648" t="s">
        <v>6114</v>
      </c>
      <c r="J3636" s="626" t="s">
        <v>7713</v>
      </c>
      <c r="K3636" s="642">
        <v>1</v>
      </c>
      <c r="L3636" s="640">
        <v>12</v>
      </c>
      <c r="M3636" s="717">
        <f t="shared" si="38"/>
        <v>14400</v>
      </c>
      <c r="N3636" s="654"/>
      <c r="O3636" s="653"/>
      <c r="P3636" s="643"/>
    </row>
    <row r="3637" spans="1:16" s="619" customFormat="1" ht="36" x14ac:dyDescent="0.2">
      <c r="A3637" s="625" t="s">
        <v>7690</v>
      </c>
      <c r="B3637" s="626" t="s">
        <v>1908</v>
      </c>
      <c r="C3637" s="638" t="s">
        <v>7691</v>
      </c>
      <c r="D3637" s="649" t="s">
        <v>6227</v>
      </c>
      <c r="E3637" s="715">
        <v>2300</v>
      </c>
      <c r="F3637" s="626" t="s">
        <v>7996</v>
      </c>
      <c r="G3637" s="648" t="s">
        <v>7997</v>
      </c>
      <c r="H3637" s="649" t="s">
        <v>6227</v>
      </c>
      <c r="I3637" s="648" t="s">
        <v>1988</v>
      </c>
      <c r="J3637" s="626" t="s">
        <v>7713</v>
      </c>
      <c r="K3637" s="642">
        <v>1</v>
      </c>
      <c r="L3637" s="640">
        <v>8</v>
      </c>
      <c r="M3637" s="717">
        <f t="shared" si="38"/>
        <v>18400</v>
      </c>
      <c r="N3637" s="654"/>
      <c r="O3637" s="653"/>
      <c r="P3637" s="643"/>
    </row>
    <row r="3638" spans="1:16" s="619" customFormat="1" ht="24" x14ac:dyDescent="0.2">
      <c r="A3638" s="625" t="s">
        <v>7690</v>
      </c>
      <c r="B3638" s="626" t="s">
        <v>1908</v>
      </c>
      <c r="C3638" s="638" t="s">
        <v>7691</v>
      </c>
      <c r="D3638" s="649" t="s">
        <v>7716</v>
      </c>
      <c r="E3638" s="715">
        <v>5000</v>
      </c>
      <c r="F3638" s="626" t="s">
        <v>7998</v>
      </c>
      <c r="G3638" s="648" t="s">
        <v>7999</v>
      </c>
      <c r="H3638" s="649" t="s">
        <v>6092</v>
      </c>
      <c r="I3638" s="648" t="s">
        <v>7894</v>
      </c>
      <c r="J3638" s="626" t="s">
        <v>7713</v>
      </c>
      <c r="K3638" s="642">
        <v>1</v>
      </c>
      <c r="L3638" s="640">
        <v>2</v>
      </c>
      <c r="M3638" s="717">
        <f t="shared" si="38"/>
        <v>10000</v>
      </c>
      <c r="N3638" s="654"/>
      <c r="O3638" s="653"/>
      <c r="P3638" s="643"/>
    </row>
    <row r="3639" spans="1:16" s="619" customFormat="1" ht="48" x14ac:dyDescent="0.2">
      <c r="A3639" s="625" t="s">
        <v>7690</v>
      </c>
      <c r="B3639" s="626" t="s">
        <v>1908</v>
      </c>
      <c r="C3639" s="638" t="s">
        <v>7695</v>
      </c>
      <c r="D3639" s="649" t="s">
        <v>6179</v>
      </c>
      <c r="E3639" s="715">
        <v>8000</v>
      </c>
      <c r="F3639" s="626" t="s">
        <v>8000</v>
      </c>
      <c r="G3639" s="648" t="s">
        <v>8001</v>
      </c>
      <c r="H3639" s="649" t="s">
        <v>6179</v>
      </c>
      <c r="I3639" s="648" t="s">
        <v>6182</v>
      </c>
      <c r="J3639" s="626" t="s">
        <v>7713</v>
      </c>
      <c r="K3639" s="642">
        <v>1</v>
      </c>
      <c r="L3639" s="640">
        <v>12</v>
      </c>
      <c r="M3639" s="717">
        <f t="shared" si="38"/>
        <v>96000</v>
      </c>
      <c r="N3639" s="654"/>
      <c r="O3639" s="653"/>
      <c r="P3639" s="643"/>
    </row>
    <row r="3640" spans="1:16" s="619" customFormat="1" ht="36" x14ac:dyDescent="0.2">
      <c r="A3640" s="625" t="s">
        <v>7690</v>
      </c>
      <c r="B3640" s="626" t="s">
        <v>1908</v>
      </c>
      <c r="C3640" s="638" t="s">
        <v>7691</v>
      </c>
      <c r="D3640" s="649" t="s">
        <v>6548</v>
      </c>
      <c r="E3640" s="715">
        <v>2300</v>
      </c>
      <c r="F3640" s="626" t="s">
        <v>8002</v>
      </c>
      <c r="G3640" s="648" t="s">
        <v>8003</v>
      </c>
      <c r="H3640" s="649" t="s">
        <v>6548</v>
      </c>
      <c r="I3640" s="648" t="s">
        <v>8004</v>
      </c>
      <c r="J3640" s="626" t="s">
        <v>3768</v>
      </c>
      <c r="K3640" s="642">
        <v>1</v>
      </c>
      <c r="L3640" s="640">
        <v>7</v>
      </c>
      <c r="M3640" s="717">
        <f t="shared" si="38"/>
        <v>16100</v>
      </c>
      <c r="N3640" s="654"/>
      <c r="O3640" s="653"/>
      <c r="P3640" s="643"/>
    </row>
    <row r="3641" spans="1:16" s="619" customFormat="1" ht="24" x14ac:dyDescent="0.2">
      <c r="A3641" s="625" t="s">
        <v>7690</v>
      </c>
      <c r="B3641" s="626" t="s">
        <v>1908</v>
      </c>
      <c r="C3641" s="638" t="s">
        <v>7691</v>
      </c>
      <c r="D3641" s="649" t="s">
        <v>2660</v>
      </c>
      <c r="E3641" s="715">
        <v>1100</v>
      </c>
      <c r="F3641" s="626" t="s">
        <v>8005</v>
      </c>
      <c r="G3641" s="648" t="s">
        <v>8006</v>
      </c>
      <c r="H3641" s="649" t="s">
        <v>2660</v>
      </c>
      <c r="I3641" s="648" t="s">
        <v>2660</v>
      </c>
      <c r="J3641" s="626" t="s">
        <v>7713</v>
      </c>
      <c r="K3641" s="642">
        <v>1</v>
      </c>
      <c r="L3641" s="640">
        <v>12</v>
      </c>
      <c r="M3641" s="717">
        <f t="shared" si="38"/>
        <v>13200</v>
      </c>
      <c r="N3641" s="654"/>
      <c r="O3641" s="653"/>
      <c r="P3641" s="643"/>
    </row>
    <row r="3642" spans="1:16" s="619" customFormat="1" ht="24" x14ac:dyDescent="0.2">
      <c r="A3642" s="625" t="s">
        <v>7690</v>
      </c>
      <c r="B3642" s="626" t="s">
        <v>1908</v>
      </c>
      <c r="C3642" s="638" t="s">
        <v>7691</v>
      </c>
      <c r="D3642" s="649" t="s">
        <v>7626</v>
      </c>
      <c r="E3642" s="715">
        <v>1100</v>
      </c>
      <c r="F3642" s="626" t="s">
        <v>8007</v>
      </c>
      <c r="G3642" s="648" t="s">
        <v>8008</v>
      </c>
      <c r="H3642" s="649" t="s">
        <v>7626</v>
      </c>
      <c r="I3642" s="648" t="s">
        <v>7626</v>
      </c>
      <c r="J3642" s="626" t="s">
        <v>7713</v>
      </c>
      <c r="K3642" s="642">
        <v>1</v>
      </c>
      <c r="L3642" s="640">
        <v>9</v>
      </c>
      <c r="M3642" s="717">
        <f t="shared" si="38"/>
        <v>9900</v>
      </c>
      <c r="N3642" s="654"/>
      <c r="O3642" s="653"/>
      <c r="P3642" s="643"/>
    </row>
    <row r="3643" spans="1:16" s="619" customFormat="1" ht="24" x14ac:dyDescent="0.2">
      <c r="A3643" s="625" t="s">
        <v>7690</v>
      </c>
      <c r="B3643" s="626" t="s">
        <v>1908</v>
      </c>
      <c r="C3643" s="638" t="s">
        <v>7691</v>
      </c>
      <c r="D3643" s="649" t="s">
        <v>6092</v>
      </c>
      <c r="E3643" s="715">
        <v>2300</v>
      </c>
      <c r="F3643" s="626" t="s">
        <v>8009</v>
      </c>
      <c r="G3643" s="648" t="s">
        <v>8010</v>
      </c>
      <c r="H3643" s="649" t="s">
        <v>6092</v>
      </c>
      <c r="I3643" s="648" t="s">
        <v>1993</v>
      </c>
      <c r="J3643" s="626" t="s">
        <v>7713</v>
      </c>
      <c r="K3643" s="642">
        <v>1</v>
      </c>
      <c r="L3643" s="640">
        <v>12</v>
      </c>
      <c r="M3643" s="717">
        <f t="shared" si="38"/>
        <v>27600</v>
      </c>
      <c r="N3643" s="654"/>
      <c r="O3643" s="653"/>
      <c r="P3643" s="643"/>
    </row>
    <row r="3644" spans="1:16" s="619" customFormat="1" ht="24" x14ac:dyDescent="0.2">
      <c r="A3644" s="625" t="s">
        <v>7690</v>
      </c>
      <c r="B3644" s="626" t="s">
        <v>1908</v>
      </c>
      <c r="C3644" s="638" t="s">
        <v>7691</v>
      </c>
      <c r="D3644" s="649" t="s">
        <v>2660</v>
      </c>
      <c r="E3644" s="715">
        <v>1200</v>
      </c>
      <c r="F3644" s="626" t="s">
        <v>8011</v>
      </c>
      <c r="G3644" s="648" t="s">
        <v>8012</v>
      </c>
      <c r="H3644" s="649" t="s">
        <v>2660</v>
      </c>
      <c r="I3644" s="648" t="s">
        <v>2660</v>
      </c>
      <c r="J3644" s="626" t="s">
        <v>7713</v>
      </c>
      <c r="K3644" s="642">
        <v>1</v>
      </c>
      <c r="L3644" s="640">
        <v>12</v>
      </c>
      <c r="M3644" s="717">
        <f t="shared" si="38"/>
        <v>14400</v>
      </c>
      <c r="N3644" s="654"/>
      <c r="O3644" s="653"/>
      <c r="P3644" s="643"/>
    </row>
    <row r="3645" spans="1:16" s="619" customFormat="1" ht="36" x14ac:dyDescent="0.2">
      <c r="A3645" s="625" t="s">
        <v>7690</v>
      </c>
      <c r="B3645" s="626" t="s">
        <v>1908</v>
      </c>
      <c r="C3645" s="638" t="s">
        <v>7691</v>
      </c>
      <c r="D3645" s="649" t="s">
        <v>8013</v>
      </c>
      <c r="E3645" s="715">
        <v>1500</v>
      </c>
      <c r="F3645" s="626" t="s">
        <v>8014</v>
      </c>
      <c r="G3645" s="648" t="s">
        <v>8015</v>
      </c>
      <c r="H3645" s="649" t="s">
        <v>8013</v>
      </c>
      <c r="I3645" s="648" t="s">
        <v>8013</v>
      </c>
      <c r="J3645" s="626" t="s">
        <v>7713</v>
      </c>
      <c r="K3645" s="642">
        <v>1</v>
      </c>
      <c r="L3645" s="640">
        <v>5</v>
      </c>
      <c r="M3645" s="717">
        <f t="shared" si="38"/>
        <v>7500</v>
      </c>
      <c r="N3645" s="654"/>
      <c r="O3645" s="653"/>
      <c r="P3645" s="643"/>
    </row>
    <row r="3646" spans="1:16" s="619" customFormat="1" ht="36" x14ac:dyDescent="0.2">
      <c r="A3646" s="625" t="s">
        <v>7690</v>
      </c>
      <c r="B3646" s="626" t="s">
        <v>1908</v>
      </c>
      <c r="C3646" s="638" t="s">
        <v>7691</v>
      </c>
      <c r="D3646" s="649" t="s">
        <v>3548</v>
      </c>
      <c r="E3646" s="715">
        <v>1100</v>
      </c>
      <c r="F3646" s="626" t="s">
        <v>8016</v>
      </c>
      <c r="G3646" s="648" t="s">
        <v>8017</v>
      </c>
      <c r="H3646" s="649" t="s">
        <v>3548</v>
      </c>
      <c r="I3646" s="648" t="s">
        <v>1919</v>
      </c>
      <c r="J3646" s="626" t="s">
        <v>7698</v>
      </c>
      <c r="K3646" s="642">
        <v>1</v>
      </c>
      <c r="L3646" s="640">
        <v>4</v>
      </c>
      <c r="M3646" s="717">
        <f t="shared" si="38"/>
        <v>4400</v>
      </c>
      <c r="N3646" s="654"/>
      <c r="O3646" s="653"/>
      <c r="P3646" s="643"/>
    </row>
    <row r="3647" spans="1:16" s="619" customFormat="1" ht="24" x14ac:dyDescent="0.2">
      <c r="A3647" s="625" t="s">
        <v>7690</v>
      </c>
      <c r="B3647" s="626" t="s">
        <v>1908</v>
      </c>
      <c r="C3647" s="638" t="s">
        <v>7695</v>
      </c>
      <c r="D3647" s="649" t="s">
        <v>2660</v>
      </c>
      <c r="E3647" s="715">
        <v>1600</v>
      </c>
      <c r="F3647" s="626" t="s">
        <v>8018</v>
      </c>
      <c r="G3647" s="648" t="s">
        <v>8019</v>
      </c>
      <c r="H3647" s="649" t="s">
        <v>2660</v>
      </c>
      <c r="I3647" s="648" t="s">
        <v>2660</v>
      </c>
      <c r="J3647" s="626" t="s">
        <v>7713</v>
      </c>
      <c r="K3647" s="642">
        <v>1</v>
      </c>
      <c r="L3647" s="640">
        <v>6</v>
      </c>
      <c r="M3647" s="717">
        <f t="shared" si="38"/>
        <v>9600</v>
      </c>
      <c r="N3647" s="654"/>
      <c r="O3647" s="653"/>
      <c r="P3647" s="643"/>
    </row>
    <row r="3648" spans="1:16" s="619" customFormat="1" ht="36" x14ac:dyDescent="0.2">
      <c r="A3648" s="625" t="s">
        <v>7690</v>
      </c>
      <c r="B3648" s="626" t="s">
        <v>1908</v>
      </c>
      <c r="C3648" s="638" t="s">
        <v>7691</v>
      </c>
      <c r="D3648" s="649" t="s">
        <v>2660</v>
      </c>
      <c r="E3648" s="715">
        <v>1100</v>
      </c>
      <c r="F3648" s="626" t="s">
        <v>8020</v>
      </c>
      <c r="G3648" s="648" t="s">
        <v>8021</v>
      </c>
      <c r="H3648" s="649" t="s">
        <v>2660</v>
      </c>
      <c r="I3648" s="648" t="s">
        <v>2660</v>
      </c>
      <c r="J3648" s="626" t="s">
        <v>7713</v>
      </c>
      <c r="K3648" s="642">
        <v>1</v>
      </c>
      <c r="L3648" s="640">
        <v>12</v>
      </c>
      <c r="M3648" s="717">
        <f t="shared" si="38"/>
        <v>13200</v>
      </c>
      <c r="N3648" s="654"/>
      <c r="O3648" s="653"/>
      <c r="P3648" s="643"/>
    </row>
    <row r="3649" spans="1:16" s="619" customFormat="1" ht="24" x14ac:dyDescent="0.2">
      <c r="A3649" s="625" t="s">
        <v>7690</v>
      </c>
      <c r="B3649" s="626" t="s">
        <v>1908</v>
      </c>
      <c r="C3649" s="638" t="s">
        <v>7691</v>
      </c>
      <c r="D3649" s="649" t="s">
        <v>6299</v>
      </c>
      <c r="E3649" s="715">
        <v>1500</v>
      </c>
      <c r="F3649" s="626" t="s">
        <v>8022</v>
      </c>
      <c r="G3649" s="648" t="s">
        <v>8023</v>
      </c>
      <c r="H3649" s="649" t="s">
        <v>6299</v>
      </c>
      <c r="I3649" s="648" t="s">
        <v>6299</v>
      </c>
      <c r="J3649" s="626" t="s">
        <v>7713</v>
      </c>
      <c r="K3649" s="642">
        <v>1</v>
      </c>
      <c r="L3649" s="640">
        <v>2</v>
      </c>
      <c r="M3649" s="717">
        <f t="shared" si="38"/>
        <v>3000</v>
      </c>
      <c r="N3649" s="654"/>
      <c r="O3649" s="653"/>
      <c r="P3649" s="643"/>
    </row>
    <row r="3650" spans="1:16" s="619" customFormat="1" ht="36" x14ac:dyDescent="0.2">
      <c r="A3650" s="625" t="s">
        <v>7690</v>
      </c>
      <c r="B3650" s="626" t="s">
        <v>1908</v>
      </c>
      <c r="C3650" s="638" t="s">
        <v>7695</v>
      </c>
      <c r="D3650" s="649" t="s">
        <v>2660</v>
      </c>
      <c r="E3650" s="715">
        <v>2000</v>
      </c>
      <c r="F3650" s="626" t="s">
        <v>8024</v>
      </c>
      <c r="G3650" s="648" t="s">
        <v>8025</v>
      </c>
      <c r="H3650" s="649" t="s">
        <v>2660</v>
      </c>
      <c r="I3650" s="648" t="s">
        <v>2660</v>
      </c>
      <c r="J3650" s="626" t="s">
        <v>7713</v>
      </c>
      <c r="K3650" s="642">
        <v>1</v>
      </c>
      <c r="L3650" s="640">
        <v>2</v>
      </c>
      <c r="M3650" s="717">
        <f t="shared" si="38"/>
        <v>4000</v>
      </c>
      <c r="N3650" s="654"/>
      <c r="O3650" s="653"/>
      <c r="P3650" s="643"/>
    </row>
    <row r="3651" spans="1:16" s="619" customFormat="1" ht="36" x14ac:dyDescent="0.2">
      <c r="A3651" s="625" t="s">
        <v>7690</v>
      </c>
      <c r="B3651" s="626" t="s">
        <v>1908</v>
      </c>
      <c r="C3651" s="638" t="s">
        <v>7695</v>
      </c>
      <c r="D3651" s="649" t="s">
        <v>7716</v>
      </c>
      <c r="E3651" s="715">
        <v>3741.94</v>
      </c>
      <c r="F3651" s="626" t="s">
        <v>8026</v>
      </c>
      <c r="G3651" s="648" t="s">
        <v>8027</v>
      </c>
      <c r="H3651" s="649" t="s">
        <v>6092</v>
      </c>
      <c r="I3651" s="648" t="s">
        <v>7894</v>
      </c>
      <c r="J3651" s="626" t="s">
        <v>7713</v>
      </c>
      <c r="K3651" s="642">
        <v>1</v>
      </c>
      <c r="L3651" s="640">
        <v>1</v>
      </c>
      <c r="M3651" s="717">
        <f t="shared" si="38"/>
        <v>3741.94</v>
      </c>
      <c r="N3651" s="654"/>
      <c r="O3651" s="653"/>
      <c r="P3651" s="643"/>
    </row>
    <row r="3652" spans="1:16" s="619" customFormat="1" ht="24" x14ac:dyDescent="0.2">
      <c r="A3652" s="625" t="s">
        <v>7690</v>
      </c>
      <c r="B3652" s="626" t="s">
        <v>1908</v>
      </c>
      <c r="C3652" s="638" t="s">
        <v>7691</v>
      </c>
      <c r="D3652" s="649" t="s">
        <v>2660</v>
      </c>
      <c r="E3652" s="715">
        <v>1100</v>
      </c>
      <c r="F3652" s="626" t="s">
        <v>8028</v>
      </c>
      <c r="G3652" s="648" t="s">
        <v>8029</v>
      </c>
      <c r="H3652" s="649" t="s">
        <v>2660</v>
      </c>
      <c r="I3652" s="648" t="s">
        <v>2660</v>
      </c>
      <c r="J3652" s="626" t="s">
        <v>7713</v>
      </c>
      <c r="K3652" s="642">
        <v>1</v>
      </c>
      <c r="L3652" s="640">
        <v>12</v>
      </c>
      <c r="M3652" s="717">
        <f t="shared" si="38"/>
        <v>13200</v>
      </c>
      <c r="N3652" s="654"/>
      <c r="O3652" s="653"/>
      <c r="P3652" s="643"/>
    </row>
    <row r="3653" spans="1:16" s="619" customFormat="1" ht="36" x14ac:dyDescent="0.2">
      <c r="A3653" s="625" t="s">
        <v>7690</v>
      </c>
      <c r="B3653" s="626" t="s">
        <v>1908</v>
      </c>
      <c r="C3653" s="638" t="s">
        <v>7691</v>
      </c>
      <c r="D3653" s="649" t="s">
        <v>7740</v>
      </c>
      <c r="E3653" s="715">
        <v>2000</v>
      </c>
      <c r="F3653" s="626" t="s">
        <v>8030</v>
      </c>
      <c r="G3653" s="648" t="s">
        <v>8031</v>
      </c>
      <c r="H3653" s="649" t="s">
        <v>7740</v>
      </c>
      <c r="I3653" s="648" t="s">
        <v>7741</v>
      </c>
      <c r="J3653" s="626" t="s">
        <v>7713</v>
      </c>
      <c r="K3653" s="642">
        <v>1</v>
      </c>
      <c r="L3653" s="640">
        <v>8</v>
      </c>
      <c r="M3653" s="717">
        <f t="shared" si="38"/>
        <v>16000</v>
      </c>
      <c r="N3653" s="654"/>
      <c r="O3653" s="653"/>
      <c r="P3653" s="643"/>
    </row>
    <row r="3654" spans="1:16" s="619" customFormat="1" ht="24" x14ac:dyDescent="0.2">
      <c r="A3654" s="625" t="s">
        <v>7690</v>
      </c>
      <c r="B3654" s="626" t="s">
        <v>1908</v>
      </c>
      <c r="C3654" s="638" t="s">
        <v>7691</v>
      </c>
      <c r="D3654" s="649" t="s">
        <v>3548</v>
      </c>
      <c r="E3654" s="715">
        <v>1100</v>
      </c>
      <c r="F3654" s="626" t="s">
        <v>8032</v>
      </c>
      <c r="G3654" s="648" t="s">
        <v>8033</v>
      </c>
      <c r="H3654" s="649" t="s">
        <v>3548</v>
      </c>
      <c r="I3654" s="648" t="s">
        <v>1919</v>
      </c>
      <c r="J3654" s="626" t="s">
        <v>7698</v>
      </c>
      <c r="K3654" s="642">
        <v>1</v>
      </c>
      <c r="L3654" s="640">
        <v>12</v>
      </c>
      <c r="M3654" s="717">
        <f t="shared" si="38"/>
        <v>13200</v>
      </c>
      <c r="N3654" s="654"/>
      <c r="O3654" s="653"/>
      <c r="P3654" s="643"/>
    </row>
    <row r="3655" spans="1:16" s="619" customFormat="1" ht="24" x14ac:dyDescent="0.2">
      <c r="A3655" s="625" t="s">
        <v>7690</v>
      </c>
      <c r="B3655" s="626" t="s">
        <v>1908</v>
      </c>
      <c r="C3655" s="638" t="s">
        <v>7691</v>
      </c>
      <c r="D3655" s="649" t="s">
        <v>1965</v>
      </c>
      <c r="E3655" s="715">
        <v>2000</v>
      </c>
      <c r="F3655" s="626" t="s">
        <v>8034</v>
      </c>
      <c r="G3655" s="648" t="s">
        <v>8035</v>
      </c>
      <c r="H3655" s="649" t="s">
        <v>1965</v>
      </c>
      <c r="I3655" s="648" t="s">
        <v>1965</v>
      </c>
      <c r="J3655" s="626" t="s">
        <v>7713</v>
      </c>
      <c r="K3655" s="642">
        <v>1</v>
      </c>
      <c r="L3655" s="640">
        <v>12</v>
      </c>
      <c r="M3655" s="717">
        <f t="shared" si="38"/>
        <v>24000</v>
      </c>
      <c r="N3655" s="654"/>
      <c r="O3655" s="653"/>
      <c r="P3655" s="643"/>
    </row>
    <row r="3656" spans="1:16" s="619" customFormat="1" ht="24" x14ac:dyDescent="0.2">
      <c r="A3656" s="625" t="s">
        <v>7690</v>
      </c>
      <c r="B3656" s="626" t="s">
        <v>1908</v>
      </c>
      <c r="C3656" s="638" t="s">
        <v>7695</v>
      </c>
      <c r="D3656" s="649" t="s">
        <v>2660</v>
      </c>
      <c r="E3656" s="715">
        <v>2000</v>
      </c>
      <c r="F3656" s="626" t="s">
        <v>8036</v>
      </c>
      <c r="G3656" s="648" t="s">
        <v>8037</v>
      </c>
      <c r="H3656" s="649" t="s">
        <v>2660</v>
      </c>
      <c r="I3656" s="648" t="s">
        <v>2660</v>
      </c>
      <c r="J3656" s="626" t="s">
        <v>7713</v>
      </c>
      <c r="K3656" s="642">
        <v>1</v>
      </c>
      <c r="L3656" s="640">
        <v>3</v>
      </c>
      <c r="M3656" s="717">
        <f t="shared" si="38"/>
        <v>6000</v>
      </c>
      <c r="N3656" s="654"/>
      <c r="O3656" s="653"/>
      <c r="P3656" s="643"/>
    </row>
    <row r="3657" spans="1:16" s="619" customFormat="1" ht="48" x14ac:dyDescent="0.2">
      <c r="A3657" s="625" t="s">
        <v>7690</v>
      </c>
      <c r="B3657" s="626" t="s">
        <v>1908</v>
      </c>
      <c r="C3657" s="638" t="s">
        <v>7691</v>
      </c>
      <c r="D3657" s="649" t="s">
        <v>6158</v>
      </c>
      <c r="E3657" s="715">
        <v>930</v>
      </c>
      <c r="F3657" s="626" t="s">
        <v>8038</v>
      </c>
      <c r="G3657" s="648" t="s">
        <v>8039</v>
      </c>
      <c r="H3657" s="649" t="s">
        <v>6158</v>
      </c>
      <c r="I3657" s="648" t="s">
        <v>1919</v>
      </c>
      <c r="J3657" s="626" t="s">
        <v>7698</v>
      </c>
      <c r="K3657" s="642">
        <v>1</v>
      </c>
      <c r="L3657" s="640">
        <v>10</v>
      </c>
      <c r="M3657" s="717">
        <f t="shared" si="38"/>
        <v>9300</v>
      </c>
      <c r="N3657" s="654"/>
      <c r="O3657" s="653"/>
      <c r="P3657" s="643"/>
    </row>
    <row r="3658" spans="1:16" s="619" customFormat="1" ht="24" x14ac:dyDescent="0.2">
      <c r="A3658" s="625" t="s">
        <v>7690</v>
      </c>
      <c r="B3658" s="626" t="s">
        <v>1908</v>
      </c>
      <c r="C3658" s="638" t="s">
        <v>7691</v>
      </c>
      <c r="D3658" s="649" t="s">
        <v>6198</v>
      </c>
      <c r="E3658" s="715">
        <v>2200</v>
      </c>
      <c r="F3658" s="626" t="s">
        <v>8040</v>
      </c>
      <c r="G3658" s="648" t="s">
        <v>8041</v>
      </c>
      <c r="H3658" s="649" t="s">
        <v>7740</v>
      </c>
      <c r="I3658" s="648" t="s">
        <v>7741</v>
      </c>
      <c r="J3658" s="626" t="s">
        <v>7713</v>
      </c>
      <c r="K3658" s="642">
        <v>1</v>
      </c>
      <c r="L3658" s="640">
        <v>12</v>
      </c>
      <c r="M3658" s="717">
        <f t="shared" si="38"/>
        <v>26400</v>
      </c>
      <c r="N3658" s="654"/>
      <c r="O3658" s="653"/>
      <c r="P3658" s="643"/>
    </row>
    <row r="3659" spans="1:16" s="619" customFormat="1" ht="24" x14ac:dyDescent="0.2">
      <c r="A3659" s="625" t="s">
        <v>7690</v>
      </c>
      <c r="B3659" s="626" t="s">
        <v>1908</v>
      </c>
      <c r="C3659" s="638" t="s">
        <v>7691</v>
      </c>
      <c r="D3659" s="649" t="s">
        <v>2660</v>
      </c>
      <c r="E3659" s="715">
        <v>1100</v>
      </c>
      <c r="F3659" s="626" t="s">
        <v>8042</v>
      </c>
      <c r="G3659" s="648" t="s">
        <v>8043</v>
      </c>
      <c r="H3659" s="649" t="s">
        <v>2660</v>
      </c>
      <c r="I3659" s="648" t="s">
        <v>2660</v>
      </c>
      <c r="J3659" s="626" t="s">
        <v>7713</v>
      </c>
      <c r="K3659" s="642">
        <v>1</v>
      </c>
      <c r="L3659" s="640">
        <v>5</v>
      </c>
      <c r="M3659" s="717">
        <f t="shared" si="38"/>
        <v>5500</v>
      </c>
      <c r="N3659" s="654"/>
      <c r="O3659" s="653"/>
      <c r="P3659" s="643"/>
    </row>
    <row r="3660" spans="1:16" s="619" customFormat="1" ht="48" x14ac:dyDescent="0.2">
      <c r="A3660" s="625" t="s">
        <v>7690</v>
      </c>
      <c r="B3660" s="626" t="s">
        <v>1908</v>
      </c>
      <c r="C3660" s="638" t="s">
        <v>7695</v>
      </c>
      <c r="D3660" s="649" t="s">
        <v>6876</v>
      </c>
      <c r="E3660" s="715">
        <v>1500</v>
      </c>
      <c r="F3660" s="626" t="s">
        <v>8044</v>
      </c>
      <c r="G3660" s="648" t="s">
        <v>8045</v>
      </c>
      <c r="H3660" s="649" t="s">
        <v>6876</v>
      </c>
      <c r="I3660" s="648" t="s">
        <v>1919</v>
      </c>
      <c r="J3660" s="626" t="s">
        <v>7698</v>
      </c>
      <c r="K3660" s="642">
        <v>1</v>
      </c>
      <c r="L3660" s="640">
        <v>8</v>
      </c>
      <c r="M3660" s="717">
        <f t="shared" si="38"/>
        <v>12000</v>
      </c>
      <c r="N3660" s="654"/>
      <c r="O3660" s="653"/>
      <c r="P3660" s="643"/>
    </row>
    <row r="3661" spans="1:16" s="619" customFormat="1" ht="36" x14ac:dyDescent="0.2">
      <c r="A3661" s="625" t="s">
        <v>7690</v>
      </c>
      <c r="B3661" s="626" t="s">
        <v>1908</v>
      </c>
      <c r="C3661" s="638" t="s">
        <v>7691</v>
      </c>
      <c r="D3661" s="649" t="s">
        <v>2660</v>
      </c>
      <c r="E3661" s="715">
        <v>1200</v>
      </c>
      <c r="F3661" s="626" t="s">
        <v>8046</v>
      </c>
      <c r="G3661" s="648" t="s">
        <v>8047</v>
      </c>
      <c r="H3661" s="649" t="s">
        <v>2660</v>
      </c>
      <c r="I3661" s="648" t="s">
        <v>2660</v>
      </c>
      <c r="J3661" s="626" t="s">
        <v>7713</v>
      </c>
      <c r="K3661" s="642">
        <v>1</v>
      </c>
      <c r="L3661" s="640">
        <v>12</v>
      </c>
      <c r="M3661" s="717">
        <f t="shared" si="38"/>
        <v>14400</v>
      </c>
      <c r="N3661" s="654"/>
      <c r="O3661" s="653"/>
      <c r="P3661" s="643"/>
    </row>
    <row r="3662" spans="1:16" s="619" customFormat="1" ht="36" x14ac:dyDescent="0.2">
      <c r="A3662" s="625" t="s">
        <v>7690</v>
      </c>
      <c r="B3662" s="626" t="s">
        <v>1908</v>
      </c>
      <c r="C3662" s="638" t="s">
        <v>7691</v>
      </c>
      <c r="D3662" s="649" t="s">
        <v>3569</v>
      </c>
      <c r="E3662" s="715">
        <v>1100</v>
      </c>
      <c r="F3662" s="626" t="s">
        <v>8048</v>
      </c>
      <c r="G3662" s="648" t="s">
        <v>8049</v>
      </c>
      <c r="H3662" s="649" t="s">
        <v>3569</v>
      </c>
      <c r="I3662" s="648" t="s">
        <v>8050</v>
      </c>
      <c r="J3662" s="626" t="s">
        <v>7713</v>
      </c>
      <c r="K3662" s="642">
        <v>1</v>
      </c>
      <c r="L3662" s="640">
        <v>5</v>
      </c>
      <c r="M3662" s="717">
        <f t="shared" si="38"/>
        <v>5500</v>
      </c>
      <c r="N3662" s="654"/>
      <c r="O3662" s="653"/>
      <c r="P3662" s="643"/>
    </row>
    <row r="3663" spans="1:16" s="619" customFormat="1" ht="36" x14ac:dyDescent="0.2">
      <c r="A3663" s="625" t="s">
        <v>7690</v>
      </c>
      <c r="B3663" s="626" t="s">
        <v>1908</v>
      </c>
      <c r="C3663" s="638" t="s">
        <v>7691</v>
      </c>
      <c r="D3663" s="649" t="s">
        <v>7624</v>
      </c>
      <c r="E3663" s="715">
        <v>1300</v>
      </c>
      <c r="F3663" s="626" t="s">
        <v>8051</v>
      </c>
      <c r="G3663" s="648" t="s">
        <v>8052</v>
      </c>
      <c r="H3663" s="649" t="s">
        <v>6114</v>
      </c>
      <c r="I3663" s="648" t="s">
        <v>6114</v>
      </c>
      <c r="J3663" s="626" t="s">
        <v>7713</v>
      </c>
      <c r="K3663" s="642">
        <v>1</v>
      </c>
      <c r="L3663" s="640">
        <v>12</v>
      </c>
      <c r="M3663" s="717">
        <f t="shared" si="38"/>
        <v>15600</v>
      </c>
      <c r="N3663" s="654"/>
      <c r="O3663" s="653"/>
      <c r="P3663" s="643"/>
    </row>
    <row r="3664" spans="1:16" s="619" customFormat="1" ht="24" x14ac:dyDescent="0.2">
      <c r="A3664" s="625" t="s">
        <v>7690</v>
      </c>
      <c r="B3664" s="626" t="s">
        <v>1908</v>
      </c>
      <c r="C3664" s="638" t="s">
        <v>7691</v>
      </c>
      <c r="D3664" s="649" t="s">
        <v>2660</v>
      </c>
      <c r="E3664" s="715">
        <v>1100</v>
      </c>
      <c r="F3664" s="626" t="s">
        <v>8053</v>
      </c>
      <c r="G3664" s="648" t="s">
        <v>8054</v>
      </c>
      <c r="H3664" s="649" t="s">
        <v>2660</v>
      </c>
      <c r="I3664" s="648" t="s">
        <v>2660</v>
      </c>
      <c r="J3664" s="626" t="s">
        <v>7713</v>
      </c>
      <c r="K3664" s="642">
        <v>1</v>
      </c>
      <c r="L3664" s="640">
        <v>12</v>
      </c>
      <c r="M3664" s="717">
        <f t="shared" si="38"/>
        <v>13200</v>
      </c>
      <c r="N3664" s="654"/>
      <c r="O3664" s="653"/>
      <c r="P3664" s="643"/>
    </row>
    <row r="3665" spans="1:16" s="619" customFormat="1" ht="24" x14ac:dyDescent="0.2">
      <c r="A3665" s="625" t="s">
        <v>7690</v>
      </c>
      <c r="B3665" s="626" t="s">
        <v>1908</v>
      </c>
      <c r="C3665" s="638" t="s">
        <v>7691</v>
      </c>
      <c r="D3665" s="649" t="s">
        <v>2660</v>
      </c>
      <c r="E3665" s="715">
        <v>1100</v>
      </c>
      <c r="F3665" s="626" t="s">
        <v>8055</v>
      </c>
      <c r="G3665" s="648" t="s">
        <v>8056</v>
      </c>
      <c r="H3665" s="649" t="s">
        <v>2660</v>
      </c>
      <c r="I3665" s="648" t="s">
        <v>2660</v>
      </c>
      <c r="J3665" s="626" t="s">
        <v>7713</v>
      </c>
      <c r="K3665" s="642">
        <v>1</v>
      </c>
      <c r="L3665" s="640">
        <v>12</v>
      </c>
      <c r="M3665" s="717">
        <f t="shared" si="38"/>
        <v>13200</v>
      </c>
      <c r="N3665" s="654"/>
      <c r="O3665" s="653"/>
      <c r="P3665" s="643"/>
    </row>
    <row r="3666" spans="1:16" s="619" customFormat="1" ht="60" x14ac:dyDescent="0.2">
      <c r="A3666" s="625" t="s">
        <v>7690</v>
      </c>
      <c r="B3666" s="626" t="s">
        <v>1908</v>
      </c>
      <c r="C3666" s="638" t="s">
        <v>7691</v>
      </c>
      <c r="D3666" s="649" t="s">
        <v>6227</v>
      </c>
      <c r="E3666" s="715">
        <v>2300</v>
      </c>
      <c r="F3666" s="626" t="s">
        <v>8057</v>
      </c>
      <c r="G3666" s="648" t="s">
        <v>8058</v>
      </c>
      <c r="H3666" s="649" t="s">
        <v>6227</v>
      </c>
      <c r="I3666" s="648" t="s">
        <v>1988</v>
      </c>
      <c r="J3666" s="626" t="s">
        <v>7713</v>
      </c>
      <c r="K3666" s="642">
        <v>1</v>
      </c>
      <c r="L3666" s="640">
        <v>3</v>
      </c>
      <c r="M3666" s="717">
        <f t="shared" si="38"/>
        <v>6900</v>
      </c>
      <c r="N3666" s="654"/>
      <c r="O3666" s="653"/>
      <c r="P3666" s="643"/>
    </row>
    <row r="3667" spans="1:16" s="619" customFormat="1" ht="36" x14ac:dyDescent="0.2">
      <c r="A3667" s="625" t="s">
        <v>7690</v>
      </c>
      <c r="B3667" s="626" t="s">
        <v>1908</v>
      </c>
      <c r="C3667" s="638" t="s">
        <v>7691</v>
      </c>
      <c r="D3667" s="649" t="s">
        <v>6876</v>
      </c>
      <c r="E3667" s="715">
        <v>1500</v>
      </c>
      <c r="F3667" s="626" t="s">
        <v>8059</v>
      </c>
      <c r="G3667" s="648" t="s">
        <v>8060</v>
      </c>
      <c r="H3667" s="649" t="s">
        <v>6876</v>
      </c>
      <c r="I3667" s="648" t="s">
        <v>1919</v>
      </c>
      <c r="J3667" s="626" t="s">
        <v>7698</v>
      </c>
      <c r="K3667" s="642">
        <v>1</v>
      </c>
      <c r="L3667" s="640">
        <v>12</v>
      </c>
      <c r="M3667" s="717">
        <f t="shared" si="38"/>
        <v>18000</v>
      </c>
      <c r="N3667" s="654"/>
      <c r="O3667" s="653"/>
      <c r="P3667" s="643"/>
    </row>
    <row r="3668" spans="1:16" s="619" customFormat="1" ht="24" x14ac:dyDescent="0.2">
      <c r="A3668" s="625" t="s">
        <v>7690</v>
      </c>
      <c r="B3668" s="626" t="s">
        <v>1908</v>
      </c>
      <c r="C3668" s="638" t="s">
        <v>7691</v>
      </c>
      <c r="D3668" s="649" t="s">
        <v>2660</v>
      </c>
      <c r="E3668" s="715">
        <v>1100</v>
      </c>
      <c r="F3668" s="626" t="s">
        <v>8061</v>
      </c>
      <c r="G3668" s="648" t="s">
        <v>8062</v>
      </c>
      <c r="H3668" s="649" t="s">
        <v>2660</v>
      </c>
      <c r="I3668" s="648" t="s">
        <v>2660</v>
      </c>
      <c r="J3668" s="626" t="s">
        <v>7713</v>
      </c>
      <c r="K3668" s="642">
        <v>1</v>
      </c>
      <c r="L3668" s="640">
        <v>12</v>
      </c>
      <c r="M3668" s="717">
        <f t="shared" si="38"/>
        <v>13200</v>
      </c>
      <c r="N3668" s="654"/>
      <c r="O3668" s="653"/>
      <c r="P3668" s="643"/>
    </row>
    <row r="3669" spans="1:16" s="619" customFormat="1" ht="24" x14ac:dyDescent="0.2">
      <c r="A3669" s="625" t="s">
        <v>7690</v>
      </c>
      <c r="B3669" s="626" t="s">
        <v>1908</v>
      </c>
      <c r="C3669" s="638" t="s">
        <v>7691</v>
      </c>
      <c r="D3669" s="649" t="s">
        <v>6158</v>
      </c>
      <c r="E3669" s="715">
        <v>1200</v>
      </c>
      <c r="F3669" s="626" t="s">
        <v>8063</v>
      </c>
      <c r="G3669" s="648" t="s">
        <v>8064</v>
      </c>
      <c r="H3669" s="649" t="s">
        <v>6158</v>
      </c>
      <c r="I3669" s="648" t="s">
        <v>1919</v>
      </c>
      <c r="J3669" s="626" t="s">
        <v>7698</v>
      </c>
      <c r="K3669" s="642">
        <v>1</v>
      </c>
      <c r="L3669" s="640">
        <v>12</v>
      </c>
      <c r="M3669" s="717">
        <f t="shared" si="38"/>
        <v>14400</v>
      </c>
      <c r="N3669" s="654"/>
      <c r="O3669" s="653"/>
      <c r="P3669" s="643"/>
    </row>
    <row r="3670" spans="1:16" s="619" customFormat="1" ht="24" x14ac:dyDescent="0.2">
      <c r="A3670" s="625" t="s">
        <v>7690</v>
      </c>
      <c r="B3670" s="626" t="s">
        <v>1908</v>
      </c>
      <c r="C3670" s="638" t="s">
        <v>7691</v>
      </c>
      <c r="D3670" s="649" t="s">
        <v>7716</v>
      </c>
      <c r="E3670" s="715">
        <v>2200</v>
      </c>
      <c r="F3670" s="626" t="s">
        <v>8065</v>
      </c>
      <c r="G3670" s="648" t="s">
        <v>8066</v>
      </c>
      <c r="H3670" s="649" t="s">
        <v>6092</v>
      </c>
      <c r="I3670" s="648" t="s">
        <v>7894</v>
      </c>
      <c r="J3670" s="626" t="s">
        <v>7713</v>
      </c>
      <c r="K3670" s="642">
        <v>1</v>
      </c>
      <c r="L3670" s="640">
        <v>12</v>
      </c>
      <c r="M3670" s="717">
        <f t="shared" si="38"/>
        <v>26400</v>
      </c>
      <c r="N3670" s="654"/>
      <c r="O3670" s="653"/>
      <c r="P3670" s="643"/>
    </row>
    <row r="3671" spans="1:16" s="619" customFormat="1" ht="24" x14ac:dyDescent="0.2">
      <c r="A3671" s="625" t="s">
        <v>7690</v>
      </c>
      <c r="B3671" s="626" t="s">
        <v>1908</v>
      </c>
      <c r="C3671" s="638" t="s">
        <v>7691</v>
      </c>
      <c r="D3671" s="649" t="s">
        <v>7716</v>
      </c>
      <c r="E3671" s="715">
        <v>5000</v>
      </c>
      <c r="F3671" s="626" t="s">
        <v>8067</v>
      </c>
      <c r="G3671" s="648" t="s">
        <v>8068</v>
      </c>
      <c r="H3671" s="649" t="s">
        <v>6092</v>
      </c>
      <c r="I3671" s="648" t="s">
        <v>7894</v>
      </c>
      <c r="J3671" s="626" t="s">
        <v>7713</v>
      </c>
      <c r="K3671" s="642">
        <v>1</v>
      </c>
      <c r="L3671" s="640">
        <v>9</v>
      </c>
      <c r="M3671" s="717">
        <f t="shared" si="38"/>
        <v>45000</v>
      </c>
      <c r="N3671" s="654"/>
      <c r="O3671" s="653"/>
      <c r="P3671" s="643"/>
    </row>
    <row r="3672" spans="1:16" s="619" customFormat="1" ht="36" x14ac:dyDescent="0.2">
      <c r="A3672" s="625" t="s">
        <v>7690</v>
      </c>
      <c r="B3672" s="626" t="s">
        <v>1908</v>
      </c>
      <c r="C3672" s="638" t="s">
        <v>7691</v>
      </c>
      <c r="D3672" s="649" t="s">
        <v>7624</v>
      </c>
      <c r="E3672" s="715">
        <v>1200</v>
      </c>
      <c r="F3672" s="626" t="s">
        <v>8069</v>
      </c>
      <c r="G3672" s="648" t="s">
        <v>8070</v>
      </c>
      <c r="H3672" s="649" t="s">
        <v>6114</v>
      </c>
      <c r="I3672" s="648" t="s">
        <v>6114</v>
      </c>
      <c r="J3672" s="626" t="s">
        <v>7713</v>
      </c>
      <c r="K3672" s="642">
        <v>1</v>
      </c>
      <c r="L3672" s="640">
        <v>12</v>
      </c>
      <c r="M3672" s="717">
        <f t="shared" si="38"/>
        <v>14400</v>
      </c>
      <c r="N3672" s="654"/>
      <c r="O3672" s="653"/>
      <c r="P3672" s="643"/>
    </row>
    <row r="3673" spans="1:16" s="619" customFormat="1" ht="36" x14ac:dyDescent="0.2">
      <c r="A3673" s="625" t="s">
        <v>7690</v>
      </c>
      <c r="B3673" s="626" t="s">
        <v>1908</v>
      </c>
      <c r="C3673" s="638" t="s">
        <v>7695</v>
      </c>
      <c r="D3673" s="649" t="s">
        <v>6179</v>
      </c>
      <c r="E3673" s="715">
        <v>8000</v>
      </c>
      <c r="F3673" s="626" t="s">
        <v>8071</v>
      </c>
      <c r="G3673" s="648" t="s">
        <v>8072</v>
      </c>
      <c r="H3673" s="649" t="s">
        <v>6179</v>
      </c>
      <c r="I3673" s="648" t="s">
        <v>6182</v>
      </c>
      <c r="J3673" s="626" t="s">
        <v>7713</v>
      </c>
      <c r="K3673" s="642">
        <v>1</v>
      </c>
      <c r="L3673" s="640">
        <v>12</v>
      </c>
      <c r="M3673" s="717">
        <f t="shared" si="38"/>
        <v>96000</v>
      </c>
      <c r="N3673" s="654"/>
      <c r="O3673" s="653"/>
      <c r="P3673" s="643"/>
    </row>
    <row r="3674" spans="1:16" s="619" customFormat="1" ht="36" x14ac:dyDescent="0.2">
      <c r="A3674" s="625" t="s">
        <v>7690</v>
      </c>
      <c r="B3674" s="626" t="s">
        <v>1908</v>
      </c>
      <c r="C3674" s="638" t="s">
        <v>7691</v>
      </c>
      <c r="D3674" s="649" t="s">
        <v>2660</v>
      </c>
      <c r="E3674" s="715">
        <v>1100</v>
      </c>
      <c r="F3674" s="626" t="s">
        <v>6499</v>
      </c>
      <c r="G3674" s="648" t="s">
        <v>6500</v>
      </c>
      <c r="H3674" s="649" t="s">
        <v>2660</v>
      </c>
      <c r="I3674" s="648" t="s">
        <v>2660</v>
      </c>
      <c r="J3674" s="626" t="s">
        <v>7713</v>
      </c>
      <c r="K3674" s="642">
        <v>1</v>
      </c>
      <c r="L3674" s="640">
        <v>1</v>
      </c>
      <c r="M3674" s="717">
        <f t="shared" si="38"/>
        <v>1100</v>
      </c>
      <c r="N3674" s="654"/>
      <c r="O3674" s="653"/>
      <c r="P3674" s="643"/>
    </row>
    <row r="3675" spans="1:16" s="619" customFormat="1" ht="36" x14ac:dyDescent="0.2">
      <c r="A3675" s="625" t="s">
        <v>7690</v>
      </c>
      <c r="B3675" s="626" t="s">
        <v>1908</v>
      </c>
      <c r="C3675" s="638" t="s">
        <v>7691</v>
      </c>
      <c r="D3675" s="649" t="s">
        <v>2660</v>
      </c>
      <c r="E3675" s="715">
        <v>1800</v>
      </c>
      <c r="F3675" s="626" t="s">
        <v>8073</v>
      </c>
      <c r="G3675" s="648" t="s">
        <v>8074</v>
      </c>
      <c r="H3675" s="649" t="s">
        <v>2660</v>
      </c>
      <c r="I3675" s="648" t="s">
        <v>2660</v>
      </c>
      <c r="J3675" s="626" t="s">
        <v>7713</v>
      </c>
      <c r="K3675" s="642">
        <v>1</v>
      </c>
      <c r="L3675" s="640">
        <v>5</v>
      </c>
      <c r="M3675" s="717">
        <f t="shared" si="38"/>
        <v>9000</v>
      </c>
      <c r="N3675" s="654"/>
      <c r="O3675" s="653"/>
      <c r="P3675" s="643"/>
    </row>
    <row r="3676" spans="1:16" s="619" customFormat="1" ht="36" x14ac:dyDescent="0.2">
      <c r="A3676" s="625" t="s">
        <v>7690</v>
      </c>
      <c r="B3676" s="626" t="s">
        <v>1908</v>
      </c>
      <c r="C3676" s="638" t="s">
        <v>7691</v>
      </c>
      <c r="D3676" s="649" t="s">
        <v>3548</v>
      </c>
      <c r="E3676" s="715">
        <v>1000</v>
      </c>
      <c r="F3676" s="626" t="s">
        <v>8075</v>
      </c>
      <c r="G3676" s="648" t="s">
        <v>8076</v>
      </c>
      <c r="H3676" s="649" t="s">
        <v>3548</v>
      </c>
      <c r="I3676" s="648" t="s">
        <v>1919</v>
      </c>
      <c r="J3676" s="626" t="s">
        <v>7698</v>
      </c>
      <c r="K3676" s="642">
        <v>1</v>
      </c>
      <c r="L3676" s="640">
        <v>12</v>
      </c>
      <c r="M3676" s="717">
        <f t="shared" si="38"/>
        <v>12000</v>
      </c>
      <c r="N3676" s="654"/>
      <c r="O3676" s="653"/>
      <c r="P3676" s="643"/>
    </row>
    <row r="3677" spans="1:16" s="619" customFormat="1" ht="36" x14ac:dyDescent="0.2">
      <c r="A3677" s="625" t="s">
        <v>7690</v>
      </c>
      <c r="B3677" s="626" t="s">
        <v>1908</v>
      </c>
      <c r="C3677" s="638" t="s">
        <v>7691</v>
      </c>
      <c r="D3677" s="649" t="s">
        <v>4544</v>
      </c>
      <c r="E3677" s="715">
        <v>4000</v>
      </c>
      <c r="F3677" s="626" t="s">
        <v>8077</v>
      </c>
      <c r="G3677" s="648" t="s">
        <v>8078</v>
      </c>
      <c r="H3677" s="649" t="s">
        <v>6149</v>
      </c>
      <c r="I3677" s="648" t="s">
        <v>7835</v>
      </c>
      <c r="J3677" s="626" t="s">
        <v>7713</v>
      </c>
      <c r="K3677" s="642">
        <v>1</v>
      </c>
      <c r="L3677" s="640">
        <v>3</v>
      </c>
      <c r="M3677" s="717">
        <f t="shared" si="38"/>
        <v>12000</v>
      </c>
      <c r="N3677" s="654"/>
      <c r="O3677" s="653"/>
      <c r="P3677" s="643"/>
    </row>
    <row r="3678" spans="1:16" s="619" customFormat="1" ht="36" x14ac:dyDescent="0.2">
      <c r="A3678" s="625" t="s">
        <v>7690</v>
      </c>
      <c r="B3678" s="626" t="s">
        <v>1908</v>
      </c>
      <c r="C3678" s="638" t="s">
        <v>7691</v>
      </c>
      <c r="D3678" s="649" t="s">
        <v>7724</v>
      </c>
      <c r="E3678" s="715">
        <v>2300</v>
      </c>
      <c r="F3678" s="626" t="s">
        <v>8079</v>
      </c>
      <c r="G3678" s="648" t="s">
        <v>8080</v>
      </c>
      <c r="H3678" s="649" t="s">
        <v>7724</v>
      </c>
      <c r="I3678" s="648"/>
      <c r="J3678" s="626" t="s">
        <v>7713</v>
      </c>
      <c r="K3678" s="642">
        <v>1</v>
      </c>
      <c r="L3678" s="640">
        <v>12</v>
      </c>
      <c r="M3678" s="717">
        <f t="shared" si="38"/>
        <v>27600</v>
      </c>
      <c r="N3678" s="654"/>
      <c r="O3678" s="653"/>
      <c r="P3678" s="643"/>
    </row>
    <row r="3679" spans="1:16" s="619" customFormat="1" ht="24" x14ac:dyDescent="0.2">
      <c r="A3679" s="625" t="s">
        <v>7690</v>
      </c>
      <c r="B3679" s="626" t="s">
        <v>1908</v>
      </c>
      <c r="C3679" s="638" t="s">
        <v>7691</v>
      </c>
      <c r="D3679" s="649" t="s">
        <v>2660</v>
      </c>
      <c r="E3679" s="715">
        <v>1500</v>
      </c>
      <c r="F3679" s="626" t="s">
        <v>8081</v>
      </c>
      <c r="G3679" s="648" t="s">
        <v>8082</v>
      </c>
      <c r="H3679" s="649" t="s">
        <v>2660</v>
      </c>
      <c r="I3679" s="648" t="s">
        <v>2660</v>
      </c>
      <c r="J3679" s="626" t="s">
        <v>7713</v>
      </c>
      <c r="K3679" s="642">
        <v>1</v>
      </c>
      <c r="L3679" s="640">
        <v>12</v>
      </c>
      <c r="M3679" s="717">
        <f t="shared" si="38"/>
        <v>18000</v>
      </c>
      <c r="N3679" s="654"/>
      <c r="O3679" s="653"/>
      <c r="P3679" s="643"/>
    </row>
    <row r="3680" spans="1:16" s="619" customFormat="1" ht="24" x14ac:dyDescent="0.2">
      <c r="A3680" s="625" t="s">
        <v>7690</v>
      </c>
      <c r="B3680" s="626" t="s">
        <v>1908</v>
      </c>
      <c r="C3680" s="638" t="s">
        <v>7691</v>
      </c>
      <c r="D3680" s="649" t="s">
        <v>6158</v>
      </c>
      <c r="E3680" s="715">
        <v>1100</v>
      </c>
      <c r="F3680" s="626" t="s">
        <v>8083</v>
      </c>
      <c r="G3680" s="648" t="s">
        <v>8084</v>
      </c>
      <c r="H3680" s="649" t="s">
        <v>6158</v>
      </c>
      <c r="I3680" s="648" t="s">
        <v>1919</v>
      </c>
      <c r="J3680" s="626" t="s">
        <v>7698</v>
      </c>
      <c r="K3680" s="642">
        <v>1</v>
      </c>
      <c r="L3680" s="640">
        <v>9</v>
      </c>
      <c r="M3680" s="717">
        <f t="shared" si="38"/>
        <v>9900</v>
      </c>
      <c r="N3680" s="654"/>
      <c r="O3680" s="653"/>
      <c r="P3680" s="643"/>
    </row>
    <row r="3681" spans="1:16" s="619" customFormat="1" ht="24" x14ac:dyDescent="0.2">
      <c r="A3681" s="625" t="s">
        <v>7690</v>
      </c>
      <c r="B3681" s="626" t="s">
        <v>1908</v>
      </c>
      <c r="C3681" s="638" t="s">
        <v>7691</v>
      </c>
      <c r="D3681" s="649" t="s">
        <v>6158</v>
      </c>
      <c r="E3681" s="715">
        <v>1000</v>
      </c>
      <c r="F3681" s="626" t="s">
        <v>8085</v>
      </c>
      <c r="G3681" s="648" t="s">
        <v>8086</v>
      </c>
      <c r="H3681" s="649" t="s">
        <v>6158</v>
      </c>
      <c r="I3681" s="648" t="s">
        <v>1919</v>
      </c>
      <c r="J3681" s="626" t="s">
        <v>7698</v>
      </c>
      <c r="K3681" s="642">
        <v>1</v>
      </c>
      <c r="L3681" s="640">
        <v>9</v>
      </c>
      <c r="M3681" s="717">
        <f t="shared" si="38"/>
        <v>9000</v>
      </c>
      <c r="N3681" s="654"/>
      <c r="O3681" s="653"/>
      <c r="P3681" s="643"/>
    </row>
    <row r="3682" spans="1:16" s="619" customFormat="1" ht="36" x14ac:dyDescent="0.2">
      <c r="A3682" s="625" t="s">
        <v>7690</v>
      </c>
      <c r="B3682" s="626" t="s">
        <v>1908</v>
      </c>
      <c r="C3682" s="638" t="s">
        <v>7691</v>
      </c>
      <c r="D3682" s="649" t="s">
        <v>2660</v>
      </c>
      <c r="E3682" s="715">
        <v>2000</v>
      </c>
      <c r="F3682" s="626" t="s">
        <v>8087</v>
      </c>
      <c r="G3682" s="648" t="s">
        <v>8088</v>
      </c>
      <c r="H3682" s="649" t="s">
        <v>2660</v>
      </c>
      <c r="I3682" s="648" t="s">
        <v>2660</v>
      </c>
      <c r="J3682" s="626" t="s">
        <v>7713</v>
      </c>
      <c r="K3682" s="642">
        <v>1</v>
      </c>
      <c r="L3682" s="640">
        <v>5</v>
      </c>
      <c r="M3682" s="717">
        <f t="shared" si="38"/>
        <v>10000</v>
      </c>
      <c r="N3682" s="654"/>
      <c r="O3682" s="653"/>
      <c r="P3682" s="643"/>
    </row>
    <row r="3683" spans="1:16" s="619" customFormat="1" ht="36" x14ac:dyDescent="0.2">
      <c r="A3683" s="625" t="s">
        <v>7690</v>
      </c>
      <c r="B3683" s="626" t="s">
        <v>1908</v>
      </c>
      <c r="C3683" s="638" t="s">
        <v>7695</v>
      </c>
      <c r="D3683" s="649" t="s">
        <v>6198</v>
      </c>
      <c r="E3683" s="715">
        <v>5000</v>
      </c>
      <c r="F3683" s="626" t="s">
        <v>8089</v>
      </c>
      <c r="G3683" s="648" t="s">
        <v>8090</v>
      </c>
      <c r="H3683" s="649" t="s">
        <v>7740</v>
      </c>
      <c r="I3683" s="648" t="s">
        <v>7741</v>
      </c>
      <c r="J3683" s="626" t="s">
        <v>7713</v>
      </c>
      <c r="K3683" s="642">
        <v>1</v>
      </c>
      <c r="L3683" s="640">
        <v>12</v>
      </c>
      <c r="M3683" s="717">
        <f t="shared" si="38"/>
        <v>60000</v>
      </c>
      <c r="N3683" s="654"/>
      <c r="O3683" s="653"/>
      <c r="P3683" s="643"/>
    </row>
    <row r="3684" spans="1:16" s="619" customFormat="1" ht="36" x14ac:dyDescent="0.2">
      <c r="A3684" s="625" t="s">
        <v>7690</v>
      </c>
      <c r="B3684" s="626" t="s">
        <v>1908</v>
      </c>
      <c r="C3684" s="638" t="s">
        <v>7695</v>
      </c>
      <c r="D3684" s="649" t="s">
        <v>6198</v>
      </c>
      <c r="E3684" s="715">
        <v>4500</v>
      </c>
      <c r="F3684" s="626" t="s">
        <v>8091</v>
      </c>
      <c r="G3684" s="648" t="s">
        <v>8092</v>
      </c>
      <c r="H3684" s="649" t="s">
        <v>7740</v>
      </c>
      <c r="I3684" s="648" t="s">
        <v>7741</v>
      </c>
      <c r="J3684" s="626" t="s">
        <v>7713</v>
      </c>
      <c r="K3684" s="642">
        <v>1</v>
      </c>
      <c r="L3684" s="640">
        <v>4</v>
      </c>
      <c r="M3684" s="717">
        <f t="shared" si="38"/>
        <v>18000</v>
      </c>
      <c r="N3684" s="654"/>
      <c r="O3684" s="653"/>
      <c r="P3684" s="643"/>
    </row>
    <row r="3685" spans="1:16" s="619" customFormat="1" ht="24" x14ac:dyDescent="0.2">
      <c r="A3685" s="625" t="s">
        <v>7690</v>
      </c>
      <c r="B3685" s="626" t="s">
        <v>1908</v>
      </c>
      <c r="C3685" s="638" t="s">
        <v>7695</v>
      </c>
      <c r="D3685" s="649" t="s">
        <v>6876</v>
      </c>
      <c r="E3685" s="715">
        <v>1500</v>
      </c>
      <c r="F3685" s="626" t="s">
        <v>8093</v>
      </c>
      <c r="G3685" s="648" t="s">
        <v>8094</v>
      </c>
      <c r="H3685" s="649" t="s">
        <v>6876</v>
      </c>
      <c r="I3685" s="648" t="s">
        <v>1919</v>
      </c>
      <c r="J3685" s="626" t="s">
        <v>7698</v>
      </c>
      <c r="K3685" s="642">
        <v>1</v>
      </c>
      <c r="L3685" s="640">
        <v>8</v>
      </c>
      <c r="M3685" s="717">
        <f t="shared" si="38"/>
        <v>12000</v>
      </c>
      <c r="N3685" s="654"/>
      <c r="O3685" s="653"/>
      <c r="P3685" s="643"/>
    </row>
    <row r="3686" spans="1:16" s="619" customFormat="1" ht="48" x14ac:dyDescent="0.2">
      <c r="A3686" s="625" t="s">
        <v>7690</v>
      </c>
      <c r="B3686" s="626" t="s">
        <v>1908</v>
      </c>
      <c r="C3686" s="638" t="s">
        <v>7691</v>
      </c>
      <c r="D3686" s="649" t="s">
        <v>8095</v>
      </c>
      <c r="E3686" s="715">
        <v>2000</v>
      </c>
      <c r="F3686" s="626" t="s">
        <v>8096</v>
      </c>
      <c r="G3686" s="648" t="s">
        <v>8097</v>
      </c>
      <c r="H3686" s="649" t="s">
        <v>7740</v>
      </c>
      <c r="I3686" s="648" t="s">
        <v>7741</v>
      </c>
      <c r="J3686" s="626" t="s">
        <v>7713</v>
      </c>
      <c r="K3686" s="642">
        <v>1</v>
      </c>
      <c r="L3686" s="640">
        <v>8</v>
      </c>
      <c r="M3686" s="717">
        <f t="shared" si="38"/>
        <v>16000</v>
      </c>
      <c r="N3686" s="654"/>
      <c r="O3686" s="653"/>
      <c r="P3686" s="643"/>
    </row>
    <row r="3687" spans="1:16" s="619" customFormat="1" ht="36" x14ac:dyDescent="0.2">
      <c r="A3687" s="625" t="s">
        <v>7690</v>
      </c>
      <c r="B3687" s="626" t="s">
        <v>1908</v>
      </c>
      <c r="C3687" s="638" t="s">
        <v>7691</v>
      </c>
      <c r="D3687" s="649" t="s">
        <v>7757</v>
      </c>
      <c r="E3687" s="715">
        <v>2300</v>
      </c>
      <c r="F3687" s="626" t="s">
        <v>8098</v>
      </c>
      <c r="G3687" s="648" t="s">
        <v>8099</v>
      </c>
      <c r="H3687" s="649" t="s">
        <v>6092</v>
      </c>
      <c r="I3687" s="648" t="s">
        <v>7894</v>
      </c>
      <c r="J3687" s="626" t="s">
        <v>7713</v>
      </c>
      <c r="K3687" s="642">
        <v>1</v>
      </c>
      <c r="L3687" s="640">
        <v>7</v>
      </c>
      <c r="M3687" s="717">
        <f t="shared" si="38"/>
        <v>16100</v>
      </c>
      <c r="N3687" s="654"/>
      <c r="O3687" s="653"/>
      <c r="P3687" s="643"/>
    </row>
    <row r="3688" spans="1:16" s="619" customFormat="1" ht="48" x14ac:dyDescent="0.2">
      <c r="A3688" s="625" t="s">
        <v>7690</v>
      </c>
      <c r="B3688" s="626" t="s">
        <v>1908</v>
      </c>
      <c r="C3688" s="638" t="s">
        <v>7691</v>
      </c>
      <c r="D3688" s="649" t="s">
        <v>3548</v>
      </c>
      <c r="E3688" s="715">
        <v>1100</v>
      </c>
      <c r="F3688" s="626" t="s">
        <v>8100</v>
      </c>
      <c r="G3688" s="648" t="s">
        <v>8101</v>
      </c>
      <c r="H3688" s="649" t="s">
        <v>3548</v>
      </c>
      <c r="I3688" s="648" t="s">
        <v>1919</v>
      </c>
      <c r="J3688" s="626" t="s">
        <v>7698</v>
      </c>
      <c r="K3688" s="642">
        <v>1</v>
      </c>
      <c r="L3688" s="640">
        <v>5</v>
      </c>
      <c r="M3688" s="717">
        <f t="shared" si="38"/>
        <v>5500</v>
      </c>
      <c r="N3688" s="654"/>
      <c r="O3688" s="653"/>
      <c r="P3688" s="643"/>
    </row>
    <row r="3689" spans="1:16" s="619" customFormat="1" ht="36" x14ac:dyDescent="0.2">
      <c r="A3689" s="625" t="s">
        <v>7690</v>
      </c>
      <c r="B3689" s="626" t="s">
        <v>1908</v>
      </c>
      <c r="C3689" s="638" t="s">
        <v>7695</v>
      </c>
      <c r="D3689" s="649" t="s">
        <v>6149</v>
      </c>
      <c r="E3689" s="715">
        <v>5000</v>
      </c>
      <c r="F3689" s="626" t="s">
        <v>8102</v>
      </c>
      <c r="G3689" s="648" t="s">
        <v>8103</v>
      </c>
      <c r="H3689" s="649" t="s">
        <v>6149</v>
      </c>
      <c r="I3689" s="648" t="s">
        <v>7835</v>
      </c>
      <c r="J3689" s="626" t="s">
        <v>7713</v>
      </c>
      <c r="K3689" s="642">
        <v>1</v>
      </c>
      <c r="L3689" s="640">
        <v>4</v>
      </c>
      <c r="M3689" s="717">
        <f t="shared" si="38"/>
        <v>20000</v>
      </c>
      <c r="N3689" s="654"/>
      <c r="O3689" s="653"/>
      <c r="P3689" s="643"/>
    </row>
    <row r="3690" spans="1:16" s="619" customFormat="1" ht="24" x14ac:dyDescent="0.2">
      <c r="A3690" s="625" t="s">
        <v>7690</v>
      </c>
      <c r="B3690" s="626" t="s">
        <v>1908</v>
      </c>
      <c r="C3690" s="638" t="s">
        <v>7691</v>
      </c>
      <c r="D3690" s="649" t="s">
        <v>2660</v>
      </c>
      <c r="E3690" s="715">
        <v>1500</v>
      </c>
      <c r="F3690" s="626" t="s">
        <v>8104</v>
      </c>
      <c r="G3690" s="648" t="s">
        <v>8105</v>
      </c>
      <c r="H3690" s="649" t="s">
        <v>2660</v>
      </c>
      <c r="I3690" s="648" t="s">
        <v>2660</v>
      </c>
      <c r="J3690" s="626" t="s">
        <v>7713</v>
      </c>
      <c r="K3690" s="642">
        <v>1</v>
      </c>
      <c r="L3690" s="640">
        <v>2</v>
      </c>
      <c r="M3690" s="717">
        <f t="shared" si="38"/>
        <v>3000</v>
      </c>
      <c r="N3690" s="654"/>
      <c r="O3690" s="653"/>
      <c r="P3690" s="643"/>
    </row>
    <row r="3691" spans="1:16" s="619" customFormat="1" ht="24" x14ac:dyDescent="0.2">
      <c r="A3691" s="625" t="s">
        <v>7690</v>
      </c>
      <c r="B3691" s="626" t="s">
        <v>1908</v>
      </c>
      <c r="C3691" s="638" t="s">
        <v>7695</v>
      </c>
      <c r="D3691" s="649" t="s">
        <v>2660</v>
      </c>
      <c r="E3691" s="715">
        <v>2000</v>
      </c>
      <c r="F3691" s="626" t="s">
        <v>8106</v>
      </c>
      <c r="G3691" s="648" t="s">
        <v>8107</v>
      </c>
      <c r="H3691" s="649" t="s">
        <v>2660</v>
      </c>
      <c r="I3691" s="648" t="s">
        <v>2660</v>
      </c>
      <c r="J3691" s="626" t="s">
        <v>7713</v>
      </c>
      <c r="K3691" s="642">
        <v>1</v>
      </c>
      <c r="L3691" s="640">
        <v>3</v>
      </c>
      <c r="M3691" s="717">
        <f t="shared" si="38"/>
        <v>6000</v>
      </c>
      <c r="N3691" s="654"/>
      <c r="O3691" s="653"/>
      <c r="P3691" s="643"/>
    </row>
    <row r="3692" spans="1:16" s="619" customFormat="1" ht="36" x14ac:dyDescent="0.2">
      <c r="A3692" s="625" t="s">
        <v>7690</v>
      </c>
      <c r="B3692" s="626" t="s">
        <v>1908</v>
      </c>
      <c r="C3692" s="638" t="s">
        <v>7691</v>
      </c>
      <c r="D3692" s="649" t="s">
        <v>1919</v>
      </c>
      <c r="E3692" s="715">
        <v>1000</v>
      </c>
      <c r="F3692" s="626" t="s">
        <v>8108</v>
      </c>
      <c r="G3692" s="648" t="s">
        <v>8109</v>
      </c>
      <c r="H3692" s="649" t="s">
        <v>6158</v>
      </c>
      <c r="I3692" s="648" t="s">
        <v>1919</v>
      </c>
      <c r="J3692" s="626" t="s">
        <v>7698</v>
      </c>
      <c r="K3692" s="642">
        <v>1</v>
      </c>
      <c r="L3692" s="640">
        <v>4</v>
      </c>
      <c r="M3692" s="717">
        <f t="shared" si="38"/>
        <v>4000</v>
      </c>
      <c r="N3692" s="654"/>
      <c r="O3692" s="653"/>
      <c r="P3692" s="643"/>
    </row>
    <row r="3693" spans="1:16" s="619" customFormat="1" ht="36" x14ac:dyDescent="0.2">
      <c r="A3693" s="625" t="s">
        <v>7690</v>
      </c>
      <c r="B3693" s="626" t="s">
        <v>1908</v>
      </c>
      <c r="C3693" s="638" t="s">
        <v>7691</v>
      </c>
      <c r="D3693" s="649" t="s">
        <v>1919</v>
      </c>
      <c r="E3693" s="715">
        <v>1000</v>
      </c>
      <c r="F3693" s="626" t="s">
        <v>8110</v>
      </c>
      <c r="G3693" s="648" t="s">
        <v>8111</v>
      </c>
      <c r="H3693" s="649" t="s">
        <v>6158</v>
      </c>
      <c r="I3693" s="648" t="s">
        <v>1919</v>
      </c>
      <c r="J3693" s="626" t="s">
        <v>7698</v>
      </c>
      <c r="K3693" s="642">
        <v>1</v>
      </c>
      <c r="L3693" s="640">
        <v>2</v>
      </c>
      <c r="M3693" s="717">
        <f t="shared" si="38"/>
        <v>2000</v>
      </c>
      <c r="N3693" s="654"/>
      <c r="O3693" s="653"/>
      <c r="P3693" s="643"/>
    </row>
    <row r="3694" spans="1:16" s="619" customFormat="1" ht="24" x14ac:dyDescent="0.2">
      <c r="A3694" s="625" t="s">
        <v>7690</v>
      </c>
      <c r="B3694" s="626" t="s">
        <v>1908</v>
      </c>
      <c r="C3694" s="638" t="s">
        <v>7691</v>
      </c>
      <c r="D3694" s="649" t="s">
        <v>1993</v>
      </c>
      <c r="E3694" s="715">
        <v>2000</v>
      </c>
      <c r="F3694" s="626" t="s">
        <v>8112</v>
      </c>
      <c r="G3694" s="648" t="s">
        <v>8113</v>
      </c>
      <c r="H3694" s="649" t="s">
        <v>6092</v>
      </c>
      <c r="I3694" s="648" t="s">
        <v>1993</v>
      </c>
      <c r="J3694" s="626" t="s">
        <v>7713</v>
      </c>
      <c r="K3694" s="642">
        <v>1</v>
      </c>
      <c r="L3694" s="640">
        <v>12</v>
      </c>
      <c r="M3694" s="717">
        <f t="shared" ref="M3694:M3757" si="39">+L3694*E3694</f>
        <v>24000</v>
      </c>
      <c r="N3694" s="654"/>
      <c r="O3694" s="653"/>
      <c r="P3694" s="643"/>
    </row>
    <row r="3695" spans="1:16" s="619" customFormat="1" ht="36" x14ac:dyDescent="0.2">
      <c r="A3695" s="625" t="s">
        <v>7690</v>
      </c>
      <c r="B3695" s="626" t="s">
        <v>1908</v>
      </c>
      <c r="C3695" s="638" t="s">
        <v>7691</v>
      </c>
      <c r="D3695" s="649" t="s">
        <v>1919</v>
      </c>
      <c r="E3695" s="715">
        <v>1000</v>
      </c>
      <c r="F3695" s="626" t="s">
        <v>8114</v>
      </c>
      <c r="G3695" s="648" t="s">
        <v>8115</v>
      </c>
      <c r="H3695" s="649" t="s">
        <v>3548</v>
      </c>
      <c r="I3695" s="648" t="s">
        <v>1919</v>
      </c>
      <c r="J3695" s="626" t="s">
        <v>7698</v>
      </c>
      <c r="K3695" s="642">
        <v>1</v>
      </c>
      <c r="L3695" s="640">
        <v>4</v>
      </c>
      <c r="M3695" s="717">
        <f t="shared" si="39"/>
        <v>4000</v>
      </c>
      <c r="N3695" s="654"/>
      <c r="O3695" s="653"/>
      <c r="P3695" s="643"/>
    </row>
    <row r="3696" spans="1:16" s="619" customFormat="1" ht="24" x14ac:dyDescent="0.2">
      <c r="A3696" s="625" t="s">
        <v>7690</v>
      </c>
      <c r="B3696" s="626" t="s">
        <v>1908</v>
      </c>
      <c r="C3696" s="638" t="s">
        <v>7691</v>
      </c>
      <c r="D3696" s="649" t="s">
        <v>3178</v>
      </c>
      <c r="E3696" s="715">
        <v>2300</v>
      </c>
      <c r="F3696" s="626" t="s">
        <v>8116</v>
      </c>
      <c r="G3696" s="648" t="s">
        <v>8117</v>
      </c>
      <c r="H3696" s="649" t="s">
        <v>6227</v>
      </c>
      <c r="I3696" s="648" t="s">
        <v>1988</v>
      </c>
      <c r="J3696" s="626" t="s">
        <v>7713</v>
      </c>
      <c r="K3696" s="642">
        <v>1</v>
      </c>
      <c r="L3696" s="640">
        <v>12</v>
      </c>
      <c r="M3696" s="717">
        <f t="shared" si="39"/>
        <v>27600</v>
      </c>
      <c r="N3696" s="654"/>
      <c r="O3696" s="653"/>
      <c r="P3696" s="643"/>
    </row>
    <row r="3697" spans="1:16" s="619" customFormat="1" ht="24" x14ac:dyDescent="0.2">
      <c r="A3697" s="625" t="s">
        <v>7690</v>
      </c>
      <c r="B3697" s="626" t="s">
        <v>1908</v>
      </c>
      <c r="C3697" s="638" t="s">
        <v>7691</v>
      </c>
      <c r="D3697" s="649" t="s">
        <v>2660</v>
      </c>
      <c r="E3697" s="715">
        <v>1200</v>
      </c>
      <c r="F3697" s="626" t="s">
        <v>8118</v>
      </c>
      <c r="G3697" s="648" t="s">
        <v>8119</v>
      </c>
      <c r="H3697" s="649" t="s">
        <v>2660</v>
      </c>
      <c r="I3697" s="648" t="s">
        <v>2660</v>
      </c>
      <c r="J3697" s="626" t="s">
        <v>7713</v>
      </c>
      <c r="K3697" s="642">
        <v>1</v>
      </c>
      <c r="L3697" s="640">
        <v>2</v>
      </c>
      <c r="M3697" s="717">
        <f t="shared" si="39"/>
        <v>2400</v>
      </c>
      <c r="N3697" s="654"/>
      <c r="O3697" s="653"/>
      <c r="P3697" s="643"/>
    </row>
    <row r="3698" spans="1:16" s="619" customFormat="1" ht="24" x14ac:dyDescent="0.2">
      <c r="A3698" s="625" t="s">
        <v>7690</v>
      </c>
      <c r="B3698" s="626" t="s">
        <v>1908</v>
      </c>
      <c r="C3698" s="638" t="s">
        <v>7691</v>
      </c>
      <c r="D3698" s="649" t="s">
        <v>2660</v>
      </c>
      <c r="E3698" s="715">
        <v>1100</v>
      </c>
      <c r="F3698" s="626" t="s">
        <v>8120</v>
      </c>
      <c r="G3698" s="648" t="s">
        <v>8121</v>
      </c>
      <c r="H3698" s="649" t="s">
        <v>2660</v>
      </c>
      <c r="I3698" s="648" t="s">
        <v>2660</v>
      </c>
      <c r="J3698" s="626" t="s">
        <v>7713</v>
      </c>
      <c r="K3698" s="642">
        <v>1</v>
      </c>
      <c r="L3698" s="640">
        <v>12</v>
      </c>
      <c r="M3698" s="717">
        <f t="shared" si="39"/>
        <v>13200</v>
      </c>
      <c r="N3698" s="654"/>
      <c r="O3698" s="653"/>
      <c r="P3698" s="643"/>
    </row>
    <row r="3699" spans="1:16" s="619" customFormat="1" ht="36" x14ac:dyDescent="0.2">
      <c r="A3699" s="625" t="s">
        <v>7690</v>
      </c>
      <c r="B3699" s="626" t="s">
        <v>1908</v>
      </c>
      <c r="C3699" s="638" t="s">
        <v>7691</v>
      </c>
      <c r="D3699" s="649" t="s">
        <v>7716</v>
      </c>
      <c r="E3699" s="715">
        <v>2500</v>
      </c>
      <c r="F3699" s="626" t="s">
        <v>8122</v>
      </c>
      <c r="G3699" s="648" t="s">
        <v>8123</v>
      </c>
      <c r="H3699" s="649" t="s">
        <v>6092</v>
      </c>
      <c r="I3699" s="648" t="s">
        <v>1993</v>
      </c>
      <c r="J3699" s="626" t="s">
        <v>7713</v>
      </c>
      <c r="K3699" s="642">
        <v>1</v>
      </c>
      <c r="L3699" s="640">
        <v>3</v>
      </c>
      <c r="M3699" s="717">
        <f t="shared" si="39"/>
        <v>7500</v>
      </c>
      <c r="N3699" s="654"/>
      <c r="O3699" s="653"/>
      <c r="P3699" s="643"/>
    </row>
    <row r="3700" spans="1:16" s="619" customFormat="1" ht="24" x14ac:dyDescent="0.2">
      <c r="A3700" s="625" t="s">
        <v>7690</v>
      </c>
      <c r="B3700" s="626" t="s">
        <v>1908</v>
      </c>
      <c r="C3700" s="638" t="s">
        <v>7691</v>
      </c>
      <c r="D3700" s="649" t="s">
        <v>3583</v>
      </c>
      <c r="E3700" s="715">
        <v>2000</v>
      </c>
      <c r="F3700" s="626" t="s">
        <v>8124</v>
      </c>
      <c r="G3700" s="648" t="s">
        <v>8125</v>
      </c>
      <c r="H3700" s="649" t="s">
        <v>1965</v>
      </c>
      <c r="I3700" s="648" t="s">
        <v>1965</v>
      </c>
      <c r="J3700" s="626" t="s">
        <v>7713</v>
      </c>
      <c r="K3700" s="642">
        <v>1</v>
      </c>
      <c r="L3700" s="640">
        <v>10</v>
      </c>
      <c r="M3700" s="717">
        <f t="shared" si="39"/>
        <v>20000</v>
      </c>
      <c r="N3700" s="654"/>
      <c r="O3700" s="653"/>
      <c r="P3700" s="643"/>
    </row>
    <row r="3701" spans="1:16" s="619" customFormat="1" ht="24" x14ac:dyDescent="0.2">
      <c r="A3701" s="625" t="s">
        <v>7690</v>
      </c>
      <c r="B3701" s="626" t="s">
        <v>1908</v>
      </c>
      <c r="C3701" s="638" t="s">
        <v>7691</v>
      </c>
      <c r="D3701" s="649" t="s">
        <v>3583</v>
      </c>
      <c r="E3701" s="715">
        <v>1500</v>
      </c>
      <c r="F3701" s="626" t="s">
        <v>8126</v>
      </c>
      <c r="G3701" s="648" t="s">
        <v>8127</v>
      </c>
      <c r="H3701" s="649" t="s">
        <v>3583</v>
      </c>
      <c r="I3701" s="648"/>
      <c r="J3701" s="626" t="s">
        <v>7713</v>
      </c>
      <c r="K3701" s="642">
        <v>1</v>
      </c>
      <c r="L3701" s="640">
        <v>2</v>
      </c>
      <c r="M3701" s="717">
        <f t="shared" si="39"/>
        <v>3000</v>
      </c>
      <c r="N3701" s="654"/>
      <c r="O3701" s="653"/>
      <c r="P3701" s="643"/>
    </row>
    <row r="3702" spans="1:16" s="619" customFormat="1" ht="36" x14ac:dyDescent="0.2">
      <c r="A3702" s="625" t="s">
        <v>7690</v>
      </c>
      <c r="B3702" s="626" t="s">
        <v>1908</v>
      </c>
      <c r="C3702" s="638" t="s">
        <v>7691</v>
      </c>
      <c r="D3702" s="649" t="s">
        <v>7804</v>
      </c>
      <c r="E3702" s="715">
        <v>1200</v>
      </c>
      <c r="F3702" s="626" t="s">
        <v>8128</v>
      </c>
      <c r="G3702" s="648" t="s">
        <v>8129</v>
      </c>
      <c r="H3702" s="649" t="s">
        <v>6114</v>
      </c>
      <c r="I3702" s="648" t="s">
        <v>6114</v>
      </c>
      <c r="J3702" s="626" t="s">
        <v>7713</v>
      </c>
      <c r="K3702" s="642">
        <v>1</v>
      </c>
      <c r="L3702" s="640">
        <v>12</v>
      </c>
      <c r="M3702" s="717">
        <f t="shared" si="39"/>
        <v>14400</v>
      </c>
      <c r="N3702" s="654"/>
      <c r="O3702" s="653"/>
      <c r="P3702" s="643"/>
    </row>
    <row r="3703" spans="1:16" s="619" customFormat="1" ht="36" x14ac:dyDescent="0.2">
      <c r="A3703" s="625" t="s">
        <v>7690</v>
      </c>
      <c r="B3703" s="626" t="s">
        <v>1908</v>
      </c>
      <c r="C3703" s="638" t="s">
        <v>7695</v>
      </c>
      <c r="D3703" s="649" t="s">
        <v>6182</v>
      </c>
      <c r="E3703" s="715">
        <v>9000</v>
      </c>
      <c r="F3703" s="626" t="s">
        <v>8130</v>
      </c>
      <c r="G3703" s="648" t="s">
        <v>8131</v>
      </c>
      <c r="H3703" s="649" t="s">
        <v>6182</v>
      </c>
      <c r="I3703" s="648" t="s">
        <v>6182</v>
      </c>
      <c r="J3703" s="626" t="s">
        <v>7713</v>
      </c>
      <c r="K3703" s="642">
        <v>1</v>
      </c>
      <c r="L3703" s="640">
        <v>4</v>
      </c>
      <c r="M3703" s="717">
        <f t="shared" si="39"/>
        <v>36000</v>
      </c>
      <c r="N3703" s="654"/>
      <c r="O3703" s="653"/>
      <c r="P3703" s="643"/>
    </row>
    <row r="3704" spans="1:16" s="619" customFormat="1" ht="24" x14ac:dyDescent="0.2">
      <c r="A3704" s="625" t="s">
        <v>7690</v>
      </c>
      <c r="B3704" s="626" t="s">
        <v>1908</v>
      </c>
      <c r="C3704" s="638" t="s">
        <v>7691</v>
      </c>
      <c r="D3704" s="649" t="s">
        <v>2660</v>
      </c>
      <c r="E3704" s="715">
        <v>1100</v>
      </c>
      <c r="F3704" s="626" t="s">
        <v>8132</v>
      </c>
      <c r="G3704" s="648" t="s">
        <v>8133</v>
      </c>
      <c r="H3704" s="649" t="s">
        <v>2660</v>
      </c>
      <c r="I3704" s="648" t="s">
        <v>2660</v>
      </c>
      <c r="J3704" s="626" t="s">
        <v>7713</v>
      </c>
      <c r="K3704" s="642">
        <v>1</v>
      </c>
      <c r="L3704" s="640">
        <v>12</v>
      </c>
      <c r="M3704" s="717">
        <f t="shared" si="39"/>
        <v>13200</v>
      </c>
      <c r="N3704" s="654"/>
      <c r="O3704" s="653"/>
      <c r="P3704" s="643"/>
    </row>
    <row r="3705" spans="1:16" s="619" customFormat="1" ht="24" x14ac:dyDescent="0.2">
      <c r="A3705" s="625" t="s">
        <v>7690</v>
      </c>
      <c r="B3705" s="626" t="s">
        <v>1908</v>
      </c>
      <c r="C3705" s="638" t="s">
        <v>7695</v>
      </c>
      <c r="D3705" s="649" t="s">
        <v>2660</v>
      </c>
      <c r="E3705" s="715">
        <v>1500</v>
      </c>
      <c r="F3705" s="626" t="s">
        <v>8134</v>
      </c>
      <c r="G3705" s="648" t="s">
        <v>8135</v>
      </c>
      <c r="H3705" s="649" t="s">
        <v>2660</v>
      </c>
      <c r="I3705" s="648" t="s">
        <v>2660</v>
      </c>
      <c r="J3705" s="626" t="s">
        <v>7713</v>
      </c>
      <c r="K3705" s="642">
        <v>1</v>
      </c>
      <c r="L3705" s="640">
        <v>2</v>
      </c>
      <c r="M3705" s="717">
        <f t="shared" si="39"/>
        <v>3000</v>
      </c>
      <c r="N3705" s="654"/>
      <c r="O3705" s="653"/>
      <c r="P3705" s="643"/>
    </row>
    <row r="3706" spans="1:16" s="619" customFormat="1" ht="36" x14ac:dyDescent="0.2">
      <c r="A3706" s="625" t="s">
        <v>7690</v>
      </c>
      <c r="B3706" s="626" t="s">
        <v>1908</v>
      </c>
      <c r="C3706" s="638" t="s">
        <v>7695</v>
      </c>
      <c r="D3706" s="649" t="s">
        <v>4544</v>
      </c>
      <c r="E3706" s="715">
        <v>5000</v>
      </c>
      <c r="F3706" s="626" t="s">
        <v>8136</v>
      </c>
      <c r="G3706" s="648" t="s">
        <v>8137</v>
      </c>
      <c r="H3706" s="649" t="s">
        <v>6149</v>
      </c>
      <c r="I3706" s="648" t="s">
        <v>7835</v>
      </c>
      <c r="J3706" s="626" t="s">
        <v>7713</v>
      </c>
      <c r="K3706" s="642">
        <v>1</v>
      </c>
      <c r="L3706" s="640">
        <v>6</v>
      </c>
      <c r="M3706" s="717">
        <f t="shared" si="39"/>
        <v>30000</v>
      </c>
      <c r="N3706" s="654"/>
      <c r="O3706" s="653"/>
      <c r="P3706" s="643"/>
    </row>
    <row r="3707" spans="1:16" s="619" customFormat="1" ht="36" x14ac:dyDescent="0.2">
      <c r="A3707" s="625" t="s">
        <v>7690</v>
      </c>
      <c r="B3707" s="626" t="s">
        <v>1908</v>
      </c>
      <c r="C3707" s="638" t="s">
        <v>7695</v>
      </c>
      <c r="D3707" s="649" t="s">
        <v>6182</v>
      </c>
      <c r="E3707" s="715">
        <v>9000</v>
      </c>
      <c r="F3707" s="626" t="s">
        <v>8138</v>
      </c>
      <c r="G3707" s="648" t="s">
        <v>8139</v>
      </c>
      <c r="H3707" s="649" t="s">
        <v>6182</v>
      </c>
      <c r="I3707" s="648" t="s">
        <v>6182</v>
      </c>
      <c r="J3707" s="626" t="s">
        <v>7713</v>
      </c>
      <c r="K3707" s="642">
        <v>1</v>
      </c>
      <c r="L3707" s="640">
        <v>4</v>
      </c>
      <c r="M3707" s="717">
        <f t="shared" si="39"/>
        <v>36000</v>
      </c>
      <c r="N3707" s="654"/>
      <c r="O3707" s="653"/>
      <c r="P3707" s="643"/>
    </row>
    <row r="3708" spans="1:16" s="619" customFormat="1" ht="48" x14ac:dyDescent="0.2">
      <c r="A3708" s="625" t="s">
        <v>7690</v>
      </c>
      <c r="B3708" s="626" t="s">
        <v>1908</v>
      </c>
      <c r="C3708" s="638" t="s">
        <v>7691</v>
      </c>
      <c r="D3708" s="649" t="s">
        <v>3569</v>
      </c>
      <c r="E3708" s="715">
        <v>1100</v>
      </c>
      <c r="F3708" s="626" t="s">
        <v>8140</v>
      </c>
      <c r="G3708" s="648" t="s">
        <v>8141</v>
      </c>
      <c r="H3708" s="649" t="s">
        <v>3569</v>
      </c>
      <c r="I3708" s="648" t="s">
        <v>3614</v>
      </c>
      <c r="J3708" s="626" t="s">
        <v>7698</v>
      </c>
      <c r="K3708" s="642">
        <v>1</v>
      </c>
      <c r="L3708" s="640">
        <v>9</v>
      </c>
      <c r="M3708" s="717">
        <f t="shared" si="39"/>
        <v>9900</v>
      </c>
      <c r="N3708" s="654"/>
      <c r="O3708" s="653"/>
      <c r="P3708" s="643"/>
    </row>
    <row r="3709" spans="1:16" s="619" customFormat="1" ht="48" x14ac:dyDescent="0.2">
      <c r="A3709" s="625" t="s">
        <v>7690</v>
      </c>
      <c r="B3709" s="626" t="s">
        <v>1908</v>
      </c>
      <c r="C3709" s="638" t="s">
        <v>7695</v>
      </c>
      <c r="D3709" s="649" t="s">
        <v>6092</v>
      </c>
      <c r="E3709" s="715">
        <v>5000</v>
      </c>
      <c r="F3709" s="626" t="s">
        <v>8142</v>
      </c>
      <c r="G3709" s="648" t="s">
        <v>8143</v>
      </c>
      <c r="H3709" s="649" t="s">
        <v>6092</v>
      </c>
      <c r="I3709" s="648" t="s">
        <v>1993</v>
      </c>
      <c r="J3709" s="626" t="s">
        <v>7713</v>
      </c>
      <c r="K3709" s="642">
        <v>1</v>
      </c>
      <c r="L3709" s="640">
        <v>4</v>
      </c>
      <c r="M3709" s="717">
        <f t="shared" si="39"/>
        <v>20000</v>
      </c>
      <c r="N3709" s="654"/>
      <c r="O3709" s="653"/>
      <c r="P3709" s="643"/>
    </row>
    <row r="3710" spans="1:16" s="619" customFormat="1" ht="48" x14ac:dyDescent="0.2">
      <c r="A3710" s="625" t="s">
        <v>7690</v>
      </c>
      <c r="B3710" s="626" t="s">
        <v>1908</v>
      </c>
      <c r="C3710" s="638" t="s">
        <v>7691</v>
      </c>
      <c r="D3710" s="649" t="s">
        <v>7745</v>
      </c>
      <c r="E3710" s="715">
        <v>2000</v>
      </c>
      <c r="F3710" s="626" t="s">
        <v>8144</v>
      </c>
      <c r="G3710" s="648" t="s">
        <v>8145</v>
      </c>
      <c r="H3710" s="649" t="s">
        <v>7745</v>
      </c>
      <c r="I3710" s="648" t="s">
        <v>6101</v>
      </c>
      <c r="J3710" s="626" t="s">
        <v>7713</v>
      </c>
      <c r="K3710" s="642">
        <v>1</v>
      </c>
      <c r="L3710" s="640">
        <v>2</v>
      </c>
      <c r="M3710" s="717">
        <f t="shared" si="39"/>
        <v>4000</v>
      </c>
      <c r="N3710" s="654"/>
      <c r="O3710" s="653"/>
      <c r="P3710" s="643"/>
    </row>
    <row r="3711" spans="1:16" s="619" customFormat="1" ht="36" x14ac:dyDescent="0.2">
      <c r="A3711" s="625" t="s">
        <v>7690</v>
      </c>
      <c r="B3711" s="626" t="s">
        <v>1908</v>
      </c>
      <c r="C3711" s="638" t="s">
        <v>7691</v>
      </c>
      <c r="D3711" s="626" t="s">
        <v>7752</v>
      </c>
      <c r="E3711" s="715">
        <v>1000</v>
      </c>
      <c r="F3711" s="626" t="s">
        <v>8146</v>
      </c>
      <c r="G3711" s="648" t="s">
        <v>8147</v>
      </c>
      <c r="H3711" s="649" t="s">
        <v>6158</v>
      </c>
      <c r="I3711" s="648" t="s">
        <v>1919</v>
      </c>
      <c r="J3711" s="626" t="s">
        <v>7698</v>
      </c>
      <c r="K3711" s="642">
        <v>1</v>
      </c>
      <c r="L3711" s="640">
        <v>4</v>
      </c>
      <c r="M3711" s="717">
        <f t="shared" si="39"/>
        <v>4000</v>
      </c>
      <c r="N3711" s="654"/>
      <c r="O3711" s="653"/>
      <c r="P3711" s="643"/>
    </row>
    <row r="3712" spans="1:16" s="619" customFormat="1" ht="36" x14ac:dyDescent="0.2">
      <c r="A3712" s="625" t="s">
        <v>7690</v>
      </c>
      <c r="B3712" s="626" t="s">
        <v>1908</v>
      </c>
      <c r="C3712" s="638" t="s">
        <v>7691</v>
      </c>
      <c r="D3712" s="626" t="s">
        <v>7866</v>
      </c>
      <c r="E3712" s="715">
        <v>1200</v>
      </c>
      <c r="F3712" s="626" t="s">
        <v>8148</v>
      </c>
      <c r="G3712" s="648" t="s">
        <v>8149</v>
      </c>
      <c r="H3712" s="649" t="s">
        <v>6114</v>
      </c>
      <c r="I3712" s="648" t="s">
        <v>6114</v>
      </c>
      <c r="J3712" s="626" t="s">
        <v>7713</v>
      </c>
      <c r="K3712" s="642">
        <v>1</v>
      </c>
      <c r="L3712" s="640">
        <v>12</v>
      </c>
      <c r="M3712" s="717">
        <f t="shared" si="39"/>
        <v>14400</v>
      </c>
      <c r="N3712" s="654"/>
      <c r="O3712" s="653"/>
      <c r="P3712" s="643"/>
    </row>
    <row r="3713" spans="1:16" s="619" customFormat="1" ht="36" x14ac:dyDescent="0.2">
      <c r="A3713" s="625" t="s">
        <v>7690</v>
      </c>
      <c r="B3713" s="626" t="s">
        <v>1908</v>
      </c>
      <c r="C3713" s="638" t="s">
        <v>7695</v>
      </c>
      <c r="D3713" s="626" t="s">
        <v>6179</v>
      </c>
      <c r="E3713" s="715">
        <v>8000</v>
      </c>
      <c r="F3713" s="626" t="s">
        <v>8150</v>
      </c>
      <c r="G3713" s="648" t="s">
        <v>8151</v>
      </c>
      <c r="H3713" s="649" t="s">
        <v>6182</v>
      </c>
      <c r="I3713" s="648" t="s">
        <v>6182</v>
      </c>
      <c r="J3713" s="626" t="s">
        <v>3768</v>
      </c>
      <c r="K3713" s="642">
        <v>1</v>
      </c>
      <c r="L3713" s="640">
        <v>4</v>
      </c>
      <c r="M3713" s="717">
        <f t="shared" si="39"/>
        <v>32000</v>
      </c>
      <c r="N3713" s="654"/>
      <c r="O3713" s="653"/>
      <c r="P3713" s="643"/>
    </row>
    <row r="3714" spans="1:16" s="619" customFormat="1" ht="36" x14ac:dyDescent="0.2">
      <c r="A3714" s="625" t="s">
        <v>7690</v>
      </c>
      <c r="B3714" s="626" t="s">
        <v>1908</v>
      </c>
      <c r="C3714" s="638" t="s">
        <v>7691</v>
      </c>
      <c r="D3714" s="626" t="s">
        <v>7624</v>
      </c>
      <c r="E3714" s="715">
        <v>1200</v>
      </c>
      <c r="F3714" s="626" t="s">
        <v>8152</v>
      </c>
      <c r="G3714" s="648" t="s">
        <v>8153</v>
      </c>
      <c r="H3714" s="649" t="s">
        <v>6114</v>
      </c>
      <c r="I3714" s="648" t="s">
        <v>6114</v>
      </c>
      <c r="J3714" s="626" t="s">
        <v>7713</v>
      </c>
      <c r="K3714" s="642">
        <v>1</v>
      </c>
      <c r="L3714" s="640">
        <v>12</v>
      </c>
      <c r="M3714" s="717">
        <f t="shared" si="39"/>
        <v>14400</v>
      </c>
      <c r="N3714" s="654"/>
      <c r="O3714" s="653"/>
      <c r="P3714" s="643"/>
    </row>
    <row r="3715" spans="1:16" s="619" customFormat="1" ht="36" x14ac:dyDescent="0.2">
      <c r="A3715" s="625" t="s">
        <v>7690</v>
      </c>
      <c r="B3715" s="626" t="s">
        <v>1908</v>
      </c>
      <c r="C3715" s="638" t="s">
        <v>7691</v>
      </c>
      <c r="D3715" s="626" t="s">
        <v>6179</v>
      </c>
      <c r="E3715" s="715">
        <v>5000</v>
      </c>
      <c r="F3715" s="626" t="s">
        <v>8154</v>
      </c>
      <c r="G3715" s="648" t="s">
        <v>8155</v>
      </c>
      <c r="H3715" s="649" t="s">
        <v>6179</v>
      </c>
      <c r="I3715" s="648" t="s">
        <v>6182</v>
      </c>
      <c r="J3715" s="626" t="s">
        <v>7713</v>
      </c>
      <c r="K3715" s="642">
        <v>1</v>
      </c>
      <c r="L3715" s="640">
        <v>8</v>
      </c>
      <c r="M3715" s="717">
        <f t="shared" si="39"/>
        <v>40000</v>
      </c>
      <c r="N3715" s="654"/>
      <c r="O3715" s="653"/>
      <c r="P3715" s="643"/>
    </row>
    <row r="3716" spans="1:16" s="619" customFormat="1" ht="24" x14ac:dyDescent="0.2">
      <c r="A3716" s="625" t="s">
        <v>7690</v>
      </c>
      <c r="B3716" s="626" t="s">
        <v>1908</v>
      </c>
      <c r="C3716" s="638" t="s">
        <v>7691</v>
      </c>
      <c r="D3716" s="649" t="s">
        <v>6876</v>
      </c>
      <c r="E3716" s="715">
        <v>1500</v>
      </c>
      <c r="F3716" s="626" t="s">
        <v>8156</v>
      </c>
      <c r="G3716" s="648" t="s">
        <v>8157</v>
      </c>
      <c r="H3716" s="649" t="s">
        <v>6876</v>
      </c>
      <c r="I3716" s="648" t="s">
        <v>1919</v>
      </c>
      <c r="J3716" s="626" t="s">
        <v>7698</v>
      </c>
      <c r="K3716" s="642">
        <v>1</v>
      </c>
      <c r="L3716" s="640">
        <v>6</v>
      </c>
      <c r="M3716" s="717">
        <f t="shared" si="39"/>
        <v>9000</v>
      </c>
      <c r="N3716" s="654"/>
      <c r="O3716" s="653"/>
      <c r="P3716" s="643"/>
    </row>
    <row r="3717" spans="1:16" s="619" customFormat="1" ht="24" x14ac:dyDescent="0.2">
      <c r="A3717" s="625" t="s">
        <v>7690</v>
      </c>
      <c r="B3717" s="626" t="s">
        <v>1908</v>
      </c>
      <c r="C3717" s="638" t="s">
        <v>7691</v>
      </c>
      <c r="D3717" s="626" t="s">
        <v>7818</v>
      </c>
      <c r="E3717" s="715">
        <v>1100</v>
      </c>
      <c r="F3717" s="626" t="s">
        <v>8158</v>
      </c>
      <c r="G3717" s="648" t="s">
        <v>8159</v>
      </c>
      <c r="H3717" s="649" t="s">
        <v>6158</v>
      </c>
      <c r="I3717" s="648" t="s">
        <v>1919</v>
      </c>
      <c r="J3717" s="626" t="s">
        <v>7698</v>
      </c>
      <c r="K3717" s="642">
        <v>1</v>
      </c>
      <c r="L3717" s="640">
        <v>9</v>
      </c>
      <c r="M3717" s="717">
        <f t="shared" si="39"/>
        <v>9900</v>
      </c>
      <c r="N3717" s="654"/>
      <c r="O3717" s="653"/>
      <c r="P3717" s="643"/>
    </row>
    <row r="3718" spans="1:16" s="619" customFormat="1" ht="36" x14ac:dyDescent="0.2">
      <c r="A3718" s="625" t="s">
        <v>7690</v>
      </c>
      <c r="B3718" s="626" t="s">
        <v>1908</v>
      </c>
      <c r="C3718" s="638" t="s">
        <v>7695</v>
      </c>
      <c r="D3718" s="626" t="s">
        <v>1996</v>
      </c>
      <c r="E3718" s="715">
        <v>1500</v>
      </c>
      <c r="F3718" s="626" t="s">
        <v>8160</v>
      </c>
      <c r="G3718" s="648" t="s">
        <v>8161</v>
      </c>
      <c r="H3718" s="649" t="s">
        <v>6876</v>
      </c>
      <c r="I3718" s="648" t="s">
        <v>1919</v>
      </c>
      <c r="J3718" s="626" t="s">
        <v>7698</v>
      </c>
      <c r="K3718" s="642">
        <v>1</v>
      </c>
      <c r="L3718" s="640">
        <v>12</v>
      </c>
      <c r="M3718" s="717">
        <f t="shared" si="39"/>
        <v>18000</v>
      </c>
      <c r="N3718" s="654"/>
      <c r="O3718" s="653"/>
      <c r="P3718" s="643"/>
    </row>
    <row r="3719" spans="1:16" s="619" customFormat="1" ht="36" x14ac:dyDescent="0.2">
      <c r="A3719" s="625" t="s">
        <v>7690</v>
      </c>
      <c r="B3719" s="626" t="s">
        <v>1908</v>
      </c>
      <c r="C3719" s="638" t="s">
        <v>7691</v>
      </c>
      <c r="D3719" s="626" t="s">
        <v>7716</v>
      </c>
      <c r="E3719" s="715">
        <v>3612.9</v>
      </c>
      <c r="F3719" s="626" t="s">
        <v>8162</v>
      </c>
      <c r="G3719" s="648" t="s">
        <v>8163</v>
      </c>
      <c r="H3719" s="649" t="s">
        <v>6092</v>
      </c>
      <c r="I3719" s="648" t="s">
        <v>1993</v>
      </c>
      <c r="J3719" s="626" t="s">
        <v>7713</v>
      </c>
      <c r="K3719" s="642">
        <v>1</v>
      </c>
      <c r="L3719" s="640">
        <v>1</v>
      </c>
      <c r="M3719" s="717">
        <f t="shared" si="39"/>
        <v>3612.9</v>
      </c>
      <c r="N3719" s="654"/>
      <c r="O3719" s="653"/>
      <c r="P3719" s="643"/>
    </row>
    <row r="3720" spans="1:16" s="619" customFormat="1" ht="36" x14ac:dyDescent="0.2">
      <c r="A3720" s="625" t="s">
        <v>7690</v>
      </c>
      <c r="B3720" s="626" t="s">
        <v>1908</v>
      </c>
      <c r="C3720" s="638" t="s">
        <v>7691</v>
      </c>
      <c r="D3720" s="626" t="s">
        <v>7624</v>
      </c>
      <c r="E3720" s="715">
        <v>1200</v>
      </c>
      <c r="F3720" s="626" t="s">
        <v>8164</v>
      </c>
      <c r="G3720" s="648" t="s">
        <v>8165</v>
      </c>
      <c r="H3720" s="649" t="s">
        <v>6114</v>
      </c>
      <c r="I3720" s="648" t="s">
        <v>6114</v>
      </c>
      <c r="J3720" s="626" t="s">
        <v>7713</v>
      </c>
      <c r="K3720" s="642">
        <v>1</v>
      </c>
      <c r="L3720" s="640">
        <v>12</v>
      </c>
      <c r="M3720" s="717">
        <f t="shared" si="39"/>
        <v>14400</v>
      </c>
      <c r="N3720" s="654"/>
      <c r="O3720" s="653"/>
      <c r="P3720" s="643"/>
    </row>
    <row r="3721" spans="1:16" s="619" customFormat="1" ht="36" x14ac:dyDescent="0.2">
      <c r="A3721" s="625" t="s">
        <v>7690</v>
      </c>
      <c r="B3721" s="626" t="s">
        <v>1908</v>
      </c>
      <c r="C3721" s="638" t="s">
        <v>7691</v>
      </c>
      <c r="D3721" s="626" t="s">
        <v>7866</v>
      </c>
      <c r="E3721" s="715">
        <v>1200</v>
      </c>
      <c r="F3721" s="626" t="s">
        <v>8166</v>
      </c>
      <c r="G3721" s="648" t="s">
        <v>8167</v>
      </c>
      <c r="H3721" s="649" t="s">
        <v>6114</v>
      </c>
      <c r="I3721" s="648" t="s">
        <v>6114</v>
      </c>
      <c r="J3721" s="626" t="s">
        <v>7713</v>
      </c>
      <c r="K3721" s="642">
        <v>1</v>
      </c>
      <c r="L3721" s="640">
        <v>5</v>
      </c>
      <c r="M3721" s="717">
        <f t="shared" si="39"/>
        <v>6000</v>
      </c>
      <c r="N3721" s="654"/>
      <c r="O3721" s="653"/>
      <c r="P3721" s="643"/>
    </row>
    <row r="3722" spans="1:16" s="619" customFormat="1" ht="36" x14ac:dyDescent="0.2">
      <c r="A3722" s="625" t="s">
        <v>7690</v>
      </c>
      <c r="B3722" s="626" t="s">
        <v>1908</v>
      </c>
      <c r="C3722" s="638" t="s">
        <v>7695</v>
      </c>
      <c r="D3722" s="626" t="s">
        <v>8168</v>
      </c>
      <c r="E3722" s="715">
        <v>1500</v>
      </c>
      <c r="F3722" s="626" t="s">
        <v>8169</v>
      </c>
      <c r="G3722" s="648" t="s">
        <v>8170</v>
      </c>
      <c r="H3722" s="649" t="s">
        <v>8013</v>
      </c>
      <c r="I3722" s="648" t="s">
        <v>8171</v>
      </c>
      <c r="J3722" s="626" t="s">
        <v>7713</v>
      </c>
      <c r="K3722" s="642">
        <v>1</v>
      </c>
      <c r="L3722" s="640">
        <v>6</v>
      </c>
      <c r="M3722" s="717">
        <f t="shared" si="39"/>
        <v>9000</v>
      </c>
      <c r="N3722" s="654"/>
      <c r="O3722" s="653"/>
      <c r="P3722" s="643"/>
    </row>
    <row r="3723" spans="1:16" s="619" customFormat="1" ht="36" x14ac:dyDescent="0.2">
      <c r="A3723" s="625" t="s">
        <v>7690</v>
      </c>
      <c r="B3723" s="626" t="s">
        <v>1908</v>
      </c>
      <c r="C3723" s="638" t="s">
        <v>7695</v>
      </c>
      <c r="D3723" s="626" t="s">
        <v>7757</v>
      </c>
      <c r="E3723" s="715">
        <v>5000</v>
      </c>
      <c r="F3723" s="626" t="s">
        <v>8172</v>
      </c>
      <c r="G3723" s="648" t="s">
        <v>8173</v>
      </c>
      <c r="H3723" s="649" t="s">
        <v>6092</v>
      </c>
      <c r="I3723" s="648" t="s">
        <v>1993</v>
      </c>
      <c r="J3723" s="626" t="s">
        <v>7713</v>
      </c>
      <c r="K3723" s="642">
        <v>1</v>
      </c>
      <c r="L3723" s="640">
        <v>7</v>
      </c>
      <c r="M3723" s="717">
        <f t="shared" si="39"/>
        <v>35000</v>
      </c>
      <c r="N3723" s="654"/>
      <c r="O3723" s="653"/>
      <c r="P3723" s="643"/>
    </row>
    <row r="3724" spans="1:16" s="619" customFormat="1" ht="24" x14ac:dyDescent="0.2">
      <c r="A3724" s="625" t="s">
        <v>7690</v>
      </c>
      <c r="B3724" s="626" t="s">
        <v>1908</v>
      </c>
      <c r="C3724" s="638" t="s">
        <v>7691</v>
      </c>
      <c r="D3724" s="626" t="s">
        <v>7716</v>
      </c>
      <c r="E3724" s="715">
        <v>4500</v>
      </c>
      <c r="F3724" s="626" t="s">
        <v>8174</v>
      </c>
      <c r="G3724" s="648" t="s">
        <v>8175</v>
      </c>
      <c r="H3724" s="649" t="s">
        <v>6092</v>
      </c>
      <c r="I3724" s="648" t="s">
        <v>1993</v>
      </c>
      <c r="J3724" s="626" t="s">
        <v>7713</v>
      </c>
      <c r="K3724" s="642">
        <v>1</v>
      </c>
      <c r="L3724" s="640">
        <v>12</v>
      </c>
      <c r="M3724" s="717">
        <f t="shared" si="39"/>
        <v>54000</v>
      </c>
      <c r="N3724" s="654"/>
      <c r="O3724" s="653"/>
      <c r="P3724" s="643"/>
    </row>
    <row r="3725" spans="1:16" s="619" customFormat="1" ht="48" x14ac:dyDescent="0.2">
      <c r="A3725" s="625" t="s">
        <v>7690</v>
      </c>
      <c r="B3725" s="626" t="s">
        <v>1908</v>
      </c>
      <c r="C3725" s="638" t="s">
        <v>7691</v>
      </c>
      <c r="D3725" s="626" t="s">
        <v>7818</v>
      </c>
      <c r="E3725" s="715">
        <v>1000</v>
      </c>
      <c r="F3725" s="626" t="s">
        <v>8176</v>
      </c>
      <c r="G3725" s="648" t="s">
        <v>8177</v>
      </c>
      <c r="H3725" s="649" t="s">
        <v>6158</v>
      </c>
      <c r="I3725" s="648" t="s">
        <v>1919</v>
      </c>
      <c r="J3725" s="626" t="s">
        <v>7698</v>
      </c>
      <c r="K3725" s="642">
        <v>1</v>
      </c>
      <c r="L3725" s="640">
        <v>4</v>
      </c>
      <c r="M3725" s="717">
        <f t="shared" si="39"/>
        <v>4000</v>
      </c>
      <c r="N3725" s="654"/>
      <c r="O3725" s="653"/>
      <c r="P3725" s="643"/>
    </row>
    <row r="3726" spans="1:16" s="619" customFormat="1" ht="24" x14ac:dyDescent="0.2">
      <c r="A3726" s="625" t="s">
        <v>7690</v>
      </c>
      <c r="B3726" s="626" t="s">
        <v>1908</v>
      </c>
      <c r="C3726" s="638" t="s">
        <v>7695</v>
      </c>
      <c r="D3726" s="626" t="s">
        <v>7716</v>
      </c>
      <c r="E3726" s="715">
        <v>6000</v>
      </c>
      <c r="F3726" s="626" t="s">
        <v>8178</v>
      </c>
      <c r="G3726" s="648" t="s">
        <v>8179</v>
      </c>
      <c r="H3726" s="649" t="s">
        <v>6092</v>
      </c>
      <c r="I3726" s="648" t="s">
        <v>1993</v>
      </c>
      <c r="J3726" s="626" t="s">
        <v>7713</v>
      </c>
      <c r="K3726" s="642">
        <v>1</v>
      </c>
      <c r="L3726" s="640">
        <v>8</v>
      </c>
      <c r="M3726" s="717">
        <f t="shared" si="39"/>
        <v>48000</v>
      </c>
      <c r="N3726" s="654"/>
      <c r="O3726" s="653"/>
      <c r="P3726" s="643"/>
    </row>
    <row r="3727" spans="1:16" s="619" customFormat="1" ht="36" x14ac:dyDescent="0.2">
      <c r="A3727" s="625" t="s">
        <v>7690</v>
      </c>
      <c r="B3727" s="626" t="s">
        <v>1908</v>
      </c>
      <c r="C3727" s="638" t="s">
        <v>7695</v>
      </c>
      <c r="D3727" s="649" t="s">
        <v>7626</v>
      </c>
      <c r="E3727" s="715">
        <v>1500</v>
      </c>
      <c r="F3727" s="626" t="s">
        <v>8180</v>
      </c>
      <c r="G3727" s="648" t="s">
        <v>8181</v>
      </c>
      <c r="H3727" s="649" t="s">
        <v>7626</v>
      </c>
      <c r="I3727" s="648" t="s">
        <v>7626</v>
      </c>
      <c r="J3727" s="626" t="s">
        <v>7713</v>
      </c>
      <c r="K3727" s="642">
        <v>1</v>
      </c>
      <c r="L3727" s="640">
        <v>4</v>
      </c>
      <c r="M3727" s="717">
        <f t="shared" si="39"/>
        <v>6000</v>
      </c>
      <c r="N3727" s="654"/>
      <c r="O3727" s="653"/>
      <c r="P3727" s="643"/>
    </row>
    <row r="3728" spans="1:16" s="619" customFormat="1" ht="36" x14ac:dyDescent="0.2">
      <c r="A3728" s="625" t="s">
        <v>7690</v>
      </c>
      <c r="B3728" s="626" t="s">
        <v>1908</v>
      </c>
      <c r="C3728" s="638" t="s">
        <v>7695</v>
      </c>
      <c r="D3728" s="626" t="s">
        <v>7716</v>
      </c>
      <c r="E3728" s="715">
        <v>8000</v>
      </c>
      <c r="F3728" s="626" t="s">
        <v>8182</v>
      </c>
      <c r="G3728" s="648" t="s">
        <v>8183</v>
      </c>
      <c r="H3728" s="649" t="s">
        <v>6092</v>
      </c>
      <c r="I3728" s="648" t="s">
        <v>1993</v>
      </c>
      <c r="J3728" s="626" t="s">
        <v>7713</v>
      </c>
      <c r="K3728" s="642">
        <v>1</v>
      </c>
      <c r="L3728" s="640">
        <v>3</v>
      </c>
      <c r="M3728" s="717">
        <f t="shared" si="39"/>
        <v>24000</v>
      </c>
      <c r="N3728" s="654"/>
      <c r="O3728" s="653"/>
      <c r="P3728" s="643"/>
    </row>
    <row r="3729" spans="1:16" s="619" customFormat="1" ht="24" x14ac:dyDescent="0.2">
      <c r="A3729" s="625" t="s">
        <v>7690</v>
      </c>
      <c r="B3729" s="626" t="s">
        <v>1908</v>
      </c>
      <c r="C3729" s="638" t="s">
        <v>7691</v>
      </c>
      <c r="D3729" s="649" t="s">
        <v>2660</v>
      </c>
      <c r="E3729" s="715">
        <v>1200</v>
      </c>
      <c r="F3729" s="626" t="s">
        <v>8184</v>
      </c>
      <c r="G3729" s="648" t="s">
        <v>8185</v>
      </c>
      <c r="H3729" s="649" t="s">
        <v>2660</v>
      </c>
      <c r="I3729" s="648" t="s">
        <v>2660</v>
      </c>
      <c r="J3729" s="626" t="s">
        <v>7713</v>
      </c>
      <c r="K3729" s="642">
        <v>1</v>
      </c>
      <c r="L3729" s="640">
        <v>12</v>
      </c>
      <c r="M3729" s="717">
        <f t="shared" si="39"/>
        <v>14400</v>
      </c>
      <c r="N3729" s="654"/>
      <c r="O3729" s="653"/>
      <c r="P3729" s="643"/>
    </row>
    <row r="3730" spans="1:16" s="619" customFormat="1" ht="36" x14ac:dyDescent="0.2">
      <c r="A3730" s="625" t="s">
        <v>7690</v>
      </c>
      <c r="B3730" s="626" t="s">
        <v>1908</v>
      </c>
      <c r="C3730" s="638" t="s">
        <v>7691</v>
      </c>
      <c r="D3730" s="626" t="s">
        <v>7624</v>
      </c>
      <c r="E3730" s="715">
        <v>1200</v>
      </c>
      <c r="F3730" s="626" t="s">
        <v>8186</v>
      </c>
      <c r="G3730" s="648" t="s">
        <v>8187</v>
      </c>
      <c r="H3730" s="649" t="s">
        <v>6114</v>
      </c>
      <c r="I3730" s="648" t="s">
        <v>6114</v>
      </c>
      <c r="J3730" s="626" t="s">
        <v>7713</v>
      </c>
      <c r="K3730" s="642">
        <v>1</v>
      </c>
      <c r="L3730" s="640">
        <v>12</v>
      </c>
      <c r="M3730" s="717">
        <f t="shared" si="39"/>
        <v>14400</v>
      </c>
      <c r="N3730" s="654"/>
      <c r="O3730" s="653"/>
      <c r="P3730" s="643"/>
    </row>
    <row r="3731" spans="1:16" s="619" customFormat="1" ht="24" x14ac:dyDescent="0.2">
      <c r="A3731" s="625" t="s">
        <v>7690</v>
      </c>
      <c r="B3731" s="626" t="s">
        <v>1908</v>
      </c>
      <c r="C3731" s="638" t="s">
        <v>7695</v>
      </c>
      <c r="D3731" s="649" t="s">
        <v>2660</v>
      </c>
      <c r="E3731" s="715">
        <v>1500</v>
      </c>
      <c r="F3731" s="626" t="s">
        <v>8188</v>
      </c>
      <c r="G3731" s="648" t="s">
        <v>8189</v>
      </c>
      <c r="H3731" s="649" t="s">
        <v>2660</v>
      </c>
      <c r="I3731" s="648" t="s">
        <v>2660</v>
      </c>
      <c r="J3731" s="626" t="s">
        <v>7713</v>
      </c>
      <c r="K3731" s="642">
        <v>1</v>
      </c>
      <c r="L3731" s="640">
        <v>4</v>
      </c>
      <c r="M3731" s="717">
        <f t="shared" si="39"/>
        <v>6000</v>
      </c>
      <c r="N3731" s="654"/>
      <c r="O3731" s="653"/>
      <c r="P3731" s="643"/>
    </row>
    <row r="3732" spans="1:16" s="619" customFormat="1" ht="36" x14ac:dyDescent="0.2">
      <c r="A3732" s="625" t="s">
        <v>7690</v>
      </c>
      <c r="B3732" s="626" t="s">
        <v>1908</v>
      </c>
      <c r="C3732" s="638" t="s">
        <v>7695</v>
      </c>
      <c r="D3732" s="649" t="s">
        <v>6876</v>
      </c>
      <c r="E3732" s="715">
        <v>1500</v>
      </c>
      <c r="F3732" s="626" t="s">
        <v>8190</v>
      </c>
      <c r="G3732" s="648" t="s">
        <v>8191</v>
      </c>
      <c r="H3732" s="649" t="s">
        <v>6876</v>
      </c>
      <c r="I3732" s="648" t="s">
        <v>1919</v>
      </c>
      <c r="J3732" s="626" t="s">
        <v>7698</v>
      </c>
      <c r="K3732" s="642">
        <v>1</v>
      </c>
      <c r="L3732" s="640">
        <v>12</v>
      </c>
      <c r="M3732" s="717">
        <f t="shared" si="39"/>
        <v>18000</v>
      </c>
      <c r="N3732" s="654"/>
      <c r="O3732" s="653"/>
      <c r="P3732" s="643"/>
    </row>
    <row r="3733" spans="1:16" s="619" customFormat="1" ht="24" x14ac:dyDescent="0.2">
      <c r="A3733" s="625" t="s">
        <v>7690</v>
      </c>
      <c r="B3733" s="626" t="s">
        <v>1908</v>
      </c>
      <c r="C3733" s="638" t="s">
        <v>7691</v>
      </c>
      <c r="D3733" s="649" t="s">
        <v>3548</v>
      </c>
      <c r="E3733" s="715">
        <v>1000</v>
      </c>
      <c r="F3733" s="626" t="s">
        <v>8192</v>
      </c>
      <c r="G3733" s="648" t="s">
        <v>8193</v>
      </c>
      <c r="H3733" s="649" t="s">
        <v>3548</v>
      </c>
      <c r="I3733" s="648" t="s">
        <v>1919</v>
      </c>
      <c r="J3733" s="626" t="s">
        <v>7698</v>
      </c>
      <c r="K3733" s="642">
        <v>1</v>
      </c>
      <c r="L3733" s="640">
        <v>4</v>
      </c>
      <c r="M3733" s="717">
        <f t="shared" si="39"/>
        <v>4000</v>
      </c>
      <c r="N3733" s="654"/>
      <c r="O3733" s="653"/>
      <c r="P3733" s="643"/>
    </row>
    <row r="3734" spans="1:16" s="619" customFormat="1" ht="36" x14ac:dyDescent="0.2">
      <c r="A3734" s="625" t="s">
        <v>7690</v>
      </c>
      <c r="B3734" s="626" t="s">
        <v>1908</v>
      </c>
      <c r="C3734" s="638" t="s">
        <v>7695</v>
      </c>
      <c r="D3734" s="649" t="s">
        <v>7716</v>
      </c>
      <c r="E3734" s="715">
        <v>4200</v>
      </c>
      <c r="F3734" s="626" t="s">
        <v>8194</v>
      </c>
      <c r="G3734" s="648" t="s">
        <v>8195</v>
      </c>
      <c r="H3734" s="649" t="s">
        <v>6092</v>
      </c>
      <c r="I3734" s="648" t="s">
        <v>1993</v>
      </c>
      <c r="J3734" s="626" t="s">
        <v>7713</v>
      </c>
      <c r="K3734" s="642">
        <v>1</v>
      </c>
      <c r="L3734" s="640">
        <v>3</v>
      </c>
      <c r="M3734" s="717">
        <f t="shared" si="39"/>
        <v>12600</v>
      </c>
      <c r="N3734" s="654"/>
      <c r="O3734" s="653"/>
      <c r="P3734" s="643"/>
    </row>
    <row r="3735" spans="1:16" s="619" customFormat="1" ht="36" x14ac:dyDescent="0.2">
      <c r="A3735" s="625" t="s">
        <v>7690</v>
      </c>
      <c r="B3735" s="626" t="s">
        <v>1908</v>
      </c>
      <c r="C3735" s="638" t="s">
        <v>7691</v>
      </c>
      <c r="D3735" s="649" t="s">
        <v>6198</v>
      </c>
      <c r="E3735" s="715">
        <v>5500</v>
      </c>
      <c r="F3735" s="626" t="s">
        <v>8196</v>
      </c>
      <c r="G3735" s="648" t="s">
        <v>8197</v>
      </c>
      <c r="H3735" s="649" t="s">
        <v>7740</v>
      </c>
      <c r="I3735" s="648" t="s">
        <v>7741</v>
      </c>
      <c r="J3735" s="626" t="s">
        <v>7713</v>
      </c>
      <c r="K3735" s="642">
        <v>1</v>
      </c>
      <c r="L3735" s="640">
        <v>9</v>
      </c>
      <c r="M3735" s="717">
        <f t="shared" si="39"/>
        <v>49500</v>
      </c>
      <c r="N3735" s="654"/>
      <c r="O3735" s="653"/>
      <c r="P3735" s="643"/>
    </row>
    <row r="3736" spans="1:16" s="619" customFormat="1" ht="24" x14ac:dyDescent="0.2">
      <c r="A3736" s="625" t="s">
        <v>7690</v>
      </c>
      <c r="B3736" s="626" t="s">
        <v>1908</v>
      </c>
      <c r="C3736" s="638" t="s">
        <v>7691</v>
      </c>
      <c r="D3736" s="649" t="s">
        <v>2660</v>
      </c>
      <c r="E3736" s="715">
        <v>1100</v>
      </c>
      <c r="F3736" s="626" t="s">
        <v>8198</v>
      </c>
      <c r="G3736" s="648" t="s">
        <v>8199</v>
      </c>
      <c r="H3736" s="649" t="s">
        <v>2660</v>
      </c>
      <c r="I3736" s="648" t="s">
        <v>2660</v>
      </c>
      <c r="J3736" s="626" t="s">
        <v>7713</v>
      </c>
      <c r="K3736" s="642">
        <v>1</v>
      </c>
      <c r="L3736" s="640">
        <v>7</v>
      </c>
      <c r="M3736" s="717">
        <f t="shared" si="39"/>
        <v>7700</v>
      </c>
      <c r="N3736" s="654"/>
      <c r="O3736" s="653"/>
      <c r="P3736" s="643"/>
    </row>
    <row r="3737" spans="1:16" s="619" customFormat="1" ht="48" x14ac:dyDescent="0.2">
      <c r="A3737" s="625" t="s">
        <v>7690</v>
      </c>
      <c r="B3737" s="626" t="s">
        <v>1908</v>
      </c>
      <c r="C3737" s="638" t="s">
        <v>7695</v>
      </c>
      <c r="D3737" s="649" t="s">
        <v>6179</v>
      </c>
      <c r="E3737" s="715">
        <v>8000</v>
      </c>
      <c r="F3737" s="626" t="s">
        <v>8200</v>
      </c>
      <c r="G3737" s="648" t="s">
        <v>8201</v>
      </c>
      <c r="H3737" s="649" t="s">
        <v>6179</v>
      </c>
      <c r="I3737" s="648" t="s">
        <v>6182</v>
      </c>
      <c r="J3737" s="626" t="s">
        <v>7713</v>
      </c>
      <c r="K3737" s="642">
        <v>1</v>
      </c>
      <c r="L3737" s="640">
        <v>5</v>
      </c>
      <c r="M3737" s="717">
        <f t="shared" si="39"/>
        <v>40000</v>
      </c>
      <c r="N3737" s="654"/>
      <c r="O3737" s="653"/>
      <c r="P3737" s="643"/>
    </row>
    <row r="3738" spans="1:16" s="619" customFormat="1" ht="48" x14ac:dyDescent="0.2">
      <c r="A3738" s="625" t="s">
        <v>7690</v>
      </c>
      <c r="B3738" s="626" t="s">
        <v>1908</v>
      </c>
      <c r="C3738" s="638" t="s">
        <v>7691</v>
      </c>
      <c r="D3738" s="649" t="s">
        <v>2660</v>
      </c>
      <c r="E3738" s="715">
        <v>1100</v>
      </c>
      <c r="F3738" s="626" t="s">
        <v>8202</v>
      </c>
      <c r="G3738" s="648" t="s">
        <v>8203</v>
      </c>
      <c r="H3738" s="649" t="s">
        <v>2660</v>
      </c>
      <c r="I3738" s="648" t="s">
        <v>2660</v>
      </c>
      <c r="J3738" s="626" t="s">
        <v>7713</v>
      </c>
      <c r="K3738" s="642">
        <v>1</v>
      </c>
      <c r="L3738" s="640">
        <v>12</v>
      </c>
      <c r="M3738" s="717">
        <f t="shared" si="39"/>
        <v>13200</v>
      </c>
      <c r="N3738" s="654"/>
      <c r="O3738" s="653"/>
      <c r="P3738" s="643"/>
    </row>
    <row r="3739" spans="1:16" s="619" customFormat="1" ht="36" x14ac:dyDescent="0.2">
      <c r="A3739" s="625" t="s">
        <v>7690</v>
      </c>
      <c r="B3739" s="626" t="s">
        <v>1908</v>
      </c>
      <c r="C3739" s="638" t="s">
        <v>7695</v>
      </c>
      <c r="D3739" s="649" t="s">
        <v>7740</v>
      </c>
      <c r="E3739" s="715">
        <v>4200</v>
      </c>
      <c r="F3739" s="626" t="s">
        <v>8204</v>
      </c>
      <c r="G3739" s="648" t="s">
        <v>8205</v>
      </c>
      <c r="H3739" s="649" t="s">
        <v>7740</v>
      </c>
      <c r="I3739" s="648" t="s">
        <v>7741</v>
      </c>
      <c r="J3739" s="626" t="s">
        <v>7713</v>
      </c>
      <c r="K3739" s="642">
        <v>1</v>
      </c>
      <c r="L3739" s="640">
        <v>3</v>
      </c>
      <c r="M3739" s="717">
        <f t="shared" si="39"/>
        <v>12600</v>
      </c>
      <c r="N3739" s="654"/>
      <c r="O3739" s="653"/>
      <c r="P3739" s="643"/>
    </row>
    <row r="3740" spans="1:16" s="619" customFormat="1" ht="36" x14ac:dyDescent="0.2">
      <c r="A3740" s="625" t="s">
        <v>7690</v>
      </c>
      <c r="B3740" s="626" t="s">
        <v>1908</v>
      </c>
      <c r="C3740" s="638" t="s">
        <v>7691</v>
      </c>
      <c r="D3740" s="649" t="s">
        <v>6876</v>
      </c>
      <c r="E3740" s="715">
        <v>1200</v>
      </c>
      <c r="F3740" s="626" t="s">
        <v>8206</v>
      </c>
      <c r="G3740" s="648" t="s">
        <v>8207</v>
      </c>
      <c r="H3740" s="649" t="s">
        <v>6876</v>
      </c>
      <c r="I3740" s="648" t="s">
        <v>1919</v>
      </c>
      <c r="J3740" s="626" t="s">
        <v>7698</v>
      </c>
      <c r="K3740" s="642">
        <v>1</v>
      </c>
      <c r="L3740" s="640">
        <v>12</v>
      </c>
      <c r="M3740" s="717">
        <f t="shared" si="39"/>
        <v>14400</v>
      </c>
      <c r="N3740" s="654"/>
      <c r="O3740" s="653"/>
      <c r="P3740" s="643"/>
    </row>
    <row r="3741" spans="1:16" s="619" customFormat="1" ht="36" x14ac:dyDescent="0.2">
      <c r="A3741" s="625" t="s">
        <v>7690</v>
      </c>
      <c r="B3741" s="626" t="s">
        <v>1908</v>
      </c>
      <c r="C3741" s="638" t="s">
        <v>7691</v>
      </c>
      <c r="D3741" s="649" t="s">
        <v>2660</v>
      </c>
      <c r="E3741" s="715">
        <v>1000</v>
      </c>
      <c r="F3741" s="626" t="s">
        <v>8208</v>
      </c>
      <c r="G3741" s="648" t="s">
        <v>8209</v>
      </c>
      <c r="H3741" s="649" t="s">
        <v>2660</v>
      </c>
      <c r="I3741" s="648" t="s">
        <v>2660</v>
      </c>
      <c r="J3741" s="626" t="s">
        <v>7713</v>
      </c>
      <c r="K3741" s="642">
        <v>1</v>
      </c>
      <c r="L3741" s="640">
        <v>12</v>
      </c>
      <c r="M3741" s="717">
        <f t="shared" si="39"/>
        <v>12000</v>
      </c>
      <c r="N3741" s="654"/>
      <c r="O3741" s="653"/>
      <c r="P3741" s="643"/>
    </row>
    <row r="3742" spans="1:16" s="619" customFormat="1" ht="24" x14ac:dyDescent="0.2">
      <c r="A3742" s="625" t="s">
        <v>7690</v>
      </c>
      <c r="B3742" s="626" t="s">
        <v>1908</v>
      </c>
      <c r="C3742" s="638" t="s">
        <v>7695</v>
      </c>
      <c r="D3742" s="649" t="s">
        <v>7740</v>
      </c>
      <c r="E3742" s="715">
        <v>4000</v>
      </c>
      <c r="F3742" s="626" t="s">
        <v>8210</v>
      </c>
      <c r="G3742" s="648" t="s">
        <v>8211</v>
      </c>
      <c r="H3742" s="649" t="s">
        <v>7740</v>
      </c>
      <c r="I3742" s="648" t="s">
        <v>7741</v>
      </c>
      <c r="J3742" s="626" t="s">
        <v>7713</v>
      </c>
      <c r="K3742" s="642">
        <v>1</v>
      </c>
      <c r="L3742" s="640">
        <v>3</v>
      </c>
      <c r="M3742" s="717">
        <f t="shared" si="39"/>
        <v>12000</v>
      </c>
      <c r="N3742" s="654"/>
      <c r="O3742" s="653"/>
      <c r="P3742" s="643"/>
    </row>
    <row r="3743" spans="1:16" s="619" customFormat="1" ht="36" x14ac:dyDescent="0.2">
      <c r="A3743" s="625" t="s">
        <v>7690</v>
      </c>
      <c r="B3743" s="626" t="s">
        <v>1908</v>
      </c>
      <c r="C3743" s="638" t="s">
        <v>7691</v>
      </c>
      <c r="D3743" s="626" t="s">
        <v>7926</v>
      </c>
      <c r="E3743" s="715">
        <v>1200</v>
      </c>
      <c r="F3743" s="626" t="s">
        <v>8212</v>
      </c>
      <c r="G3743" s="648" t="s">
        <v>8213</v>
      </c>
      <c r="H3743" s="649" t="s">
        <v>3583</v>
      </c>
      <c r="I3743" s="648" t="s">
        <v>8214</v>
      </c>
      <c r="J3743" s="626" t="s">
        <v>7698</v>
      </c>
      <c r="K3743" s="642">
        <v>1</v>
      </c>
      <c r="L3743" s="640">
        <v>3</v>
      </c>
      <c r="M3743" s="717">
        <f t="shared" si="39"/>
        <v>3600</v>
      </c>
      <c r="N3743" s="654"/>
      <c r="O3743" s="653"/>
      <c r="P3743" s="643"/>
    </row>
    <row r="3744" spans="1:16" s="619" customFormat="1" ht="36" x14ac:dyDescent="0.2">
      <c r="A3744" s="625" t="s">
        <v>7690</v>
      </c>
      <c r="B3744" s="626" t="s">
        <v>1908</v>
      </c>
      <c r="C3744" s="638" t="s">
        <v>7691</v>
      </c>
      <c r="D3744" s="649" t="s">
        <v>3178</v>
      </c>
      <c r="E3744" s="715">
        <v>2300</v>
      </c>
      <c r="F3744" s="626" t="s">
        <v>6512</v>
      </c>
      <c r="G3744" s="648" t="s">
        <v>6513</v>
      </c>
      <c r="H3744" s="649" t="s">
        <v>6227</v>
      </c>
      <c r="I3744" s="648" t="s">
        <v>1988</v>
      </c>
      <c r="J3744" s="626" t="s">
        <v>7713</v>
      </c>
      <c r="K3744" s="642">
        <v>1</v>
      </c>
      <c r="L3744" s="640">
        <v>4</v>
      </c>
      <c r="M3744" s="717">
        <f t="shared" si="39"/>
        <v>9200</v>
      </c>
      <c r="N3744" s="654"/>
      <c r="O3744" s="653"/>
      <c r="P3744" s="643"/>
    </row>
    <row r="3745" spans="1:16" s="619" customFormat="1" ht="36" x14ac:dyDescent="0.2">
      <c r="A3745" s="625" t="s">
        <v>7690</v>
      </c>
      <c r="B3745" s="626" t="s">
        <v>1908</v>
      </c>
      <c r="C3745" s="638" t="s">
        <v>7691</v>
      </c>
      <c r="D3745" s="649" t="s">
        <v>2660</v>
      </c>
      <c r="E3745" s="715">
        <v>1100</v>
      </c>
      <c r="F3745" s="626" t="s">
        <v>8215</v>
      </c>
      <c r="G3745" s="648" t="s">
        <v>8216</v>
      </c>
      <c r="H3745" s="649" t="s">
        <v>2660</v>
      </c>
      <c r="I3745" s="648" t="s">
        <v>2660</v>
      </c>
      <c r="J3745" s="626" t="s">
        <v>7713</v>
      </c>
      <c r="K3745" s="642">
        <v>1</v>
      </c>
      <c r="L3745" s="640">
        <v>12</v>
      </c>
      <c r="M3745" s="717">
        <f t="shared" si="39"/>
        <v>13200</v>
      </c>
      <c r="N3745" s="654"/>
      <c r="O3745" s="653"/>
      <c r="P3745" s="643"/>
    </row>
    <row r="3746" spans="1:16" s="619" customFormat="1" ht="24" x14ac:dyDescent="0.2">
      <c r="A3746" s="625" t="s">
        <v>7690</v>
      </c>
      <c r="B3746" s="626" t="s">
        <v>1908</v>
      </c>
      <c r="C3746" s="638" t="s">
        <v>7691</v>
      </c>
      <c r="D3746" s="649" t="s">
        <v>7716</v>
      </c>
      <c r="E3746" s="715">
        <v>5000</v>
      </c>
      <c r="F3746" s="626" t="s">
        <v>8217</v>
      </c>
      <c r="G3746" s="648" t="s">
        <v>8218</v>
      </c>
      <c r="H3746" s="649" t="s">
        <v>6092</v>
      </c>
      <c r="I3746" s="648" t="s">
        <v>1993</v>
      </c>
      <c r="J3746" s="626" t="s">
        <v>7713</v>
      </c>
      <c r="K3746" s="642">
        <v>1</v>
      </c>
      <c r="L3746" s="640">
        <v>2</v>
      </c>
      <c r="M3746" s="717">
        <f t="shared" si="39"/>
        <v>10000</v>
      </c>
      <c r="N3746" s="654"/>
      <c r="O3746" s="653"/>
      <c r="P3746" s="643"/>
    </row>
    <row r="3747" spans="1:16" s="619" customFormat="1" ht="24" x14ac:dyDescent="0.2">
      <c r="A3747" s="625" t="s">
        <v>7690</v>
      </c>
      <c r="B3747" s="626" t="s">
        <v>1908</v>
      </c>
      <c r="C3747" s="638" t="s">
        <v>7691</v>
      </c>
      <c r="D3747" s="649" t="s">
        <v>2660</v>
      </c>
      <c r="E3747" s="715">
        <v>1200</v>
      </c>
      <c r="F3747" s="626" t="s">
        <v>8219</v>
      </c>
      <c r="G3747" s="648" t="s">
        <v>8220</v>
      </c>
      <c r="H3747" s="649" t="s">
        <v>2660</v>
      </c>
      <c r="I3747" s="648" t="s">
        <v>2660</v>
      </c>
      <c r="J3747" s="626" t="s">
        <v>7713</v>
      </c>
      <c r="K3747" s="642">
        <v>1</v>
      </c>
      <c r="L3747" s="640">
        <v>3</v>
      </c>
      <c r="M3747" s="717">
        <f t="shared" si="39"/>
        <v>3600</v>
      </c>
      <c r="N3747" s="654"/>
      <c r="O3747" s="653"/>
      <c r="P3747" s="643"/>
    </row>
    <row r="3748" spans="1:16" s="619" customFormat="1" ht="36" x14ac:dyDescent="0.2">
      <c r="A3748" s="625" t="s">
        <v>7690</v>
      </c>
      <c r="B3748" s="626" t="s">
        <v>1908</v>
      </c>
      <c r="C3748" s="638" t="s">
        <v>7691</v>
      </c>
      <c r="D3748" s="649" t="s">
        <v>3178</v>
      </c>
      <c r="E3748" s="715">
        <v>2500</v>
      </c>
      <c r="F3748" s="626" t="s">
        <v>8221</v>
      </c>
      <c r="G3748" s="648" t="s">
        <v>8222</v>
      </c>
      <c r="H3748" s="649" t="s">
        <v>6227</v>
      </c>
      <c r="I3748" s="648" t="s">
        <v>1988</v>
      </c>
      <c r="J3748" s="626" t="s">
        <v>7713</v>
      </c>
      <c r="K3748" s="642">
        <v>1</v>
      </c>
      <c r="L3748" s="640">
        <v>12</v>
      </c>
      <c r="M3748" s="717">
        <f t="shared" si="39"/>
        <v>30000</v>
      </c>
      <c r="N3748" s="654"/>
      <c r="O3748" s="653"/>
      <c r="P3748" s="643"/>
    </row>
    <row r="3749" spans="1:16" s="619" customFormat="1" ht="36" x14ac:dyDescent="0.2">
      <c r="A3749" s="625" t="s">
        <v>7690</v>
      </c>
      <c r="B3749" s="626" t="s">
        <v>1908</v>
      </c>
      <c r="C3749" s="638" t="s">
        <v>7695</v>
      </c>
      <c r="D3749" s="649" t="s">
        <v>4544</v>
      </c>
      <c r="E3749" s="715">
        <v>5000</v>
      </c>
      <c r="F3749" s="626" t="s">
        <v>8223</v>
      </c>
      <c r="G3749" s="648" t="s">
        <v>8224</v>
      </c>
      <c r="H3749" s="649" t="s">
        <v>6149</v>
      </c>
      <c r="I3749" s="648" t="s">
        <v>7835</v>
      </c>
      <c r="J3749" s="626" t="s">
        <v>7713</v>
      </c>
      <c r="K3749" s="642">
        <v>1</v>
      </c>
      <c r="L3749" s="640">
        <v>5</v>
      </c>
      <c r="M3749" s="717">
        <f t="shared" si="39"/>
        <v>25000</v>
      </c>
      <c r="N3749" s="654"/>
      <c r="O3749" s="653"/>
      <c r="P3749" s="643"/>
    </row>
    <row r="3750" spans="1:16" s="619" customFormat="1" ht="36" x14ac:dyDescent="0.2">
      <c r="A3750" s="625" t="s">
        <v>7690</v>
      </c>
      <c r="B3750" s="626" t="s">
        <v>1908</v>
      </c>
      <c r="C3750" s="638" t="s">
        <v>7691</v>
      </c>
      <c r="D3750" s="649" t="s">
        <v>2660</v>
      </c>
      <c r="E3750" s="715">
        <v>1200</v>
      </c>
      <c r="F3750" s="626" t="s">
        <v>8225</v>
      </c>
      <c r="G3750" s="648" t="s">
        <v>8226</v>
      </c>
      <c r="H3750" s="649" t="s">
        <v>2660</v>
      </c>
      <c r="I3750" s="648" t="s">
        <v>2660</v>
      </c>
      <c r="J3750" s="626" t="s">
        <v>7713</v>
      </c>
      <c r="K3750" s="642">
        <v>1</v>
      </c>
      <c r="L3750" s="640">
        <v>12</v>
      </c>
      <c r="M3750" s="717">
        <f t="shared" si="39"/>
        <v>14400</v>
      </c>
      <c r="N3750" s="654"/>
      <c r="O3750" s="653"/>
      <c r="P3750" s="643"/>
    </row>
    <row r="3751" spans="1:16" s="619" customFormat="1" ht="36" x14ac:dyDescent="0.2">
      <c r="A3751" s="625" t="s">
        <v>7690</v>
      </c>
      <c r="B3751" s="626" t="s">
        <v>1908</v>
      </c>
      <c r="C3751" s="638" t="s">
        <v>7691</v>
      </c>
      <c r="D3751" s="649" t="s">
        <v>1965</v>
      </c>
      <c r="E3751" s="715">
        <v>1800</v>
      </c>
      <c r="F3751" s="626" t="s">
        <v>8227</v>
      </c>
      <c r="G3751" s="648" t="s">
        <v>8228</v>
      </c>
      <c r="H3751" s="649" t="s">
        <v>1965</v>
      </c>
      <c r="I3751" s="648" t="s">
        <v>1965</v>
      </c>
      <c r="J3751" s="626" t="s">
        <v>7713</v>
      </c>
      <c r="K3751" s="642">
        <v>1</v>
      </c>
      <c r="L3751" s="640">
        <v>10</v>
      </c>
      <c r="M3751" s="717">
        <f t="shared" si="39"/>
        <v>18000</v>
      </c>
      <c r="N3751" s="654"/>
      <c r="O3751" s="653"/>
      <c r="P3751" s="643"/>
    </row>
    <row r="3752" spans="1:16" s="619" customFormat="1" ht="36" x14ac:dyDescent="0.2">
      <c r="A3752" s="625" t="s">
        <v>7690</v>
      </c>
      <c r="B3752" s="626" t="s">
        <v>1908</v>
      </c>
      <c r="C3752" s="638" t="s">
        <v>7691</v>
      </c>
      <c r="D3752" s="649" t="s">
        <v>6876</v>
      </c>
      <c r="E3752" s="715">
        <v>1500</v>
      </c>
      <c r="F3752" s="626" t="s">
        <v>8229</v>
      </c>
      <c r="G3752" s="648" t="s">
        <v>8230</v>
      </c>
      <c r="H3752" s="649" t="s">
        <v>6876</v>
      </c>
      <c r="I3752" s="648" t="s">
        <v>1919</v>
      </c>
      <c r="J3752" s="626" t="s">
        <v>7698</v>
      </c>
      <c r="K3752" s="642">
        <v>1</v>
      </c>
      <c r="L3752" s="640">
        <v>6</v>
      </c>
      <c r="M3752" s="717">
        <f t="shared" si="39"/>
        <v>9000</v>
      </c>
      <c r="N3752" s="654"/>
      <c r="O3752" s="653"/>
      <c r="P3752" s="643"/>
    </row>
    <row r="3753" spans="1:16" s="619" customFormat="1" ht="48" x14ac:dyDescent="0.2">
      <c r="A3753" s="625" t="s">
        <v>7690</v>
      </c>
      <c r="B3753" s="626" t="s">
        <v>1908</v>
      </c>
      <c r="C3753" s="638" t="s">
        <v>7691</v>
      </c>
      <c r="D3753" s="649" t="s">
        <v>1965</v>
      </c>
      <c r="E3753" s="715">
        <v>2000</v>
      </c>
      <c r="F3753" s="626" t="s">
        <v>8231</v>
      </c>
      <c r="G3753" s="648" t="s">
        <v>8232</v>
      </c>
      <c r="H3753" s="649" t="s">
        <v>1965</v>
      </c>
      <c r="I3753" s="648" t="s">
        <v>1965</v>
      </c>
      <c r="J3753" s="626" t="s">
        <v>3768</v>
      </c>
      <c r="K3753" s="642">
        <v>1</v>
      </c>
      <c r="L3753" s="640">
        <v>9</v>
      </c>
      <c r="M3753" s="717">
        <f t="shared" si="39"/>
        <v>18000</v>
      </c>
      <c r="N3753" s="654"/>
      <c r="O3753" s="653"/>
      <c r="P3753" s="643"/>
    </row>
    <row r="3754" spans="1:16" s="619" customFormat="1" ht="48" x14ac:dyDescent="0.2">
      <c r="A3754" s="625" t="s">
        <v>7690</v>
      </c>
      <c r="B3754" s="626" t="s">
        <v>1908</v>
      </c>
      <c r="C3754" s="638" t="s">
        <v>7695</v>
      </c>
      <c r="D3754" s="649" t="s">
        <v>8171</v>
      </c>
      <c r="E3754" s="715">
        <v>1500</v>
      </c>
      <c r="F3754" s="626" t="s">
        <v>8233</v>
      </c>
      <c r="G3754" s="648" t="s">
        <v>8234</v>
      </c>
      <c r="H3754" s="649" t="s">
        <v>8171</v>
      </c>
      <c r="I3754" s="648" t="s">
        <v>8171</v>
      </c>
      <c r="J3754" s="626" t="s">
        <v>7713</v>
      </c>
      <c r="K3754" s="642">
        <v>1</v>
      </c>
      <c r="L3754" s="640">
        <v>6</v>
      </c>
      <c r="M3754" s="717">
        <f t="shared" si="39"/>
        <v>9000</v>
      </c>
      <c r="N3754" s="654"/>
      <c r="O3754" s="653"/>
      <c r="P3754" s="643"/>
    </row>
    <row r="3755" spans="1:16" s="619" customFormat="1" ht="24" x14ac:dyDescent="0.2">
      <c r="A3755" s="625" t="s">
        <v>7690</v>
      </c>
      <c r="B3755" s="626" t="s">
        <v>1908</v>
      </c>
      <c r="C3755" s="638" t="s">
        <v>7691</v>
      </c>
      <c r="D3755" s="649" t="s">
        <v>2660</v>
      </c>
      <c r="E3755" s="715">
        <v>1100</v>
      </c>
      <c r="F3755" s="626" t="s">
        <v>8235</v>
      </c>
      <c r="G3755" s="648" t="s">
        <v>8236</v>
      </c>
      <c r="H3755" s="649" t="s">
        <v>2660</v>
      </c>
      <c r="I3755" s="648" t="s">
        <v>2660</v>
      </c>
      <c r="J3755" s="626" t="s">
        <v>7713</v>
      </c>
      <c r="K3755" s="642">
        <v>1</v>
      </c>
      <c r="L3755" s="640">
        <v>9</v>
      </c>
      <c r="M3755" s="717">
        <f t="shared" si="39"/>
        <v>9900</v>
      </c>
      <c r="N3755" s="654"/>
      <c r="O3755" s="653"/>
      <c r="P3755" s="643"/>
    </row>
    <row r="3756" spans="1:16" s="619" customFormat="1" ht="48" x14ac:dyDescent="0.2">
      <c r="A3756" s="625" t="s">
        <v>7690</v>
      </c>
      <c r="B3756" s="626" t="s">
        <v>1908</v>
      </c>
      <c r="C3756" s="638" t="s">
        <v>7691</v>
      </c>
      <c r="D3756" s="649" t="s">
        <v>6738</v>
      </c>
      <c r="E3756" s="715">
        <v>9000</v>
      </c>
      <c r="F3756" s="626" t="s">
        <v>8237</v>
      </c>
      <c r="G3756" s="648" t="s">
        <v>8238</v>
      </c>
      <c r="H3756" s="649" t="s">
        <v>6738</v>
      </c>
      <c r="I3756" s="648" t="s">
        <v>6738</v>
      </c>
      <c r="J3756" s="626" t="s">
        <v>7713</v>
      </c>
      <c r="K3756" s="642">
        <v>1</v>
      </c>
      <c r="L3756" s="640">
        <v>5</v>
      </c>
      <c r="M3756" s="717">
        <f t="shared" si="39"/>
        <v>45000</v>
      </c>
      <c r="N3756" s="654"/>
      <c r="O3756" s="653"/>
      <c r="P3756" s="643"/>
    </row>
    <row r="3757" spans="1:16" s="619" customFormat="1" ht="24" x14ac:dyDescent="0.2">
      <c r="A3757" s="625" t="s">
        <v>7690</v>
      </c>
      <c r="B3757" s="626" t="s">
        <v>1908</v>
      </c>
      <c r="C3757" s="638" t="s">
        <v>7691</v>
      </c>
      <c r="D3757" s="649" t="s">
        <v>7757</v>
      </c>
      <c r="E3757" s="715">
        <v>4500</v>
      </c>
      <c r="F3757" s="626" t="s">
        <v>8239</v>
      </c>
      <c r="G3757" s="648" t="s">
        <v>8240</v>
      </c>
      <c r="H3757" s="649" t="s">
        <v>6092</v>
      </c>
      <c r="I3757" s="648" t="s">
        <v>1993</v>
      </c>
      <c r="J3757" s="626" t="s">
        <v>3768</v>
      </c>
      <c r="K3757" s="642">
        <v>1</v>
      </c>
      <c r="L3757" s="640">
        <v>4</v>
      </c>
      <c r="M3757" s="717">
        <f t="shared" si="39"/>
        <v>18000</v>
      </c>
      <c r="N3757" s="654"/>
      <c r="O3757" s="653"/>
      <c r="P3757" s="643"/>
    </row>
    <row r="3758" spans="1:16" s="619" customFormat="1" ht="36" x14ac:dyDescent="0.2">
      <c r="A3758" s="625" t="s">
        <v>7690</v>
      </c>
      <c r="B3758" s="626" t="s">
        <v>1908</v>
      </c>
      <c r="C3758" s="638" t="s">
        <v>7695</v>
      </c>
      <c r="D3758" s="626" t="s">
        <v>4544</v>
      </c>
      <c r="E3758" s="715">
        <v>5000</v>
      </c>
      <c r="F3758" s="626" t="s">
        <v>8241</v>
      </c>
      <c r="G3758" s="648" t="s">
        <v>8242</v>
      </c>
      <c r="H3758" s="649" t="s">
        <v>6149</v>
      </c>
      <c r="I3758" s="648" t="s">
        <v>7835</v>
      </c>
      <c r="J3758" s="626" t="s">
        <v>3768</v>
      </c>
      <c r="K3758" s="642">
        <v>1</v>
      </c>
      <c r="L3758" s="640">
        <v>2</v>
      </c>
      <c r="M3758" s="717">
        <f t="shared" ref="M3758:M3821" si="40">+L3758*E3758</f>
        <v>10000</v>
      </c>
      <c r="N3758" s="654"/>
      <c r="O3758" s="653"/>
      <c r="P3758" s="643"/>
    </row>
    <row r="3759" spans="1:16" s="619" customFormat="1" ht="24" x14ac:dyDescent="0.2">
      <c r="A3759" s="625" t="s">
        <v>7690</v>
      </c>
      <c r="B3759" s="626" t="s">
        <v>1908</v>
      </c>
      <c r="C3759" s="638" t="s">
        <v>7691</v>
      </c>
      <c r="D3759" s="626" t="s">
        <v>6182</v>
      </c>
      <c r="E3759" s="715">
        <v>8000</v>
      </c>
      <c r="F3759" s="626" t="s">
        <v>8243</v>
      </c>
      <c r="G3759" s="648" t="s">
        <v>8244</v>
      </c>
      <c r="H3759" s="649" t="s">
        <v>6182</v>
      </c>
      <c r="I3759" s="648" t="s">
        <v>6182</v>
      </c>
      <c r="J3759" s="626" t="s">
        <v>3768</v>
      </c>
      <c r="K3759" s="642">
        <v>1</v>
      </c>
      <c r="L3759" s="640">
        <v>2</v>
      </c>
      <c r="M3759" s="717">
        <f t="shared" si="40"/>
        <v>16000</v>
      </c>
      <c r="N3759" s="654"/>
      <c r="O3759" s="653"/>
      <c r="P3759" s="643"/>
    </row>
    <row r="3760" spans="1:16" s="619" customFormat="1" ht="36" x14ac:dyDescent="0.2">
      <c r="A3760" s="625" t="s">
        <v>7690</v>
      </c>
      <c r="B3760" s="626" t="s">
        <v>1908</v>
      </c>
      <c r="C3760" s="638" t="s">
        <v>7691</v>
      </c>
      <c r="D3760" s="626" t="s">
        <v>8245</v>
      </c>
      <c r="E3760" s="715">
        <v>3600</v>
      </c>
      <c r="F3760" s="626" t="s">
        <v>8246</v>
      </c>
      <c r="G3760" s="648" t="s">
        <v>8247</v>
      </c>
      <c r="H3760" s="649" t="s">
        <v>2563</v>
      </c>
      <c r="I3760" s="648" t="s">
        <v>2563</v>
      </c>
      <c r="J3760" s="626" t="s">
        <v>3768</v>
      </c>
      <c r="K3760" s="642">
        <v>1</v>
      </c>
      <c r="L3760" s="640">
        <v>9</v>
      </c>
      <c r="M3760" s="717">
        <f t="shared" si="40"/>
        <v>32400</v>
      </c>
      <c r="N3760" s="654"/>
      <c r="O3760" s="653"/>
      <c r="P3760" s="643"/>
    </row>
    <row r="3761" spans="1:16" s="619" customFormat="1" ht="36" x14ac:dyDescent="0.2">
      <c r="A3761" s="625" t="s">
        <v>7690</v>
      </c>
      <c r="B3761" s="626" t="s">
        <v>1908</v>
      </c>
      <c r="C3761" s="638" t="s">
        <v>7691</v>
      </c>
      <c r="D3761" s="626" t="s">
        <v>7752</v>
      </c>
      <c r="E3761" s="715">
        <v>1100</v>
      </c>
      <c r="F3761" s="626" t="s">
        <v>8248</v>
      </c>
      <c r="G3761" s="648" t="s">
        <v>8249</v>
      </c>
      <c r="H3761" s="649" t="s">
        <v>6158</v>
      </c>
      <c r="I3761" s="648" t="s">
        <v>1919</v>
      </c>
      <c r="J3761" s="626" t="s">
        <v>7698</v>
      </c>
      <c r="K3761" s="642">
        <v>1</v>
      </c>
      <c r="L3761" s="640">
        <v>9</v>
      </c>
      <c r="M3761" s="717">
        <f t="shared" si="40"/>
        <v>9900</v>
      </c>
      <c r="N3761" s="654"/>
      <c r="O3761" s="653"/>
      <c r="P3761" s="643"/>
    </row>
    <row r="3762" spans="1:16" s="619" customFormat="1" ht="24" x14ac:dyDescent="0.2">
      <c r="A3762" s="625" t="s">
        <v>7690</v>
      </c>
      <c r="B3762" s="626" t="s">
        <v>1908</v>
      </c>
      <c r="C3762" s="638" t="s">
        <v>7695</v>
      </c>
      <c r="D3762" s="649" t="s">
        <v>2660</v>
      </c>
      <c r="E3762" s="715">
        <v>1500</v>
      </c>
      <c r="F3762" s="626" t="s">
        <v>8250</v>
      </c>
      <c r="G3762" s="648" t="s">
        <v>8251</v>
      </c>
      <c r="H3762" s="649" t="s">
        <v>2660</v>
      </c>
      <c r="I3762" s="648" t="s">
        <v>2660</v>
      </c>
      <c r="J3762" s="626" t="s">
        <v>3768</v>
      </c>
      <c r="K3762" s="642">
        <v>1</v>
      </c>
      <c r="L3762" s="640">
        <v>4</v>
      </c>
      <c r="M3762" s="717">
        <f t="shared" si="40"/>
        <v>6000</v>
      </c>
      <c r="N3762" s="654"/>
      <c r="O3762" s="653"/>
      <c r="P3762" s="643"/>
    </row>
    <row r="3763" spans="1:16" s="619" customFormat="1" ht="36" x14ac:dyDescent="0.2">
      <c r="A3763" s="625" t="s">
        <v>7690</v>
      </c>
      <c r="B3763" s="626" t="s">
        <v>1908</v>
      </c>
      <c r="C3763" s="638" t="s">
        <v>7691</v>
      </c>
      <c r="D3763" s="626" t="s">
        <v>6198</v>
      </c>
      <c r="E3763" s="715">
        <v>2000</v>
      </c>
      <c r="F3763" s="626" t="s">
        <v>8252</v>
      </c>
      <c r="G3763" s="648" t="s">
        <v>8253</v>
      </c>
      <c r="H3763" s="649" t="s">
        <v>7740</v>
      </c>
      <c r="I3763" s="648" t="s">
        <v>7741</v>
      </c>
      <c r="J3763" s="626" t="s">
        <v>3768</v>
      </c>
      <c r="K3763" s="642">
        <v>1</v>
      </c>
      <c r="L3763" s="640">
        <v>12</v>
      </c>
      <c r="M3763" s="717">
        <f t="shared" si="40"/>
        <v>24000</v>
      </c>
      <c r="N3763" s="654"/>
      <c r="O3763" s="653"/>
      <c r="P3763" s="643"/>
    </row>
    <row r="3764" spans="1:16" s="619" customFormat="1" ht="24" x14ac:dyDescent="0.2">
      <c r="A3764" s="625" t="s">
        <v>7690</v>
      </c>
      <c r="B3764" s="626" t="s">
        <v>1908</v>
      </c>
      <c r="C3764" s="638" t="s">
        <v>7695</v>
      </c>
      <c r="D3764" s="649" t="s">
        <v>6101</v>
      </c>
      <c r="E3764" s="715">
        <v>5000</v>
      </c>
      <c r="F3764" s="626" t="s">
        <v>8254</v>
      </c>
      <c r="G3764" s="648" t="s">
        <v>8255</v>
      </c>
      <c r="H3764" s="649" t="s">
        <v>6101</v>
      </c>
      <c r="I3764" s="648" t="s">
        <v>6101</v>
      </c>
      <c r="J3764" s="626" t="s">
        <v>3768</v>
      </c>
      <c r="K3764" s="642">
        <v>1</v>
      </c>
      <c r="L3764" s="640">
        <v>7</v>
      </c>
      <c r="M3764" s="717">
        <f t="shared" si="40"/>
        <v>35000</v>
      </c>
      <c r="N3764" s="654"/>
      <c r="O3764" s="653"/>
      <c r="P3764" s="643"/>
    </row>
    <row r="3765" spans="1:16" s="619" customFormat="1" ht="36" x14ac:dyDescent="0.2">
      <c r="A3765" s="625" t="s">
        <v>7690</v>
      </c>
      <c r="B3765" s="626" t="s">
        <v>1908</v>
      </c>
      <c r="C3765" s="638" t="s">
        <v>7691</v>
      </c>
      <c r="D3765" s="626" t="s">
        <v>7624</v>
      </c>
      <c r="E3765" s="715">
        <v>1200</v>
      </c>
      <c r="F3765" s="626" t="s">
        <v>8256</v>
      </c>
      <c r="G3765" s="648" t="s">
        <v>8257</v>
      </c>
      <c r="H3765" s="649" t="s">
        <v>6114</v>
      </c>
      <c r="I3765" s="648" t="s">
        <v>6114</v>
      </c>
      <c r="J3765" s="626" t="s">
        <v>3768</v>
      </c>
      <c r="K3765" s="642">
        <v>1</v>
      </c>
      <c r="L3765" s="640">
        <v>12</v>
      </c>
      <c r="M3765" s="717">
        <f t="shared" si="40"/>
        <v>14400</v>
      </c>
      <c r="N3765" s="654"/>
      <c r="O3765" s="653"/>
      <c r="P3765" s="643"/>
    </row>
    <row r="3766" spans="1:16" s="619" customFormat="1" ht="24" x14ac:dyDescent="0.2">
      <c r="A3766" s="625" t="s">
        <v>7690</v>
      </c>
      <c r="B3766" s="626" t="s">
        <v>1908</v>
      </c>
      <c r="C3766" s="638" t="s">
        <v>7691</v>
      </c>
      <c r="D3766" s="649" t="s">
        <v>6876</v>
      </c>
      <c r="E3766" s="715">
        <v>1100</v>
      </c>
      <c r="F3766" s="626" t="s">
        <v>8258</v>
      </c>
      <c r="G3766" s="648" t="s">
        <v>8259</v>
      </c>
      <c r="H3766" s="649" t="s">
        <v>6876</v>
      </c>
      <c r="I3766" s="648" t="s">
        <v>1919</v>
      </c>
      <c r="J3766" s="626" t="s">
        <v>7698</v>
      </c>
      <c r="K3766" s="642">
        <v>1</v>
      </c>
      <c r="L3766" s="640">
        <v>11</v>
      </c>
      <c r="M3766" s="717">
        <f t="shared" si="40"/>
        <v>12100</v>
      </c>
      <c r="N3766" s="654"/>
      <c r="O3766" s="653"/>
      <c r="P3766" s="643"/>
    </row>
    <row r="3767" spans="1:16" s="619" customFormat="1" ht="36" x14ac:dyDescent="0.2">
      <c r="A3767" s="625" t="s">
        <v>7690</v>
      </c>
      <c r="B3767" s="626" t="s">
        <v>1908</v>
      </c>
      <c r="C3767" s="638" t="s">
        <v>7691</v>
      </c>
      <c r="D3767" s="649" t="s">
        <v>6152</v>
      </c>
      <c r="E3767" s="715">
        <v>5000</v>
      </c>
      <c r="F3767" s="626" t="s">
        <v>8260</v>
      </c>
      <c r="G3767" s="648" t="s">
        <v>8261</v>
      </c>
      <c r="H3767" s="649" t="s">
        <v>6149</v>
      </c>
      <c r="I3767" s="648" t="s">
        <v>7835</v>
      </c>
      <c r="J3767" s="626" t="s">
        <v>3768</v>
      </c>
      <c r="K3767" s="642">
        <v>1</v>
      </c>
      <c r="L3767" s="640">
        <v>5</v>
      </c>
      <c r="M3767" s="717">
        <f t="shared" si="40"/>
        <v>25000</v>
      </c>
      <c r="N3767" s="654"/>
      <c r="O3767" s="653"/>
      <c r="P3767" s="643"/>
    </row>
    <row r="3768" spans="1:16" s="619" customFormat="1" ht="24" x14ac:dyDescent="0.2">
      <c r="A3768" s="625" t="s">
        <v>7690</v>
      </c>
      <c r="B3768" s="626" t="s">
        <v>1908</v>
      </c>
      <c r="C3768" s="638" t="s">
        <v>7695</v>
      </c>
      <c r="D3768" s="649" t="s">
        <v>6026</v>
      </c>
      <c r="E3768" s="715">
        <v>2000</v>
      </c>
      <c r="F3768" s="626" t="s">
        <v>8262</v>
      </c>
      <c r="G3768" s="648" t="s">
        <v>8263</v>
      </c>
      <c r="H3768" s="649" t="s">
        <v>6026</v>
      </c>
      <c r="I3768" s="648" t="s">
        <v>1919</v>
      </c>
      <c r="J3768" s="626" t="s">
        <v>7698</v>
      </c>
      <c r="K3768" s="642">
        <v>1</v>
      </c>
      <c r="L3768" s="640">
        <v>6</v>
      </c>
      <c r="M3768" s="717">
        <f t="shared" si="40"/>
        <v>12000</v>
      </c>
      <c r="N3768" s="654"/>
      <c r="O3768" s="653"/>
      <c r="P3768" s="643"/>
    </row>
    <row r="3769" spans="1:16" s="619" customFormat="1" ht="24" x14ac:dyDescent="0.2">
      <c r="A3769" s="625" t="s">
        <v>7690</v>
      </c>
      <c r="B3769" s="626" t="s">
        <v>1908</v>
      </c>
      <c r="C3769" s="638" t="s">
        <v>7691</v>
      </c>
      <c r="D3769" s="649" t="s">
        <v>5790</v>
      </c>
      <c r="E3769" s="715">
        <v>4000</v>
      </c>
      <c r="F3769" s="626" t="s">
        <v>8264</v>
      </c>
      <c r="G3769" s="648" t="s">
        <v>8265</v>
      </c>
      <c r="H3769" s="649" t="s">
        <v>6227</v>
      </c>
      <c r="I3769" s="648" t="s">
        <v>1988</v>
      </c>
      <c r="J3769" s="626" t="s">
        <v>3768</v>
      </c>
      <c r="K3769" s="642">
        <v>1</v>
      </c>
      <c r="L3769" s="640">
        <v>12</v>
      </c>
      <c r="M3769" s="717">
        <f t="shared" si="40"/>
        <v>48000</v>
      </c>
      <c r="N3769" s="654"/>
      <c r="O3769" s="653"/>
      <c r="P3769" s="643"/>
    </row>
    <row r="3770" spans="1:16" s="619" customFormat="1" ht="24" x14ac:dyDescent="0.2">
      <c r="A3770" s="625" t="s">
        <v>7690</v>
      </c>
      <c r="B3770" s="626" t="s">
        <v>1908</v>
      </c>
      <c r="C3770" s="638" t="s">
        <v>7691</v>
      </c>
      <c r="D3770" s="649" t="s">
        <v>3548</v>
      </c>
      <c r="E3770" s="715">
        <v>1000</v>
      </c>
      <c r="F3770" s="626" t="s">
        <v>8266</v>
      </c>
      <c r="G3770" s="648" t="s">
        <v>8267</v>
      </c>
      <c r="H3770" s="649" t="s">
        <v>3548</v>
      </c>
      <c r="I3770" s="648" t="s">
        <v>1919</v>
      </c>
      <c r="J3770" s="626" t="s">
        <v>7698</v>
      </c>
      <c r="K3770" s="642">
        <v>1</v>
      </c>
      <c r="L3770" s="640">
        <v>9</v>
      </c>
      <c r="M3770" s="717">
        <f t="shared" si="40"/>
        <v>9000</v>
      </c>
      <c r="N3770" s="654"/>
      <c r="O3770" s="653"/>
      <c r="P3770" s="643"/>
    </row>
    <row r="3771" spans="1:16" s="619" customFormat="1" ht="48" x14ac:dyDescent="0.2">
      <c r="A3771" s="625" t="s">
        <v>7690</v>
      </c>
      <c r="B3771" s="626" t="s">
        <v>1908</v>
      </c>
      <c r="C3771" s="638" t="s">
        <v>7695</v>
      </c>
      <c r="D3771" s="649" t="s">
        <v>7716</v>
      </c>
      <c r="E3771" s="715">
        <v>5000</v>
      </c>
      <c r="F3771" s="626" t="s">
        <v>8268</v>
      </c>
      <c r="G3771" s="648" t="s">
        <v>8269</v>
      </c>
      <c r="H3771" s="649" t="s">
        <v>6092</v>
      </c>
      <c r="I3771" s="648" t="s">
        <v>1993</v>
      </c>
      <c r="J3771" s="626" t="s">
        <v>3768</v>
      </c>
      <c r="K3771" s="642">
        <v>1</v>
      </c>
      <c r="L3771" s="640">
        <v>12</v>
      </c>
      <c r="M3771" s="717">
        <f t="shared" si="40"/>
        <v>60000</v>
      </c>
      <c r="N3771" s="654"/>
      <c r="O3771" s="653"/>
      <c r="P3771" s="643"/>
    </row>
    <row r="3772" spans="1:16" s="619" customFormat="1" ht="36" x14ac:dyDescent="0.2">
      <c r="A3772" s="625" t="s">
        <v>7690</v>
      </c>
      <c r="B3772" s="626" t="s">
        <v>1908</v>
      </c>
      <c r="C3772" s="638" t="s">
        <v>7691</v>
      </c>
      <c r="D3772" s="649" t="s">
        <v>4544</v>
      </c>
      <c r="E3772" s="715">
        <v>3300</v>
      </c>
      <c r="F3772" s="626" t="s">
        <v>8270</v>
      </c>
      <c r="G3772" s="648" t="s">
        <v>8271</v>
      </c>
      <c r="H3772" s="649" t="s">
        <v>6149</v>
      </c>
      <c r="I3772" s="648" t="s">
        <v>7835</v>
      </c>
      <c r="J3772" s="626" t="s">
        <v>3768</v>
      </c>
      <c r="K3772" s="642">
        <v>1</v>
      </c>
      <c r="L3772" s="640">
        <v>4</v>
      </c>
      <c r="M3772" s="717">
        <f t="shared" si="40"/>
        <v>13200</v>
      </c>
      <c r="N3772" s="654"/>
      <c r="O3772" s="653"/>
      <c r="P3772" s="643"/>
    </row>
    <row r="3773" spans="1:16" s="619" customFormat="1" ht="48" x14ac:dyDescent="0.2">
      <c r="A3773" s="625" t="s">
        <v>7690</v>
      </c>
      <c r="B3773" s="626" t="s">
        <v>1908</v>
      </c>
      <c r="C3773" s="638" t="s">
        <v>7691</v>
      </c>
      <c r="D3773" s="649" t="s">
        <v>6198</v>
      </c>
      <c r="E3773" s="715">
        <v>4000</v>
      </c>
      <c r="F3773" s="626" t="s">
        <v>8272</v>
      </c>
      <c r="G3773" s="648" t="s">
        <v>8273</v>
      </c>
      <c r="H3773" s="649" t="s">
        <v>7740</v>
      </c>
      <c r="I3773" s="648" t="s">
        <v>7741</v>
      </c>
      <c r="J3773" s="626" t="s">
        <v>3768</v>
      </c>
      <c r="K3773" s="642">
        <v>1</v>
      </c>
      <c r="L3773" s="640">
        <v>4</v>
      </c>
      <c r="M3773" s="717">
        <f t="shared" si="40"/>
        <v>16000</v>
      </c>
      <c r="N3773" s="654"/>
      <c r="O3773" s="653"/>
      <c r="P3773" s="643"/>
    </row>
    <row r="3774" spans="1:16" s="619" customFormat="1" ht="48" x14ac:dyDescent="0.2">
      <c r="A3774" s="625" t="s">
        <v>7690</v>
      </c>
      <c r="B3774" s="626" t="s">
        <v>1908</v>
      </c>
      <c r="C3774" s="638" t="s">
        <v>7691</v>
      </c>
      <c r="D3774" s="649" t="s">
        <v>6158</v>
      </c>
      <c r="E3774" s="715">
        <v>1100</v>
      </c>
      <c r="F3774" s="626" t="s">
        <v>8274</v>
      </c>
      <c r="G3774" s="648" t="s">
        <v>8275</v>
      </c>
      <c r="H3774" s="649" t="s">
        <v>6158</v>
      </c>
      <c r="I3774" s="648" t="s">
        <v>1919</v>
      </c>
      <c r="J3774" s="626" t="s">
        <v>7698</v>
      </c>
      <c r="K3774" s="642">
        <v>1</v>
      </c>
      <c r="L3774" s="640">
        <v>1</v>
      </c>
      <c r="M3774" s="717">
        <f t="shared" si="40"/>
        <v>1100</v>
      </c>
      <c r="N3774" s="654"/>
      <c r="O3774" s="653"/>
      <c r="P3774" s="643"/>
    </row>
    <row r="3775" spans="1:16" s="619" customFormat="1" ht="36" x14ac:dyDescent="0.2">
      <c r="A3775" s="625" t="s">
        <v>7690</v>
      </c>
      <c r="B3775" s="626" t="s">
        <v>1908</v>
      </c>
      <c r="C3775" s="638" t="s">
        <v>7691</v>
      </c>
      <c r="D3775" s="649" t="s">
        <v>6158</v>
      </c>
      <c r="E3775" s="715">
        <v>1100</v>
      </c>
      <c r="F3775" s="626" t="s">
        <v>8276</v>
      </c>
      <c r="G3775" s="648" t="s">
        <v>8277</v>
      </c>
      <c r="H3775" s="649" t="s">
        <v>6158</v>
      </c>
      <c r="I3775" s="648" t="s">
        <v>1919</v>
      </c>
      <c r="J3775" s="626" t="s">
        <v>7698</v>
      </c>
      <c r="K3775" s="642">
        <v>1</v>
      </c>
      <c r="L3775" s="640">
        <v>9</v>
      </c>
      <c r="M3775" s="717">
        <f t="shared" si="40"/>
        <v>9900</v>
      </c>
      <c r="N3775" s="654"/>
      <c r="O3775" s="653"/>
      <c r="P3775" s="643"/>
    </row>
    <row r="3776" spans="1:16" s="619" customFormat="1" ht="36" x14ac:dyDescent="0.2">
      <c r="A3776" s="625" t="s">
        <v>7690</v>
      </c>
      <c r="B3776" s="626" t="s">
        <v>1908</v>
      </c>
      <c r="C3776" s="638" t="s">
        <v>7691</v>
      </c>
      <c r="D3776" s="649" t="s">
        <v>2660</v>
      </c>
      <c r="E3776" s="715">
        <v>1600</v>
      </c>
      <c r="F3776" s="626" t="s">
        <v>8278</v>
      </c>
      <c r="G3776" s="648" t="s">
        <v>8279</v>
      </c>
      <c r="H3776" s="649" t="s">
        <v>2660</v>
      </c>
      <c r="I3776" s="648" t="s">
        <v>2660</v>
      </c>
      <c r="J3776" s="626" t="s">
        <v>3768</v>
      </c>
      <c r="K3776" s="642">
        <v>1</v>
      </c>
      <c r="L3776" s="640">
        <v>12</v>
      </c>
      <c r="M3776" s="717">
        <f t="shared" si="40"/>
        <v>19200</v>
      </c>
      <c r="N3776" s="654"/>
      <c r="O3776" s="653"/>
      <c r="P3776" s="643"/>
    </row>
    <row r="3777" spans="1:16" s="619" customFormat="1" ht="36" x14ac:dyDescent="0.2">
      <c r="A3777" s="625" t="s">
        <v>7690</v>
      </c>
      <c r="B3777" s="626" t="s">
        <v>1908</v>
      </c>
      <c r="C3777" s="638" t="s">
        <v>7691</v>
      </c>
      <c r="D3777" s="649" t="s">
        <v>6158</v>
      </c>
      <c r="E3777" s="715">
        <v>1100</v>
      </c>
      <c r="F3777" s="626" t="s">
        <v>8280</v>
      </c>
      <c r="G3777" s="648" t="s">
        <v>8281</v>
      </c>
      <c r="H3777" s="649" t="s">
        <v>6158</v>
      </c>
      <c r="I3777" s="648" t="s">
        <v>1919</v>
      </c>
      <c r="J3777" s="626" t="s">
        <v>7698</v>
      </c>
      <c r="K3777" s="642">
        <v>1</v>
      </c>
      <c r="L3777" s="640">
        <v>12</v>
      </c>
      <c r="M3777" s="717">
        <f t="shared" si="40"/>
        <v>13200</v>
      </c>
      <c r="N3777" s="654"/>
      <c r="O3777" s="653"/>
      <c r="P3777" s="643"/>
    </row>
    <row r="3778" spans="1:16" s="619" customFormat="1" ht="24" x14ac:dyDescent="0.2">
      <c r="A3778" s="625" t="s">
        <v>7690</v>
      </c>
      <c r="B3778" s="626" t="s">
        <v>1908</v>
      </c>
      <c r="C3778" s="638" t="s">
        <v>7695</v>
      </c>
      <c r="D3778" s="649" t="s">
        <v>7757</v>
      </c>
      <c r="E3778" s="715">
        <v>5500</v>
      </c>
      <c r="F3778" s="626" t="s">
        <v>8282</v>
      </c>
      <c r="G3778" s="648" t="s">
        <v>8283</v>
      </c>
      <c r="H3778" s="649" t="s">
        <v>6092</v>
      </c>
      <c r="I3778" s="648" t="s">
        <v>1993</v>
      </c>
      <c r="J3778" s="626" t="s">
        <v>3768</v>
      </c>
      <c r="K3778" s="642">
        <v>1</v>
      </c>
      <c r="L3778" s="640">
        <v>12</v>
      </c>
      <c r="M3778" s="717">
        <f t="shared" si="40"/>
        <v>66000</v>
      </c>
      <c r="N3778" s="654"/>
      <c r="O3778" s="653"/>
      <c r="P3778" s="643"/>
    </row>
    <row r="3779" spans="1:16" s="619" customFormat="1" ht="36" x14ac:dyDescent="0.2">
      <c r="A3779" s="625" t="s">
        <v>7690</v>
      </c>
      <c r="B3779" s="626" t="s">
        <v>1908</v>
      </c>
      <c r="C3779" s="638" t="s">
        <v>7691</v>
      </c>
      <c r="D3779" s="649" t="s">
        <v>7626</v>
      </c>
      <c r="E3779" s="715">
        <v>1200</v>
      </c>
      <c r="F3779" s="626" t="s">
        <v>8284</v>
      </c>
      <c r="G3779" s="648" t="s">
        <v>8285</v>
      </c>
      <c r="H3779" s="649" t="s">
        <v>7626</v>
      </c>
      <c r="I3779" s="648" t="s">
        <v>7626</v>
      </c>
      <c r="J3779" s="626" t="s">
        <v>3768</v>
      </c>
      <c r="K3779" s="642">
        <v>1</v>
      </c>
      <c r="L3779" s="640">
        <v>12</v>
      </c>
      <c r="M3779" s="717">
        <f t="shared" si="40"/>
        <v>14400</v>
      </c>
      <c r="N3779" s="654"/>
      <c r="O3779" s="653"/>
      <c r="P3779" s="643"/>
    </row>
    <row r="3780" spans="1:16" s="619" customFormat="1" ht="24" x14ac:dyDescent="0.2">
      <c r="A3780" s="625" t="s">
        <v>7690</v>
      </c>
      <c r="B3780" s="626" t="s">
        <v>1908</v>
      </c>
      <c r="C3780" s="638" t="s">
        <v>7691</v>
      </c>
      <c r="D3780" s="649" t="s">
        <v>2660</v>
      </c>
      <c r="E3780" s="715">
        <v>1100</v>
      </c>
      <c r="F3780" s="626" t="s">
        <v>8286</v>
      </c>
      <c r="G3780" s="648" t="s">
        <v>8287</v>
      </c>
      <c r="H3780" s="649" t="s">
        <v>2660</v>
      </c>
      <c r="I3780" s="648" t="s">
        <v>2660</v>
      </c>
      <c r="J3780" s="626" t="s">
        <v>3768</v>
      </c>
      <c r="K3780" s="642">
        <v>1</v>
      </c>
      <c r="L3780" s="640">
        <v>12</v>
      </c>
      <c r="M3780" s="717">
        <f t="shared" si="40"/>
        <v>13200</v>
      </c>
      <c r="N3780" s="654"/>
      <c r="O3780" s="653"/>
      <c r="P3780" s="643"/>
    </row>
    <row r="3781" spans="1:16" s="619" customFormat="1" ht="36" x14ac:dyDescent="0.2">
      <c r="A3781" s="625" t="s">
        <v>7690</v>
      </c>
      <c r="B3781" s="626" t="s">
        <v>1908</v>
      </c>
      <c r="C3781" s="638" t="s">
        <v>7691</v>
      </c>
      <c r="D3781" s="649" t="s">
        <v>2660</v>
      </c>
      <c r="E3781" s="715">
        <v>1200</v>
      </c>
      <c r="F3781" s="626" t="s">
        <v>8288</v>
      </c>
      <c r="G3781" s="648" t="s">
        <v>8289</v>
      </c>
      <c r="H3781" s="649" t="s">
        <v>2660</v>
      </c>
      <c r="I3781" s="648" t="s">
        <v>2660</v>
      </c>
      <c r="J3781" s="626" t="s">
        <v>3768</v>
      </c>
      <c r="K3781" s="642">
        <v>1</v>
      </c>
      <c r="L3781" s="640">
        <v>5</v>
      </c>
      <c r="M3781" s="717">
        <f t="shared" si="40"/>
        <v>6000</v>
      </c>
      <c r="N3781" s="654"/>
      <c r="O3781" s="653"/>
      <c r="P3781" s="643"/>
    </row>
    <row r="3782" spans="1:16" s="619" customFormat="1" ht="24" x14ac:dyDescent="0.2">
      <c r="A3782" s="625" t="s">
        <v>7690</v>
      </c>
      <c r="B3782" s="626" t="s">
        <v>1908</v>
      </c>
      <c r="C3782" s="638" t="s">
        <v>7691</v>
      </c>
      <c r="D3782" s="649" t="s">
        <v>3548</v>
      </c>
      <c r="E3782" s="715">
        <v>1000</v>
      </c>
      <c r="F3782" s="626" t="s">
        <v>8290</v>
      </c>
      <c r="G3782" s="648" t="s">
        <v>8291</v>
      </c>
      <c r="H3782" s="649" t="s">
        <v>3548</v>
      </c>
      <c r="I3782" s="648" t="s">
        <v>1919</v>
      </c>
      <c r="J3782" s="626" t="s">
        <v>7698</v>
      </c>
      <c r="K3782" s="642">
        <v>1</v>
      </c>
      <c r="L3782" s="640">
        <v>12</v>
      </c>
      <c r="M3782" s="717">
        <f t="shared" si="40"/>
        <v>12000</v>
      </c>
      <c r="N3782" s="654"/>
      <c r="O3782" s="653"/>
      <c r="P3782" s="643"/>
    </row>
    <row r="3783" spans="1:16" s="619" customFormat="1" ht="24" x14ac:dyDescent="0.2">
      <c r="A3783" s="625" t="s">
        <v>7690</v>
      </c>
      <c r="B3783" s="626" t="s">
        <v>1908</v>
      </c>
      <c r="C3783" s="638" t="s">
        <v>7695</v>
      </c>
      <c r="D3783" s="626" t="s">
        <v>7757</v>
      </c>
      <c r="E3783" s="715">
        <v>5000</v>
      </c>
      <c r="F3783" s="626" t="s">
        <v>8292</v>
      </c>
      <c r="G3783" s="648" t="s">
        <v>8293</v>
      </c>
      <c r="H3783" s="649" t="s">
        <v>6092</v>
      </c>
      <c r="I3783" s="648" t="s">
        <v>1993</v>
      </c>
      <c r="J3783" s="626" t="s">
        <v>7713</v>
      </c>
      <c r="K3783" s="642">
        <v>1</v>
      </c>
      <c r="L3783" s="640">
        <v>12</v>
      </c>
      <c r="M3783" s="717">
        <f t="shared" si="40"/>
        <v>60000</v>
      </c>
      <c r="N3783" s="654"/>
      <c r="O3783" s="653"/>
      <c r="P3783" s="643"/>
    </row>
    <row r="3784" spans="1:16" s="619" customFormat="1" ht="24" x14ac:dyDescent="0.2">
      <c r="A3784" s="625" t="s">
        <v>7690</v>
      </c>
      <c r="B3784" s="626" t="s">
        <v>1908</v>
      </c>
      <c r="C3784" s="638" t="s">
        <v>7695</v>
      </c>
      <c r="D3784" s="626" t="s">
        <v>3709</v>
      </c>
      <c r="E3784" s="715">
        <v>3000</v>
      </c>
      <c r="F3784" s="626" t="s">
        <v>8294</v>
      </c>
      <c r="G3784" s="648" t="s">
        <v>8295</v>
      </c>
      <c r="H3784" s="649" t="s">
        <v>2660</v>
      </c>
      <c r="I3784" s="648" t="s">
        <v>3709</v>
      </c>
      <c r="J3784" s="626" t="s">
        <v>7713</v>
      </c>
      <c r="K3784" s="642">
        <v>1</v>
      </c>
      <c r="L3784" s="640">
        <v>4</v>
      </c>
      <c r="M3784" s="717">
        <f t="shared" si="40"/>
        <v>12000</v>
      </c>
      <c r="N3784" s="654"/>
      <c r="O3784" s="653"/>
      <c r="P3784" s="643"/>
    </row>
    <row r="3785" spans="1:16" s="619" customFormat="1" ht="36" x14ac:dyDescent="0.2">
      <c r="A3785" s="625" t="s">
        <v>7690</v>
      </c>
      <c r="B3785" s="626" t="s">
        <v>1908</v>
      </c>
      <c r="C3785" s="638" t="s">
        <v>7695</v>
      </c>
      <c r="D3785" s="626" t="s">
        <v>7757</v>
      </c>
      <c r="E3785" s="715">
        <v>5000</v>
      </c>
      <c r="F3785" s="626" t="s">
        <v>8296</v>
      </c>
      <c r="G3785" s="648" t="s">
        <v>8297</v>
      </c>
      <c r="H3785" s="649" t="s">
        <v>6092</v>
      </c>
      <c r="I3785" s="648" t="s">
        <v>1993</v>
      </c>
      <c r="J3785" s="626" t="s">
        <v>7713</v>
      </c>
      <c r="K3785" s="642">
        <v>1</v>
      </c>
      <c r="L3785" s="640">
        <v>5</v>
      </c>
      <c r="M3785" s="717">
        <f t="shared" si="40"/>
        <v>25000</v>
      </c>
      <c r="N3785" s="654"/>
      <c r="O3785" s="653"/>
      <c r="P3785" s="643"/>
    </row>
    <row r="3786" spans="1:16" s="619" customFormat="1" ht="36" x14ac:dyDescent="0.2">
      <c r="A3786" s="625" t="s">
        <v>7690</v>
      </c>
      <c r="B3786" s="626" t="s">
        <v>1908</v>
      </c>
      <c r="C3786" s="638" t="s">
        <v>7691</v>
      </c>
      <c r="D3786" s="626" t="s">
        <v>2660</v>
      </c>
      <c r="E3786" s="715">
        <v>1500</v>
      </c>
      <c r="F3786" s="626" t="s">
        <v>8298</v>
      </c>
      <c r="G3786" s="648" t="s">
        <v>8299</v>
      </c>
      <c r="H3786" s="649" t="s">
        <v>2660</v>
      </c>
      <c r="I3786" s="648" t="s">
        <v>2660</v>
      </c>
      <c r="J3786" s="626" t="s">
        <v>3768</v>
      </c>
      <c r="K3786" s="642">
        <v>1</v>
      </c>
      <c r="L3786" s="640">
        <v>6</v>
      </c>
      <c r="M3786" s="717">
        <f t="shared" si="40"/>
        <v>9000</v>
      </c>
      <c r="N3786" s="654"/>
      <c r="O3786" s="653"/>
      <c r="P3786" s="643"/>
    </row>
    <row r="3787" spans="1:16" s="619" customFormat="1" ht="24" x14ac:dyDescent="0.2">
      <c r="A3787" s="625" t="s">
        <v>7690</v>
      </c>
      <c r="B3787" s="626" t="s">
        <v>1908</v>
      </c>
      <c r="C3787" s="638" t="s">
        <v>7691</v>
      </c>
      <c r="D3787" s="626" t="s">
        <v>7716</v>
      </c>
      <c r="E3787" s="715">
        <v>2000</v>
      </c>
      <c r="F3787" s="626" t="s">
        <v>8300</v>
      </c>
      <c r="G3787" s="648" t="s">
        <v>8301</v>
      </c>
      <c r="H3787" s="649" t="s">
        <v>6092</v>
      </c>
      <c r="I3787" s="648" t="s">
        <v>1993</v>
      </c>
      <c r="J3787" s="626" t="s">
        <v>7713</v>
      </c>
      <c r="K3787" s="642">
        <v>1</v>
      </c>
      <c r="L3787" s="640">
        <v>10</v>
      </c>
      <c r="M3787" s="717">
        <f t="shared" si="40"/>
        <v>20000</v>
      </c>
      <c r="N3787" s="654"/>
      <c r="O3787" s="653"/>
      <c r="P3787" s="643"/>
    </row>
    <row r="3788" spans="1:16" s="619" customFormat="1" ht="24" x14ac:dyDescent="0.2">
      <c r="A3788" s="625" t="s">
        <v>7690</v>
      </c>
      <c r="B3788" s="626" t="s">
        <v>1908</v>
      </c>
      <c r="C3788" s="638" t="s">
        <v>7691</v>
      </c>
      <c r="D3788" s="649" t="s">
        <v>2660</v>
      </c>
      <c r="E3788" s="715">
        <v>1500</v>
      </c>
      <c r="F3788" s="626" t="s">
        <v>8302</v>
      </c>
      <c r="G3788" s="648" t="s">
        <v>8303</v>
      </c>
      <c r="H3788" s="649" t="s">
        <v>2660</v>
      </c>
      <c r="I3788" s="648" t="s">
        <v>2660</v>
      </c>
      <c r="J3788" s="626" t="s">
        <v>7713</v>
      </c>
      <c r="K3788" s="642">
        <v>1</v>
      </c>
      <c r="L3788" s="640">
        <v>12</v>
      </c>
      <c r="M3788" s="717">
        <f t="shared" si="40"/>
        <v>18000</v>
      </c>
      <c r="N3788" s="654"/>
      <c r="O3788" s="653"/>
      <c r="P3788" s="643"/>
    </row>
    <row r="3789" spans="1:16" s="619" customFormat="1" ht="48" x14ac:dyDescent="0.2">
      <c r="A3789" s="625" t="s">
        <v>7690</v>
      </c>
      <c r="B3789" s="626" t="s">
        <v>1908</v>
      </c>
      <c r="C3789" s="638" t="s">
        <v>7691</v>
      </c>
      <c r="D3789" s="626" t="s">
        <v>6198</v>
      </c>
      <c r="E3789" s="715">
        <v>4000</v>
      </c>
      <c r="F3789" s="626" t="s">
        <v>8304</v>
      </c>
      <c r="G3789" s="648" t="s">
        <v>8305</v>
      </c>
      <c r="H3789" s="649" t="s">
        <v>7740</v>
      </c>
      <c r="I3789" s="648" t="s">
        <v>7741</v>
      </c>
      <c r="J3789" s="626" t="s">
        <v>7713</v>
      </c>
      <c r="K3789" s="642">
        <v>1</v>
      </c>
      <c r="L3789" s="640">
        <v>1</v>
      </c>
      <c r="M3789" s="717">
        <f t="shared" si="40"/>
        <v>4000</v>
      </c>
      <c r="N3789" s="654"/>
      <c r="O3789" s="653"/>
      <c r="P3789" s="643"/>
    </row>
    <row r="3790" spans="1:16" s="619" customFormat="1" ht="24" x14ac:dyDescent="0.2">
      <c r="A3790" s="625" t="s">
        <v>7690</v>
      </c>
      <c r="B3790" s="626" t="s">
        <v>1908</v>
      </c>
      <c r="C3790" s="638" t="s">
        <v>7691</v>
      </c>
      <c r="D3790" s="649" t="s">
        <v>2660</v>
      </c>
      <c r="E3790" s="715">
        <v>1500</v>
      </c>
      <c r="F3790" s="626" t="s">
        <v>8306</v>
      </c>
      <c r="G3790" s="648" t="s">
        <v>8307</v>
      </c>
      <c r="H3790" s="649" t="s">
        <v>2660</v>
      </c>
      <c r="I3790" s="648" t="s">
        <v>2660</v>
      </c>
      <c r="J3790" s="626" t="s">
        <v>7713</v>
      </c>
      <c r="K3790" s="642">
        <v>1</v>
      </c>
      <c r="L3790" s="640">
        <v>12</v>
      </c>
      <c r="M3790" s="717">
        <f t="shared" si="40"/>
        <v>18000</v>
      </c>
      <c r="N3790" s="654"/>
      <c r="O3790" s="653"/>
      <c r="P3790" s="643"/>
    </row>
    <row r="3791" spans="1:16" s="619" customFormat="1" ht="36" x14ac:dyDescent="0.2">
      <c r="A3791" s="625" t="s">
        <v>7690</v>
      </c>
      <c r="B3791" s="626" t="s">
        <v>1908</v>
      </c>
      <c r="C3791" s="638" t="s">
        <v>7695</v>
      </c>
      <c r="D3791" s="626" t="s">
        <v>7716</v>
      </c>
      <c r="E3791" s="715">
        <v>4500</v>
      </c>
      <c r="F3791" s="626" t="s">
        <v>8308</v>
      </c>
      <c r="G3791" s="648" t="s">
        <v>8309</v>
      </c>
      <c r="H3791" s="649" t="s">
        <v>6092</v>
      </c>
      <c r="I3791" s="648" t="s">
        <v>1993</v>
      </c>
      <c r="J3791" s="626" t="s">
        <v>7713</v>
      </c>
      <c r="K3791" s="642">
        <v>1</v>
      </c>
      <c r="L3791" s="640">
        <v>12</v>
      </c>
      <c r="M3791" s="717">
        <f t="shared" si="40"/>
        <v>54000</v>
      </c>
      <c r="N3791" s="654"/>
      <c r="O3791" s="653"/>
      <c r="P3791" s="643"/>
    </row>
    <row r="3792" spans="1:16" s="619" customFormat="1" ht="24" x14ac:dyDescent="0.2">
      <c r="A3792" s="625" t="s">
        <v>7690</v>
      </c>
      <c r="B3792" s="626" t="s">
        <v>1908</v>
      </c>
      <c r="C3792" s="638" t="s">
        <v>7691</v>
      </c>
      <c r="D3792" s="649" t="s">
        <v>2660</v>
      </c>
      <c r="E3792" s="715">
        <v>1100</v>
      </c>
      <c r="F3792" s="626" t="s">
        <v>8310</v>
      </c>
      <c r="G3792" s="648" t="s">
        <v>8311</v>
      </c>
      <c r="H3792" s="649" t="s">
        <v>2660</v>
      </c>
      <c r="I3792" s="648" t="s">
        <v>2660</v>
      </c>
      <c r="J3792" s="626" t="s">
        <v>7713</v>
      </c>
      <c r="K3792" s="642">
        <v>1</v>
      </c>
      <c r="L3792" s="640">
        <v>12</v>
      </c>
      <c r="M3792" s="717">
        <f t="shared" si="40"/>
        <v>13200</v>
      </c>
      <c r="N3792" s="654"/>
      <c r="O3792" s="653"/>
      <c r="P3792" s="643"/>
    </row>
    <row r="3793" spans="1:16" s="619" customFormat="1" ht="24" x14ac:dyDescent="0.2">
      <c r="A3793" s="625" t="s">
        <v>7690</v>
      </c>
      <c r="B3793" s="626" t="s">
        <v>1908</v>
      </c>
      <c r="C3793" s="638" t="s">
        <v>7691</v>
      </c>
      <c r="D3793" s="649" t="s">
        <v>2660</v>
      </c>
      <c r="E3793" s="715">
        <v>1200</v>
      </c>
      <c r="F3793" s="626" t="s">
        <v>8312</v>
      </c>
      <c r="G3793" s="648" t="s">
        <v>8313</v>
      </c>
      <c r="H3793" s="649" t="s">
        <v>2660</v>
      </c>
      <c r="I3793" s="648" t="s">
        <v>2660</v>
      </c>
      <c r="J3793" s="626" t="s">
        <v>7713</v>
      </c>
      <c r="K3793" s="642">
        <v>1</v>
      </c>
      <c r="L3793" s="640">
        <v>3</v>
      </c>
      <c r="M3793" s="717">
        <f t="shared" si="40"/>
        <v>3600</v>
      </c>
      <c r="N3793" s="654"/>
      <c r="O3793" s="653"/>
      <c r="P3793" s="643"/>
    </row>
    <row r="3794" spans="1:16" s="619" customFormat="1" ht="24" x14ac:dyDescent="0.2">
      <c r="A3794" s="625" t="s">
        <v>7690</v>
      </c>
      <c r="B3794" s="626" t="s">
        <v>1908</v>
      </c>
      <c r="C3794" s="638" t="s">
        <v>7695</v>
      </c>
      <c r="D3794" s="649" t="s">
        <v>7716</v>
      </c>
      <c r="E3794" s="715">
        <v>4000</v>
      </c>
      <c r="F3794" s="626" t="s">
        <v>8314</v>
      </c>
      <c r="G3794" s="648" t="s">
        <v>8315</v>
      </c>
      <c r="H3794" s="649" t="s">
        <v>6092</v>
      </c>
      <c r="I3794" s="648" t="s">
        <v>1993</v>
      </c>
      <c r="J3794" s="626" t="s">
        <v>7713</v>
      </c>
      <c r="K3794" s="642">
        <v>1</v>
      </c>
      <c r="L3794" s="640">
        <v>12</v>
      </c>
      <c r="M3794" s="717">
        <f t="shared" si="40"/>
        <v>48000</v>
      </c>
      <c r="N3794" s="654"/>
      <c r="O3794" s="653"/>
      <c r="P3794" s="643"/>
    </row>
    <row r="3795" spans="1:16" s="619" customFormat="1" ht="36" x14ac:dyDescent="0.2">
      <c r="A3795" s="625" t="s">
        <v>7690</v>
      </c>
      <c r="B3795" s="626" t="s">
        <v>1908</v>
      </c>
      <c r="C3795" s="638" t="s">
        <v>7695</v>
      </c>
      <c r="D3795" s="649" t="s">
        <v>7740</v>
      </c>
      <c r="E3795" s="715">
        <v>5000</v>
      </c>
      <c r="F3795" s="626" t="s">
        <v>8316</v>
      </c>
      <c r="G3795" s="648" t="s">
        <v>8317</v>
      </c>
      <c r="H3795" s="649" t="s">
        <v>7740</v>
      </c>
      <c r="I3795" s="648" t="s">
        <v>7741</v>
      </c>
      <c r="J3795" s="626" t="s">
        <v>7713</v>
      </c>
      <c r="K3795" s="642">
        <v>1</v>
      </c>
      <c r="L3795" s="640">
        <v>12</v>
      </c>
      <c r="M3795" s="717">
        <f t="shared" si="40"/>
        <v>60000</v>
      </c>
      <c r="N3795" s="654"/>
      <c r="O3795" s="653"/>
      <c r="P3795" s="643"/>
    </row>
    <row r="3796" spans="1:16" s="619" customFormat="1" ht="36" x14ac:dyDescent="0.2">
      <c r="A3796" s="625" t="s">
        <v>7690</v>
      </c>
      <c r="B3796" s="626" t="s">
        <v>1908</v>
      </c>
      <c r="C3796" s="638" t="s">
        <v>7691</v>
      </c>
      <c r="D3796" s="649" t="s">
        <v>6114</v>
      </c>
      <c r="E3796" s="715">
        <v>1200</v>
      </c>
      <c r="F3796" s="626" t="s">
        <v>8318</v>
      </c>
      <c r="G3796" s="648" t="s">
        <v>8319</v>
      </c>
      <c r="H3796" s="649" t="s">
        <v>6114</v>
      </c>
      <c r="I3796" s="648" t="s">
        <v>6114</v>
      </c>
      <c r="J3796" s="626" t="s">
        <v>7713</v>
      </c>
      <c r="K3796" s="642">
        <v>1</v>
      </c>
      <c r="L3796" s="640">
        <v>12</v>
      </c>
      <c r="M3796" s="717">
        <f t="shared" si="40"/>
        <v>14400</v>
      </c>
      <c r="N3796" s="654"/>
      <c r="O3796" s="653"/>
      <c r="P3796" s="643"/>
    </row>
    <row r="3797" spans="1:16" s="619" customFormat="1" ht="36" x14ac:dyDescent="0.2">
      <c r="A3797" s="625" t="s">
        <v>7690</v>
      </c>
      <c r="B3797" s="626" t="s">
        <v>1908</v>
      </c>
      <c r="C3797" s="638" t="s">
        <v>7691</v>
      </c>
      <c r="D3797" s="649" t="s">
        <v>2660</v>
      </c>
      <c r="E3797" s="715">
        <v>1000</v>
      </c>
      <c r="F3797" s="626" t="s">
        <v>8320</v>
      </c>
      <c r="G3797" s="648" t="s">
        <v>8321</v>
      </c>
      <c r="H3797" s="649" t="s">
        <v>2660</v>
      </c>
      <c r="I3797" s="648" t="s">
        <v>2660</v>
      </c>
      <c r="J3797" s="626" t="s">
        <v>7713</v>
      </c>
      <c r="K3797" s="642">
        <v>1</v>
      </c>
      <c r="L3797" s="640">
        <v>12</v>
      </c>
      <c r="M3797" s="717">
        <f t="shared" si="40"/>
        <v>12000</v>
      </c>
      <c r="N3797" s="654"/>
      <c r="O3797" s="653"/>
      <c r="P3797" s="643"/>
    </row>
    <row r="3798" spans="1:16" s="619" customFormat="1" ht="24" x14ac:dyDescent="0.2">
      <c r="A3798" s="625" t="s">
        <v>7690</v>
      </c>
      <c r="B3798" s="626" t="s">
        <v>1908</v>
      </c>
      <c r="C3798" s="638" t="s">
        <v>7691</v>
      </c>
      <c r="D3798" s="649" t="s">
        <v>2660</v>
      </c>
      <c r="E3798" s="715">
        <v>1100</v>
      </c>
      <c r="F3798" s="626" t="s">
        <v>8322</v>
      </c>
      <c r="G3798" s="648" t="s">
        <v>8323</v>
      </c>
      <c r="H3798" s="649" t="s">
        <v>2660</v>
      </c>
      <c r="I3798" s="648" t="s">
        <v>2660</v>
      </c>
      <c r="J3798" s="626" t="s">
        <v>7713</v>
      </c>
      <c r="K3798" s="642">
        <v>1</v>
      </c>
      <c r="L3798" s="640">
        <v>12</v>
      </c>
      <c r="M3798" s="717">
        <f t="shared" si="40"/>
        <v>13200</v>
      </c>
      <c r="N3798" s="654"/>
      <c r="O3798" s="653"/>
      <c r="P3798" s="643"/>
    </row>
    <row r="3799" spans="1:16" s="619" customFormat="1" ht="36" x14ac:dyDescent="0.2">
      <c r="A3799" s="625" t="s">
        <v>7690</v>
      </c>
      <c r="B3799" s="626" t="s">
        <v>1908</v>
      </c>
      <c r="C3799" s="638" t="s">
        <v>7691</v>
      </c>
      <c r="D3799" s="626" t="s">
        <v>7752</v>
      </c>
      <c r="E3799" s="715">
        <v>1100</v>
      </c>
      <c r="F3799" s="626" t="s">
        <v>8324</v>
      </c>
      <c r="G3799" s="648" t="s">
        <v>8325</v>
      </c>
      <c r="H3799" s="649" t="s">
        <v>6158</v>
      </c>
      <c r="I3799" s="648" t="s">
        <v>1919</v>
      </c>
      <c r="J3799" s="626" t="s">
        <v>7698</v>
      </c>
      <c r="K3799" s="642">
        <v>1</v>
      </c>
      <c r="L3799" s="640">
        <v>9</v>
      </c>
      <c r="M3799" s="717">
        <f t="shared" si="40"/>
        <v>9900</v>
      </c>
      <c r="N3799" s="654"/>
      <c r="O3799" s="653"/>
      <c r="P3799" s="643"/>
    </row>
    <row r="3800" spans="1:16" s="619" customFormat="1" ht="24" x14ac:dyDescent="0.2">
      <c r="A3800" s="625" t="s">
        <v>7690</v>
      </c>
      <c r="B3800" s="626" t="s">
        <v>1908</v>
      </c>
      <c r="C3800" s="638" t="s">
        <v>7691</v>
      </c>
      <c r="D3800" s="649" t="s">
        <v>2660</v>
      </c>
      <c r="E3800" s="715">
        <v>1100</v>
      </c>
      <c r="F3800" s="626" t="s">
        <v>8326</v>
      </c>
      <c r="G3800" s="648" t="s">
        <v>8327</v>
      </c>
      <c r="H3800" s="649" t="s">
        <v>2660</v>
      </c>
      <c r="I3800" s="648" t="s">
        <v>2660</v>
      </c>
      <c r="J3800" s="626" t="s">
        <v>7713</v>
      </c>
      <c r="K3800" s="642">
        <v>1</v>
      </c>
      <c r="L3800" s="640">
        <v>9</v>
      </c>
      <c r="M3800" s="717">
        <f t="shared" si="40"/>
        <v>9900</v>
      </c>
      <c r="N3800" s="654"/>
      <c r="O3800" s="653"/>
      <c r="P3800" s="643"/>
    </row>
    <row r="3801" spans="1:16" s="619" customFormat="1" ht="36" x14ac:dyDescent="0.2">
      <c r="A3801" s="625" t="s">
        <v>7690</v>
      </c>
      <c r="B3801" s="626" t="s">
        <v>1908</v>
      </c>
      <c r="C3801" s="638" t="s">
        <v>7691</v>
      </c>
      <c r="D3801" s="649" t="s">
        <v>7740</v>
      </c>
      <c r="E3801" s="715">
        <v>4500</v>
      </c>
      <c r="F3801" s="626" t="s">
        <v>8328</v>
      </c>
      <c r="G3801" s="648" t="s">
        <v>8329</v>
      </c>
      <c r="H3801" s="649" t="s">
        <v>7740</v>
      </c>
      <c r="I3801" s="648" t="s">
        <v>7741</v>
      </c>
      <c r="J3801" s="626" t="s">
        <v>7713</v>
      </c>
      <c r="K3801" s="642">
        <v>1</v>
      </c>
      <c r="L3801" s="640">
        <v>12</v>
      </c>
      <c r="M3801" s="717">
        <f t="shared" si="40"/>
        <v>54000</v>
      </c>
      <c r="N3801" s="654"/>
      <c r="O3801" s="653"/>
      <c r="P3801" s="643"/>
    </row>
    <row r="3802" spans="1:16" s="619" customFormat="1" ht="24" x14ac:dyDescent="0.2">
      <c r="A3802" s="625" t="s">
        <v>7690</v>
      </c>
      <c r="B3802" s="626" t="s">
        <v>1908</v>
      </c>
      <c r="C3802" s="638" t="s">
        <v>7691</v>
      </c>
      <c r="D3802" s="649" t="s">
        <v>2660</v>
      </c>
      <c r="E3802" s="715">
        <v>1000</v>
      </c>
      <c r="F3802" s="626" t="s">
        <v>8330</v>
      </c>
      <c r="G3802" s="648" t="s">
        <v>8331</v>
      </c>
      <c r="H3802" s="649" t="s">
        <v>2660</v>
      </c>
      <c r="I3802" s="648" t="s">
        <v>2660</v>
      </c>
      <c r="J3802" s="626" t="s">
        <v>7713</v>
      </c>
      <c r="K3802" s="642">
        <v>1</v>
      </c>
      <c r="L3802" s="640">
        <v>12</v>
      </c>
      <c r="M3802" s="717">
        <f t="shared" si="40"/>
        <v>12000</v>
      </c>
      <c r="N3802" s="654"/>
      <c r="O3802" s="653"/>
      <c r="P3802" s="643"/>
    </row>
    <row r="3803" spans="1:16" s="619" customFormat="1" ht="36" x14ac:dyDescent="0.2">
      <c r="A3803" s="625" t="s">
        <v>7690</v>
      </c>
      <c r="B3803" s="626" t="s">
        <v>1908</v>
      </c>
      <c r="C3803" s="638" t="s">
        <v>7691</v>
      </c>
      <c r="D3803" s="649" t="s">
        <v>2660</v>
      </c>
      <c r="E3803" s="715">
        <v>1209.68</v>
      </c>
      <c r="F3803" s="626" t="s">
        <v>8332</v>
      </c>
      <c r="G3803" s="648" t="s">
        <v>8333</v>
      </c>
      <c r="H3803" s="649" t="s">
        <v>2660</v>
      </c>
      <c r="I3803" s="648" t="s">
        <v>2660</v>
      </c>
      <c r="J3803" s="626" t="s">
        <v>7713</v>
      </c>
      <c r="K3803" s="642">
        <v>1</v>
      </c>
      <c r="L3803" s="640">
        <v>1</v>
      </c>
      <c r="M3803" s="717">
        <f t="shared" si="40"/>
        <v>1209.68</v>
      </c>
      <c r="N3803" s="654"/>
      <c r="O3803" s="653"/>
      <c r="P3803" s="643"/>
    </row>
    <row r="3804" spans="1:16" s="619" customFormat="1" ht="36" x14ac:dyDescent="0.2">
      <c r="A3804" s="625" t="s">
        <v>7690</v>
      </c>
      <c r="B3804" s="626" t="s">
        <v>1908</v>
      </c>
      <c r="C3804" s="638" t="s">
        <v>7691</v>
      </c>
      <c r="D3804" s="649" t="s">
        <v>6114</v>
      </c>
      <c r="E3804" s="715">
        <v>1200</v>
      </c>
      <c r="F3804" s="626" t="s">
        <v>8334</v>
      </c>
      <c r="G3804" s="648" t="s">
        <v>8335</v>
      </c>
      <c r="H3804" s="649" t="s">
        <v>6114</v>
      </c>
      <c r="I3804" s="648" t="s">
        <v>6114</v>
      </c>
      <c r="J3804" s="626" t="s">
        <v>7713</v>
      </c>
      <c r="K3804" s="642">
        <v>1</v>
      </c>
      <c r="L3804" s="640">
        <v>12</v>
      </c>
      <c r="M3804" s="717">
        <f t="shared" si="40"/>
        <v>14400</v>
      </c>
      <c r="N3804" s="654"/>
      <c r="O3804" s="653"/>
      <c r="P3804" s="643"/>
    </row>
    <row r="3805" spans="1:16" s="619" customFormat="1" ht="36" x14ac:dyDescent="0.2">
      <c r="A3805" s="625" t="s">
        <v>7690</v>
      </c>
      <c r="B3805" s="626" t="s">
        <v>1908</v>
      </c>
      <c r="C3805" s="638" t="s">
        <v>7691</v>
      </c>
      <c r="D3805" s="649" t="s">
        <v>6738</v>
      </c>
      <c r="E3805" s="715">
        <v>9000</v>
      </c>
      <c r="F3805" s="626" t="s">
        <v>8336</v>
      </c>
      <c r="G3805" s="648" t="s">
        <v>8337</v>
      </c>
      <c r="H3805" s="649" t="s">
        <v>6738</v>
      </c>
      <c r="I3805" s="648" t="s">
        <v>6738</v>
      </c>
      <c r="J3805" s="626" t="s">
        <v>7713</v>
      </c>
      <c r="K3805" s="642">
        <v>1</v>
      </c>
      <c r="L3805" s="640">
        <v>6</v>
      </c>
      <c r="M3805" s="717">
        <f t="shared" si="40"/>
        <v>54000</v>
      </c>
      <c r="N3805" s="654"/>
      <c r="O3805" s="653"/>
      <c r="P3805" s="643"/>
    </row>
    <row r="3806" spans="1:16" s="619" customFormat="1" ht="24" x14ac:dyDescent="0.2">
      <c r="A3806" s="625" t="s">
        <v>7690</v>
      </c>
      <c r="B3806" s="626" t="s">
        <v>1908</v>
      </c>
      <c r="C3806" s="638" t="s">
        <v>7691</v>
      </c>
      <c r="D3806" s="649" t="s">
        <v>6876</v>
      </c>
      <c r="E3806" s="715">
        <v>1100</v>
      </c>
      <c r="F3806" s="626" t="s">
        <v>8338</v>
      </c>
      <c r="G3806" s="648" t="s">
        <v>8339</v>
      </c>
      <c r="H3806" s="649" t="s">
        <v>6876</v>
      </c>
      <c r="I3806" s="648" t="s">
        <v>1919</v>
      </c>
      <c r="J3806" s="626" t="s">
        <v>7698</v>
      </c>
      <c r="K3806" s="642">
        <v>1</v>
      </c>
      <c r="L3806" s="640">
        <v>12</v>
      </c>
      <c r="M3806" s="717">
        <f t="shared" si="40"/>
        <v>13200</v>
      </c>
      <c r="N3806" s="654"/>
      <c r="O3806" s="653"/>
      <c r="P3806" s="643"/>
    </row>
    <row r="3807" spans="1:16" s="619" customFormat="1" ht="24" x14ac:dyDescent="0.2">
      <c r="A3807" s="625" t="s">
        <v>7690</v>
      </c>
      <c r="B3807" s="626" t="s">
        <v>1908</v>
      </c>
      <c r="C3807" s="638" t="s">
        <v>7691</v>
      </c>
      <c r="D3807" s="649" t="s">
        <v>3548</v>
      </c>
      <c r="E3807" s="715">
        <v>1000</v>
      </c>
      <c r="F3807" s="626" t="s">
        <v>8340</v>
      </c>
      <c r="G3807" s="648" t="s">
        <v>8341</v>
      </c>
      <c r="H3807" s="649" t="s">
        <v>3548</v>
      </c>
      <c r="I3807" s="648" t="s">
        <v>1919</v>
      </c>
      <c r="J3807" s="626" t="s">
        <v>7698</v>
      </c>
      <c r="K3807" s="642">
        <v>1</v>
      </c>
      <c r="L3807" s="640">
        <v>12</v>
      </c>
      <c r="M3807" s="717">
        <f t="shared" si="40"/>
        <v>12000</v>
      </c>
      <c r="N3807" s="654"/>
      <c r="O3807" s="653"/>
      <c r="P3807" s="643"/>
    </row>
    <row r="3808" spans="1:16" s="619" customFormat="1" ht="24" x14ac:dyDescent="0.2">
      <c r="A3808" s="625" t="s">
        <v>7690</v>
      </c>
      <c r="B3808" s="626" t="s">
        <v>1908</v>
      </c>
      <c r="C3808" s="638" t="s">
        <v>7691</v>
      </c>
      <c r="D3808" s="649" t="s">
        <v>6876</v>
      </c>
      <c r="E3808" s="715">
        <v>1200</v>
      </c>
      <c r="F3808" s="626" t="s">
        <v>8342</v>
      </c>
      <c r="G3808" s="648" t="s">
        <v>3563</v>
      </c>
      <c r="H3808" s="649" t="s">
        <v>6876</v>
      </c>
      <c r="I3808" s="648" t="s">
        <v>1919</v>
      </c>
      <c r="J3808" s="626" t="s">
        <v>7698</v>
      </c>
      <c r="K3808" s="642">
        <v>1</v>
      </c>
      <c r="L3808" s="640">
        <v>4</v>
      </c>
      <c r="M3808" s="717">
        <f t="shared" si="40"/>
        <v>4800</v>
      </c>
      <c r="N3808" s="654"/>
      <c r="O3808" s="653"/>
      <c r="P3808" s="643"/>
    </row>
    <row r="3809" spans="1:16" s="619" customFormat="1" ht="48" x14ac:dyDescent="0.2">
      <c r="A3809" s="625" t="s">
        <v>7690</v>
      </c>
      <c r="B3809" s="626" t="s">
        <v>1908</v>
      </c>
      <c r="C3809" s="638" t="s">
        <v>7691</v>
      </c>
      <c r="D3809" s="626" t="s">
        <v>8343</v>
      </c>
      <c r="E3809" s="715">
        <v>1300</v>
      </c>
      <c r="F3809" s="626" t="s">
        <v>8344</v>
      </c>
      <c r="G3809" s="648" t="s">
        <v>8345</v>
      </c>
      <c r="H3809" s="649" t="s">
        <v>6114</v>
      </c>
      <c r="I3809" s="648" t="s">
        <v>6114</v>
      </c>
      <c r="J3809" s="626" t="s">
        <v>7713</v>
      </c>
      <c r="K3809" s="642">
        <v>1</v>
      </c>
      <c r="L3809" s="640">
        <v>12</v>
      </c>
      <c r="M3809" s="717">
        <f t="shared" si="40"/>
        <v>15600</v>
      </c>
      <c r="N3809" s="654"/>
      <c r="O3809" s="653"/>
      <c r="P3809" s="643"/>
    </row>
    <row r="3810" spans="1:16" s="619" customFormat="1" ht="48" x14ac:dyDescent="0.2">
      <c r="A3810" s="625" t="s">
        <v>7690</v>
      </c>
      <c r="B3810" s="626" t="s">
        <v>1908</v>
      </c>
      <c r="C3810" s="638" t="s">
        <v>7691</v>
      </c>
      <c r="D3810" s="626" t="s">
        <v>7626</v>
      </c>
      <c r="E3810" s="715">
        <v>1200</v>
      </c>
      <c r="F3810" s="626" t="s">
        <v>8346</v>
      </c>
      <c r="G3810" s="648" t="s">
        <v>8347</v>
      </c>
      <c r="H3810" s="649" t="s">
        <v>7626</v>
      </c>
      <c r="I3810" s="648" t="s">
        <v>7626</v>
      </c>
      <c r="J3810" s="626" t="s">
        <v>3768</v>
      </c>
      <c r="K3810" s="642">
        <v>1</v>
      </c>
      <c r="L3810" s="640">
        <v>12</v>
      </c>
      <c r="M3810" s="717">
        <f t="shared" si="40"/>
        <v>14400</v>
      </c>
      <c r="N3810" s="654"/>
      <c r="O3810" s="653"/>
      <c r="P3810" s="643"/>
    </row>
    <row r="3811" spans="1:16" s="619" customFormat="1" ht="36" x14ac:dyDescent="0.2">
      <c r="A3811" s="625" t="s">
        <v>7690</v>
      </c>
      <c r="B3811" s="626" t="s">
        <v>1908</v>
      </c>
      <c r="C3811" s="638" t="s">
        <v>7695</v>
      </c>
      <c r="D3811" s="626" t="s">
        <v>6179</v>
      </c>
      <c r="E3811" s="715">
        <v>8000</v>
      </c>
      <c r="F3811" s="626" t="s">
        <v>8348</v>
      </c>
      <c r="G3811" s="648" t="s">
        <v>8349</v>
      </c>
      <c r="H3811" s="649" t="s">
        <v>6179</v>
      </c>
      <c r="I3811" s="648" t="s">
        <v>6182</v>
      </c>
      <c r="J3811" s="626" t="s">
        <v>3768</v>
      </c>
      <c r="K3811" s="642">
        <v>1</v>
      </c>
      <c r="L3811" s="640">
        <v>12</v>
      </c>
      <c r="M3811" s="717">
        <f t="shared" si="40"/>
        <v>96000</v>
      </c>
      <c r="N3811" s="654"/>
      <c r="O3811" s="653"/>
      <c r="P3811" s="643"/>
    </row>
    <row r="3812" spans="1:16" s="619" customFormat="1" ht="24" x14ac:dyDescent="0.2">
      <c r="A3812" s="625" t="s">
        <v>7690</v>
      </c>
      <c r="B3812" s="626" t="s">
        <v>1908</v>
      </c>
      <c r="C3812" s="638" t="s">
        <v>7691</v>
      </c>
      <c r="D3812" s="626" t="s">
        <v>6876</v>
      </c>
      <c r="E3812" s="715">
        <v>1500</v>
      </c>
      <c r="F3812" s="626" t="s">
        <v>8350</v>
      </c>
      <c r="G3812" s="648" t="s">
        <v>8351</v>
      </c>
      <c r="H3812" s="649" t="s">
        <v>6876</v>
      </c>
      <c r="I3812" s="648" t="s">
        <v>1919</v>
      </c>
      <c r="J3812" s="626" t="s">
        <v>7698</v>
      </c>
      <c r="K3812" s="642">
        <v>1</v>
      </c>
      <c r="L3812" s="640">
        <v>12</v>
      </c>
      <c r="M3812" s="717">
        <f t="shared" si="40"/>
        <v>18000</v>
      </c>
      <c r="N3812" s="654"/>
      <c r="O3812" s="653"/>
      <c r="P3812" s="643"/>
    </row>
    <row r="3813" spans="1:16" s="619" customFormat="1" ht="24" x14ac:dyDescent="0.2">
      <c r="A3813" s="625" t="s">
        <v>7690</v>
      </c>
      <c r="B3813" s="626" t="s">
        <v>1908</v>
      </c>
      <c r="C3813" s="638" t="s">
        <v>7691</v>
      </c>
      <c r="D3813" s="626" t="s">
        <v>2660</v>
      </c>
      <c r="E3813" s="715">
        <v>2000</v>
      </c>
      <c r="F3813" s="626" t="s">
        <v>8352</v>
      </c>
      <c r="G3813" s="648" t="s">
        <v>8353</v>
      </c>
      <c r="H3813" s="649" t="s">
        <v>2660</v>
      </c>
      <c r="I3813" s="648" t="s">
        <v>2660</v>
      </c>
      <c r="J3813" s="626" t="s">
        <v>7713</v>
      </c>
      <c r="K3813" s="642">
        <v>1</v>
      </c>
      <c r="L3813" s="640">
        <v>12</v>
      </c>
      <c r="M3813" s="717">
        <f t="shared" si="40"/>
        <v>24000</v>
      </c>
      <c r="N3813" s="654"/>
      <c r="O3813" s="653"/>
      <c r="P3813" s="643"/>
    </row>
    <row r="3814" spans="1:16" s="619" customFormat="1" ht="36" x14ac:dyDescent="0.2">
      <c r="A3814" s="625" t="s">
        <v>7690</v>
      </c>
      <c r="B3814" s="626" t="s">
        <v>1908</v>
      </c>
      <c r="C3814" s="638" t="s">
        <v>7695</v>
      </c>
      <c r="D3814" s="626" t="s">
        <v>7716</v>
      </c>
      <c r="E3814" s="715">
        <v>5000</v>
      </c>
      <c r="F3814" s="626" t="s">
        <v>8354</v>
      </c>
      <c r="G3814" s="648" t="s">
        <v>8355</v>
      </c>
      <c r="H3814" s="649" t="s">
        <v>6092</v>
      </c>
      <c r="I3814" s="648" t="s">
        <v>1993</v>
      </c>
      <c r="J3814" s="626" t="s">
        <v>7713</v>
      </c>
      <c r="K3814" s="642">
        <v>1</v>
      </c>
      <c r="L3814" s="640">
        <v>2</v>
      </c>
      <c r="M3814" s="717">
        <f t="shared" si="40"/>
        <v>10000</v>
      </c>
      <c r="N3814" s="654"/>
      <c r="O3814" s="653"/>
      <c r="P3814" s="643"/>
    </row>
    <row r="3815" spans="1:16" s="619" customFormat="1" ht="36" x14ac:dyDescent="0.2">
      <c r="A3815" s="625" t="s">
        <v>7690</v>
      </c>
      <c r="B3815" s="626" t="s">
        <v>1908</v>
      </c>
      <c r="C3815" s="638" t="s">
        <v>7691</v>
      </c>
      <c r="D3815" s="626" t="s">
        <v>7716</v>
      </c>
      <c r="E3815" s="715">
        <v>4350</v>
      </c>
      <c r="F3815" s="626" t="s">
        <v>8356</v>
      </c>
      <c r="G3815" s="648" t="s">
        <v>8357</v>
      </c>
      <c r="H3815" s="649" t="s">
        <v>6092</v>
      </c>
      <c r="I3815" s="648" t="s">
        <v>1993</v>
      </c>
      <c r="J3815" s="626" t="s">
        <v>7713</v>
      </c>
      <c r="K3815" s="642">
        <v>1</v>
      </c>
      <c r="L3815" s="640">
        <v>2</v>
      </c>
      <c r="M3815" s="717">
        <f t="shared" si="40"/>
        <v>8700</v>
      </c>
      <c r="N3815" s="654"/>
      <c r="O3815" s="653"/>
      <c r="P3815" s="643"/>
    </row>
    <row r="3816" spans="1:16" s="619" customFormat="1" ht="24" x14ac:dyDescent="0.2">
      <c r="A3816" s="625" t="s">
        <v>7690</v>
      </c>
      <c r="B3816" s="626" t="s">
        <v>1908</v>
      </c>
      <c r="C3816" s="638" t="s">
        <v>7691</v>
      </c>
      <c r="D3816" s="649" t="s">
        <v>2660</v>
      </c>
      <c r="E3816" s="715">
        <v>1600</v>
      </c>
      <c r="F3816" s="626" t="s">
        <v>8358</v>
      </c>
      <c r="G3816" s="648" t="s">
        <v>8359</v>
      </c>
      <c r="H3816" s="649" t="s">
        <v>2660</v>
      </c>
      <c r="I3816" s="648" t="s">
        <v>2660</v>
      </c>
      <c r="J3816" s="626" t="s">
        <v>3768</v>
      </c>
      <c r="K3816" s="642">
        <v>1</v>
      </c>
      <c r="L3816" s="640">
        <v>4</v>
      </c>
      <c r="M3816" s="717">
        <f t="shared" si="40"/>
        <v>6400</v>
      </c>
      <c r="N3816" s="654"/>
      <c r="O3816" s="653"/>
      <c r="P3816" s="643"/>
    </row>
    <row r="3817" spans="1:16" s="619" customFormat="1" ht="24" x14ac:dyDescent="0.2">
      <c r="A3817" s="625" t="s">
        <v>7690</v>
      </c>
      <c r="B3817" s="626" t="s">
        <v>1908</v>
      </c>
      <c r="C3817" s="638" t="s">
        <v>7695</v>
      </c>
      <c r="D3817" s="649" t="s">
        <v>2660</v>
      </c>
      <c r="E3817" s="715">
        <v>1600</v>
      </c>
      <c r="F3817" s="626" t="s">
        <v>8360</v>
      </c>
      <c r="G3817" s="648" t="s">
        <v>8361</v>
      </c>
      <c r="H3817" s="649" t="s">
        <v>2660</v>
      </c>
      <c r="I3817" s="648" t="s">
        <v>2660</v>
      </c>
      <c r="J3817" s="626" t="s">
        <v>3768</v>
      </c>
      <c r="K3817" s="642">
        <v>1</v>
      </c>
      <c r="L3817" s="640">
        <v>12</v>
      </c>
      <c r="M3817" s="717">
        <f t="shared" si="40"/>
        <v>19200</v>
      </c>
      <c r="N3817" s="654"/>
      <c r="O3817" s="653"/>
      <c r="P3817" s="643"/>
    </row>
    <row r="3818" spans="1:16" s="619" customFormat="1" ht="24" x14ac:dyDescent="0.2">
      <c r="A3818" s="625" t="s">
        <v>7690</v>
      </c>
      <c r="B3818" s="626" t="s">
        <v>1908</v>
      </c>
      <c r="C3818" s="638" t="s">
        <v>7691</v>
      </c>
      <c r="D3818" s="649" t="s">
        <v>2660</v>
      </c>
      <c r="E3818" s="715">
        <v>1500</v>
      </c>
      <c r="F3818" s="626" t="s">
        <v>8362</v>
      </c>
      <c r="G3818" s="648" t="s">
        <v>8363</v>
      </c>
      <c r="H3818" s="649" t="s">
        <v>2660</v>
      </c>
      <c r="I3818" s="648" t="s">
        <v>2660</v>
      </c>
      <c r="J3818" s="626" t="s">
        <v>3768</v>
      </c>
      <c r="K3818" s="642">
        <v>1</v>
      </c>
      <c r="L3818" s="640">
        <v>3</v>
      </c>
      <c r="M3818" s="717">
        <f t="shared" si="40"/>
        <v>4500</v>
      </c>
      <c r="N3818" s="654"/>
      <c r="O3818" s="653"/>
      <c r="P3818" s="643"/>
    </row>
    <row r="3819" spans="1:16" s="619" customFormat="1" ht="24" x14ac:dyDescent="0.2">
      <c r="A3819" s="625" t="s">
        <v>7690</v>
      </c>
      <c r="B3819" s="626" t="s">
        <v>1908</v>
      </c>
      <c r="C3819" s="638" t="s">
        <v>7691</v>
      </c>
      <c r="D3819" s="626" t="s">
        <v>6876</v>
      </c>
      <c r="E3819" s="715">
        <v>1500</v>
      </c>
      <c r="F3819" s="626" t="s">
        <v>8364</v>
      </c>
      <c r="G3819" s="648" t="s">
        <v>8365</v>
      </c>
      <c r="H3819" s="649" t="s">
        <v>6026</v>
      </c>
      <c r="I3819" s="648" t="s">
        <v>1919</v>
      </c>
      <c r="J3819" s="626" t="s">
        <v>7698</v>
      </c>
      <c r="K3819" s="642">
        <v>1</v>
      </c>
      <c r="L3819" s="640">
        <v>12</v>
      </c>
      <c r="M3819" s="717">
        <f t="shared" si="40"/>
        <v>18000</v>
      </c>
      <c r="N3819" s="654"/>
      <c r="O3819" s="653"/>
      <c r="P3819" s="643"/>
    </row>
    <row r="3820" spans="1:16" s="619" customFormat="1" ht="36" x14ac:dyDescent="0.2">
      <c r="A3820" s="625" t="s">
        <v>7690</v>
      </c>
      <c r="B3820" s="626" t="s">
        <v>1908</v>
      </c>
      <c r="C3820" s="638" t="s">
        <v>7691</v>
      </c>
      <c r="D3820" s="626" t="s">
        <v>6198</v>
      </c>
      <c r="E3820" s="715">
        <v>4000</v>
      </c>
      <c r="F3820" s="626" t="s">
        <v>8366</v>
      </c>
      <c r="G3820" s="648" t="s">
        <v>8367</v>
      </c>
      <c r="H3820" s="649" t="s">
        <v>7740</v>
      </c>
      <c r="I3820" s="648" t="s">
        <v>7741</v>
      </c>
      <c r="J3820" s="626" t="s">
        <v>7713</v>
      </c>
      <c r="K3820" s="642">
        <v>1</v>
      </c>
      <c r="L3820" s="640">
        <v>2</v>
      </c>
      <c r="M3820" s="717">
        <f t="shared" si="40"/>
        <v>8000</v>
      </c>
      <c r="N3820" s="654"/>
      <c r="O3820" s="653"/>
      <c r="P3820" s="643"/>
    </row>
    <row r="3821" spans="1:16" s="619" customFormat="1" ht="24" x14ac:dyDescent="0.2">
      <c r="A3821" s="625" t="s">
        <v>7690</v>
      </c>
      <c r="B3821" s="626" t="s">
        <v>1908</v>
      </c>
      <c r="C3821" s="638" t="s">
        <v>7695</v>
      </c>
      <c r="D3821" s="626" t="s">
        <v>3709</v>
      </c>
      <c r="E3821" s="715">
        <v>1500</v>
      </c>
      <c r="F3821" s="626" t="s">
        <v>8368</v>
      </c>
      <c r="G3821" s="648" t="s">
        <v>8369</v>
      </c>
      <c r="H3821" s="649" t="s">
        <v>2660</v>
      </c>
      <c r="I3821" s="648" t="s">
        <v>2660</v>
      </c>
      <c r="J3821" s="626" t="s">
        <v>7713</v>
      </c>
      <c r="K3821" s="642">
        <v>1</v>
      </c>
      <c r="L3821" s="640">
        <v>12</v>
      </c>
      <c r="M3821" s="717">
        <f t="shared" si="40"/>
        <v>18000</v>
      </c>
      <c r="N3821" s="654"/>
      <c r="O3821" s="653"/>
      <c r="P3821" s="643"/>
    </row>
    <row r="3822" spans="1:16" s="619" customFormat="1" ht="36" x14ac:dyDescent="0.2">
      <c r="A3822" s="625" t="s">
        <v>7690</v>
      </c>
      <c r="B3822" s="626" t="s">
        <v>1908</v>
      </c>
      <c r="C3822" s="638" t="s">
        <v>7691</v>
      </c>
      <c r="D3822" s="626" t="s">
        <v>7752</v>
      </c>
      <c r="E3822" s="715">
        <v>1100</v>
      </c>
      <c r="F3822" s="626" t="s">
        <v>8370</v>
      </c>
      <c r="G3822" s="648" t="s">
        <v>8371</v>
      </c>
      <c r="H3822" s="649" t="s">
        <v>6158</v>
      </c>
      <c r="I3822" s="648" t="s">
        <v>1919</v>
      </c>
      <c r="J3822" s="626" t="s">
        <v>7698</v>
      </c>
      <c r="K3822" s="642">
        <v>1</v>
      </c>
      <c r="L3822" s="640">
        <v>2</v>
      </c>
      <c r="M3822" s="717">
        <f t="shared" ref="M3822" si="41">+L3822*E3822</f>
        <v>2200</v>
      </c>
      <c r="N3822" s="654"/>
      <c r="O3822" s="653"/>
      <c r="P3822" s="643"/>
    </row>
    <row r="3823" spans="1:16" s="619" customFormat="1" ht="36" x14ac:dyDescent="0.2">
      <c r="A3823" s="625" t="s">
        <v>7690</v>
      </c>
      <c r="B3823" s="626" t="s">
        <v>1908</v>
      </c>
      <c r="C3823" s="638" t="s">
        <v>7691</v>
      </c>
      <c r="D3823" s="626" t="s">
        <v>7624</v>
      </c>
      <c r="E3823" s="717">
        <v>1200</v>
      </c>
      <c r="F3823" s="640" t="s">
        <v>7693</v>
      </c>
      <c r="G3823" s="648" t="s">
        <v>7694</v>
      </c>
      <c r="H3823" s="640" t="s">
        <v>6114</v>
      </c>
      <c r="I3823" s="642" t="s">
        <v>6114</v>
      </c>
      <c r="J3823" s="626"/>
      <c r="K3823" s="639"/>
      <c r="L3823" s="640"/>
      <c r="M3823" s="638"/>
      <c r="N3823" s="641" t="s">
        <v>3928</v>
      </c>
      <c r="O3823" s="642">
        <v>6</v>
      </c>
      <c r="P3823" s="719">
        <f>+E3823*O3823</f>
        <v>7200</v>
      </c>
    </row>
    <row r="3824" spans="1:16" s="619" customFormat="1" ht="24" x14ac:dyDescent="0.2">
      <c r="A3824" s="625" t="s">
        <v>7690</v>
      </c>
      <c r="B3824" s="626" t="s">
        <v>1908</v>
      </c>
      <c r="C3824" s="638" t="s">
        <v>7691</v>
      </c>
      <c r="D3824" s="626" t="s">
        <v>6876</v>
      </c>
      <c r="E3824" s="717">
        <v>1500</v>
      </c>
      <c r="F3824" s="640" t="s">
        <v>7696</v>
      </c>
      <c r="G3824" s="648" t="s">
        <v>7697</v>
      </c>
      <c r="H3824" s="640" t="s">
        <v>6026</v>
      </c>
      <c r="I3824" s="648" t="s">
        <v>1919</v>
      </c>
      <c r="J3824" s="626" t="s">
        <v>7698</v>
      </c>
      <c r="K3824" s="639"/>
      <c r="L3824" s="640"/>
      <c r="M3824" s="638"/>
      <c r="N3824" s="641" t="s">
        <v>3928</v>
      </c>
      <c r="O3824" s="642">
        <v>5</v>
      </c>
      <c r="P3824" s="719">
        <f t="shared" ref="P3824:P3887" si="42">+E3824*O3824</f>
        <v>7500</v>
      </c>
    </row>
    <row r="3825" spans="1:16" s="619" customFormat="1" ht="36" x14ac:dyDescent="0.2">
      <c r="A3825" s="625" t="s">
        <v>7690</v>
      </c>
      <c r="B3825" s="626" t="s">
        <v>1908</v>
      </c>
      <c r="C3825" s="638" t="s">
        <v>7691</v>
      </c>
      <c r="D3825" s="640" t="s">
        <v>7704</v>
      </c>
      <c r="E3825" s="717">
        <v>1200</v>
      </c>
      <c r="F3825" s="640" t="s">
        <v>7702</v>
      </c>
      <c r="G3825" s="648" t="s">
        <v>7703</v>
      </c>
      <c r="H3825" s="640" t="s">
        <v>7704</v>
      </c>
      <c r="I3825" s="648" t="s">
        <v>7705</v>
      </c>
      <c r="J3825" s="626" t="s">
        <v>7713</v>
      </c>
      <c r="K3825" s="639"/>
      <c r="L3825" s="640"/>
      <c r="M3825" s="638"/>
      <c r="N3825" s="641" t="s">
        <v>3928</v>
      </c>
      <c r="O3825" s="642">
        <v>6</v>
      </c>
      <c r="P3825" s="719">
        <f t="shared" si="42"/>
        <v>7200</v>
      </c>
    </row>
    <row r="3826" spans="1:16" s="619" customFormat="1" ht="48" x14ac:dyDescent="0.2">
      <c r="A3826" s="625" t="s">
        <v>7690</v>
      </c>
      <c r="B3826" s="626" t="s">
        <v>1908</v>
      </c>
      <c r="C3826" s="638" t="s">
        <v>7691</v>
      </c>
      <c r="D3826" s="626" t="s">
        <v>8372</v>
      </c>
      <c r="E3826" s="717">
        <v>1200</v>
      </c>
      <c r="F3826" s="640" t="s">
        <v>8373</v>
      </c>
      <c r="G3826" s="648" t="s">
        <v>8374</v>
      </c>
      <c r="H3826" s="640" t="s">
        <v>6120</v>
      </c>
      <c r="I3826" s="642" t="s">
        <v>6120</v>
      </c>
      <c r="J3826" s="626"/>
      <c r="K3826" s="639"/>
      <c r="L3826" s="640"/>
      <c r="M3826" s="638"/>
      <c r="N3826" s="641" t="s">
        <v>3928</v>
      </c>
      <c r="O3826" s="642">
        <v>3</v>
      </c>
      <c r="P3826" s="719">
        <f t="shared" si="42"/>
        <v>3600</v>
      </c>
    </row>
    <row r="3827" spans="1:16" s="619" customFormat="1" ht="24" x14ac:dyDescent="0.2">
      <c r="A3827" s="625" t="s">
        <v>7690</v>
      </c>
      <c r="B3827" s="626" t="s">
        <v>1908</v>
      </c>
      <c r="C3827" s="638" t="s">
        <v>7691</v>
      </c>
      <c r="D3827" s="626" t="s">
        <v>3548</v>
      </c>
      <c r="E3827" s="717">
        <v>1000</v>
      </c>
      <c r="F3827" s="640" t="s">
        <v>7753</v>
      </c>
      <c r="G3827" s="648" t="s">
        <v>7754</v>
      </c>
      <c r="H3827" s="640" t="s">
        <v>3548</v>
      </c>
      <c r="I3827" s="648" t="s">
        <v>1919</v>
      </c>
      <c r="J3827" s="626" t="s">
        <v>7698</v>
      </c>
      <c r="K3827" s="639"/>
      <c r="L3827" s="640"/>
      <c r="M3827" s="638"/>
      <c r="N3827" s="641" t="s">
        <v>3928</v>
      </c>
      <c r="O3827" s="642">
        <v>6</v>
      </c>
      <c r="P3827" s="719">
        <f t="shared" si="42"/>
        <v>6000</v>
      </c>
    </row>
    <row r="3828" spans="1:16" s="619" customFormat="1" ht="36" x14ac:dyDescent="0.2">
      <c r="A3828" s="625" t="s">
        <v>7690</v>
      </c>
      <c r="B3828" s="626" t="s">
        <v>1908</v>
      </c>
      <c r="C3828" s="638" t="s">
        <v>7691</v>
      </c>
      <c r="D3828" s="626" t="s">
        <v>7742</v>
      </c>
      <c r="E3828" s="717">
        <v>2000</v>
      </c>
      <c r="F3828" s="640" t="s">
        <v>8375</v>
      </c>
      <c r="G3828" s="648" t="s">
        <v>8376</v>
      </c>
      <c r="H3828" s="640" t="s">
        <v>7745</v>
      </c>
      <c r="I3828" s="648" t="s">
        <v>6101</v>
      </c>
      <c r="J3828" s="626" t="s">
        <v>7713</v>
      </c>
      <c r="K3828" s="639"/>
      <c r="L3828" s="640"/>
      <c r="M3828" s="638"/>
      <c r="N3828" s="641" t="s">
        <v>3928</v>
      </c>
      <c r="O3828" s="642">
        <v>3</v>
      </c>
      <c r="P3828" s="719">
        <f t="shared" si="42"/>
        <v>6000</v>
      </c>
    </row>
    <row r="3829" spans="1:16" s="619" customFormat="1" ht="36" x14ac:dyDescent="0.2">
      <c r="A3829" s="625" t="s">
        <v>7690</v>
      </c>
      <c r="B3829" s="626" t="s">
        <v>1908</v>
      </c>
      <c r="C3829" s="638" t="s">
        <v>7691</v>
      </c>
      <c r="D3829" s="640" t="s">
        <v>6026</v>
      </c>
      <c r="E3829" s="717">
        <v>1500</v>
      </c>
      <c r="F3829" s="640" t="s">
        <v>7755</v>
      </c>
      <c r="G3829" s="648" t="s">
        <v>7756</v>
      </c>
      <c r="H3829" s="640" t="s">
        <v>6026</v>
      </c>
      <c r="I3829" s="648" t="s">
        <v>1919</v>
      </c>
      <c r="J3829" s="626" t="s">
        <v>7698</v>
      </c>
      <c r="K3829" s="639"/>
      <c r="L3829" s="640"/>
      <c r="M3829" s="638"/>
      <c r="N3829" s="641" t="s">
        <v>3928</v>
      </c>
      <c r="O3829" s="642">
        <v>6</v>
      </c>
      <c r="P3829" s="719">
        <f t="shared" si="42"/>
        <v>9000</v>
      </c>
    </row>
    <row r="3830" spans="1:16" s="619" customFormat="1" ht="36" x14ac:dyDescent="0.2">
      <c r="A3830" s="625" t="s">
        <v>7690</v>
      </c>
      <c r="B3830" s="626" t="s">
        <v>1908</v>
      </c>
      <c r="C3830" s="638" t="s">
        <v>7691</v>
      </c>
      <c r="D3830" s="640" t="s">
        <v>8377</v>
      </c>
      <c r="E3830" s="717">
        <v>1100</v>
      </c>
      <c r="F3830" s="640" t="s">
        <v>8378</v>
      </c>
      <c r="G3830" s="648" t="s">
        <v>8379</v>
      </c>
      <c r="H3830" s="640" t="s">
        <v>8377</v>
      </c>
      <c r="I3830" s="648" t="s">
        <v>1919</v>
      </c>
      <c r="J3830" s="626" t="s">
        <v>7698</v>
      </c>
      <c r="K3830" s="639"/>
      <c r="L3830" s="640"/>
      <c r="M3830" s="638"/>
      <c r="N3830" s="641" t="s">
        <v>3928</v>
      </c>
      <c r="O3830" s="642">
        <v>6</v>
      </c>
      <c r="P3830" s="719">
        <f t="shared" si="42"/>
        <v>6600</v>
      </c>
    </row>
    <row r="3831" spans="1:16" s="619" customFormat="1" ht="36" x14ac:dyDescent="0.2">
      <c r="A3831" s="625" t="s">
        <v>7690</v>
      </c>
      <c r="B3831" s="626" t="s">
        <v>1908</v>
      </c>
      <c r="C3831" s="638" t="s">
        <v>7691</v>
      </c>
      <c r="D3831" s="640" t="s">
        <v>6227</v>
      </c>
      <c r="E3831" s="717">
        <v>2000</v>
      </c>
      <c r="F3831" s="640" t="s">
        <v>8380</v>
      </c>
      <c r="G3831" s="648" t="s">
        <v>8381</v>
      </c>
      <c r="H3831" s="640" t="s">
        <v>6227</v>
      </c>
      <c r="I3831" s="648" t="s">
        <v>8382</v>
      </c>
      <c r="J3831" s="626" t="s">
        <v>7713</v>
      </c>
      <c r="K3831" s="639"/>
      <c r="L3831" s="640"/>
      <c r="M3831" s="638"/>
      <c r="N3831" s="641" t="s">
        <v>3928</v>
      </c>
      <c r="O3831" s="642">
        <v>1</v>
      </c>
      <c r="P3831" s="719">
        <f t="shared" si="42"/>
        <v>2000</v>
      </c>
    </row>
    <row r="3832" spans="1:16" s="619" customFormat="1" ht="36" x14ac:dyDescent="0.2">
      <c r="A3832" s="625" t="s">
        <v>7690</v>
      </c>
      <c r="B3832" s="626" t="s">
        <v>1908</v>
      </c>
      <c r="C3832" s="638" t="s">
        <v>7691</v>
      </c>
      <c r="D3832" s="640" t="s">
        <v>3548</v>
      </c>
      <c r="E3832" s="717">
        <v>465</v>
      </c>
      <c r="F3832" s="640" t="s">
        <v>8383</v>
      </c>
      <c r="G3832" s="648" t="s">
        <v>8384</v>
      </c>
      <c r="H3832" s="640" t="s">
        <v>3548</v>
      </c>
      <c r="I3832" s="648" t="s">
        <v>1919</v>
      </c>
      <c r="J3832" s="626" t="s">
        <v>7698</v>
      </c>
      <c r="K3832" s="639"/>
      <c r="L3832" s="640"/>
      <c r="M3832" s="638"/>
      <c r="N3832" s="641" t="s">
        <v>3928</v>
      </c>
      <c r="O3832" s="642">
        <v>1</v>
      </c>
      <c r="P3832" s="719">
        <f t="shared" si="42"/>
        <v>465</v>
      </c>
    </row>
    <row r="3833" spans="1:16" s="619" customFormat="1" ht="24" x14ac:dyDescent="0.2">
      <c r="A3833" s="625" t="s">
        <v>7690</v>
      </c>
      <c r="B3833" s="626" t="s">
        <v>1908</v>
      </c>
      <c r="C3833" s="638" t="s">
        <v>7691</v>
      </c>
      <c r="D3833" s="640" t="s">
        <v>2660</v>
      </c>
      <c r="E3833" s="717">
        <v>1200</v>
      </c>
      <c r="F3833" s="640" t="s">
        <v>7767</v>
      </c>
      <c r="G3833" s="648" t="s">
        <v>7768</v>
      </c>
      <c r="H3833" s="640" t="s">
        <v>2660</v>
      </c>
      <c r="I3833" s="642" t="s">
        <v>2660</v>
      </c>
      <c r="J3833" s="626" t="s">
        <v>7713</v>
      </c>
      <c r="K3833" s="639"/>
      <c r="L3833" s="640"/>
      <c r="M3833" s="638"/>
      <c r="N3833" s="641" t="s">
        <v>3928</v>
      </c>
      <c r="O3833" s="642">
        <v>6</v>
      </c>
      <c r="P3833" s="719">
        <f t="shared" si="42"/>
        <v>7200</v>
      </c>
    </row>
    <row r="3834" spans="1:16" s="619" customFormat="1" ht="24" x14ac:dyDescent="0.2">
      <c r="A3834" s="625" t="s">
        <v>7690</v>
      </c>
      <c r="B3834" s="626" t="s">
        <v>1908</v>
      </c>
      <c r="C3834" s="638" t="s">
        <v>7691</v>
      </c>
      <c r="D3834" s="640" t="s">
        <v>2660</v>
      </c>
      <c r="E3834" s="717">
        <v>1100</v>
      </c>
      <c r="F3834" s="640" t="s">
        <v>7769</v>
      </c>
      <c r="G3834" s="648" t="s">
        <v>7770</v>
      </c>
      <c r="H3834" s="640" t="s">
        <v>2660</v>
      </c>
      <c r="I3834" s="642" t="s">
        <v>2660</v>
      </c>
      <c r="J3834" s="626" t="s">
        <v>7713</v>
      </c>
      <c r="K3834" s="639"/>
      <c r="L3834" s="640"/>
      <c r="M3834" s="638"/>
      <c r="N3834" s="641" t="s">
        <v>3928</v>
      </c>
      <c r="O3834" s="642">
        <v>6</v>
      </c>
      <c r="P3834" s="719">
        <f t="shared" si="42"/>
        <v>6600</v>
      </c>
    </row>
    <row r="3835" spans="1:16" s="619" customFormat="1" ht="36" x14ac:dyDescent="0.2">
      <c r="A3835" s="625" t="s">
        <v>7690</v>
      </c>
      <c r="B3835" s="626" t="s">
        <v>1908</v>
      </c>
      <c r="C3835" s="638" t="s">
        <v>7691</v>
      </c>
      <c r="D3835" s="640" t="s">
        <v>6092</v>
      </c>
      <c r="E3835" s="717">
        <v>2000</v>
      </c>
      <c r="F3835" s="640" t="s">
        <v>7771</v>
      </c>
      <c r="G3835" s="648" t="s">
        <v>7772</v>
      </c>
      <c r="H3835" s="640" t="s">
        <v>6092</v>
      </c>
      <c r="I3835" s="648" t="s">
        <v>1993</v>
      </c>
      <c r="J3835" s="626" t="s">
        <v>7713</v>
      </c>
      <c r="K3835" s="639"/>
      <c r="L3835" s="640"/>
      <c r="M3835" s="638"/>
      <c r="N3835" s="641" t="s">
        <v>3928</v>
      </c>
      <c r="O3835" s="642">
        <v>6</v>
      </c>
      <c r="P3835" s="719">
        <f t="shared" si="42"/>
        <v>12000</v>
      </c>
    </row>
    <row r="3836" spans="1:16" s="619" customFormat="1" ht="36" x14ac:dyDescent="0.2">
      <c r="A3836" s="625" t="s">
        <v>7690</v>
      </c>
      <c r="B3836" s="626" t="s">
        <v>1908</v>
      </c>
      <c r="C3836" s="638" t="s">
        <v>7691</v>
      </c>
      <c r="D3836" s="640" t="s">
        <v>3695</v>
      </c>
      <c r="E3836" s="717">
        <v>1500</v>
      </c>
      <c r="F3836" s="640" t="s">
        <v>7773</v>
      </c>
      <c r="G3836" s="648" t="s">
        <v>7774</v>
      </c>
      <c r="H3836" s="640" t="s">
        <v>3695</v>
      </c>
      <c r="I3836" s="648" t="s">
        <v>1919</v>
      </c>
      <c r="J3836" s="626" t="s">
        <v>7698</v>
      </c>
      <c r="K3836" s="639"/>
      <c r="L3836" s="640"/>
      <c r="M3836" s="638"/>
      <c r="N3836" s="641" t="s">
        <v>3928</v>
      </c>
      <c r="O3836" s="642">
        <v>6</v>
      </c>
      <c r="P3836" s="719">
        <f t="shared" si="42"/>
        <v>9000</v>
      </c>
    </row>
    <row r="3837" spans="1:16" s="619" customFormat="1" ht="36" x14ac:dyDescent="0.2">
      <c r="A3837" s="625" t="s">
        <v>7690</v>
      </c>
      <c r="B3837" s="626" t="s">
        <v>1908</v>
      </c>
      <c r="C3837" s="638" t="s">
        <v>7691</v>
      </c>
      <c r="D3837" s="640" t="s">
        <v>6092</v>
      </c>
      <c r="E3837" s="717">
        <v>5500</v>
      </c>
      <c r="F3837" s="640" t="s">
        <v>7775</v>
      </c>
      <c r="G3837" s="648" t="s">
        <v>7776</v>
      </c>
      <c r="H3837" s="640" t="s">
        <v>6092</v>
      </c>
      <c r="I3837" s="648" t="s">
        <v>1993</v>
      </c>
      <c r="J3837" s="626" t="s">
        <v>7713</v>
      </c>
      <c r="K3837" s="639"/>
      <c r="L3837" s="640"/>
      <c r="M3837" s="638"/>
      <c r="N3837" s="641" t="s">
        <v>3928</v>
      </c>
      <c r="O3837" s="642">
        <v>6</v>
      </c>
      <c r="P3837" s="719">
        <f t="shared" si="42"/>
        <v>33000</v>
      </c>
    </row>
    <row r="3838" spans="1:16" s="619" customFormat="1" ht="24" x14ac:dyDescent="0.2">
      <c r="A3838" s="625" t="s">
        <v>7690</v>
      </c>
      <c r="B3838" s="626" t="s">
        <v>1908</v>
      </c>
      <c r="C3838" s="638" t="s">
        <v>7691</v>
      </c>
      <c r="D3838" s="640" t="s">
        <v>6108</v>
      </c>
      <c r="E3838" s="717">
        <v>2000</v>
      </c>
      <c r="F3838" s="640" t="s">
        <v>8385</v>
      </c>
      <c r="G3838" s="648" t="s">
        <v>8386</v>
      </c>
      <c r="H3838" s="640" t="s">
        <v>6108</v>
      </c>
      <c r="I3838" s="648" t="s">
        <v>8387</v>
      </c>
      <c r="J3838" s="626" t="s">
        <v>7713</v>
      </c>
      <c r="K3838" s="639"/>
      <c r="L3838" s="640"/>
      <c r="M3838" s="638"/>
      <c r="N3838" s="641" t="s">
        <v>3928</v>
      </c>
      <c r="O3838" s="642">
        <v>6</v>
      </c>
      <c r="P3838" s="719">
        <f t="shared" si="42"/>
        <v>12000</v>
      </c>
    </row>
    <row r="3839" spans="1:16" s="619" customFormat="1" ht="36" x14ac:dyDescent="0.2">
      <c r="A3839" s="625" t="s">
        <v>7690</v>
      </c>
      <c r="B3839" s="626" t="s">
        <v>1908</v>
      </c>
      <c r="C3839" s="638" t="s">
        <v>7691</v>
      </c>
      <c r="D3839" s="640" t="s">
        <v>3569</v>
      </c>
      <c r="E3839" s="717">
        <v>1100</v>
      </c>
      <c r="F3839" s="640" t="s">
        <v>7777</v>
      </c>
      <c r="G3839" s="648" t="s">
        <v>7778</v>
      </c>
      <c r="H3839" s="640" t="s">
        <v>3569</v>
      </c>
      <c r="I3839" s="648" t="s">
        <v>1919</v>
      </c>
      <c r="J3839" s="626" t="s">
        <v>7698</v>
      </c>
      <c r="K3839" s="639"/>
      <c r="L3839" s="640"/>
      <c r="M3839" s="638"/>
      <c r="N3839" s="641" t="s">
        <v>3928</v>
      </c>
      <c r="O3839" s="642">
        <v>6</v>
      </c>
      <c r="P3839" s="719">
        <f t="shared" si="42"/>
        <v>6600</v>
      </c>
    </row>
    <row r="3840" spans="1:16" s="619" customFormat="1" ht="24" x14ac:dyDescent="0.2">
      <c r="A3840" s="625" t="s">
        <v>7690</v>
      </c>
      <c r="B3840" s="626" t="s">
        <v>1908</v>
      </c>
      <c r="C3840" s="638" t="s">
        <v>7691</v>
      </c>
      <c r="D3840" s="640" t="s">
        <v>6092</v>
      </c>
      <c r="E3840" s="717">
        <v>2300</v>
      </c>
      <c r="F3840" s="640" t="s">
        <v>8388</v>
      </c>
      <c r="G3840" s="648" t="s">
        <v>8389</v>
      </c>
      <c r="H3840" s="640" t="s">
        <v>6092</v>
      </c>
      <c r="I3840" s="648" t="s">
        <v>7811</v>
      </c>
      <c r="J3840" s="626" t="s">
        <v>7713</v>
      </c>
      <c r="K3840" s="639"/>
      <c r="L3840" s="640"/>
      <c r="M3840" s="638"/>
      <c r="N3840" s="641" t="s">
        <v>3928</v>
      </c>
      <c r="O3840" s="642">
        <v>6</v>
      </c>
      <c r="P3840" s="719">
        <f t="shared" si="42"/>
        <v>13800</v>
      </c>
    </row>
    <row r="3841" spans="1:16" s="619" customFormat="1" ht="36" x14ac:dyDescent="0.2">
      <c r="A3841" s="625" t="s">
        <v>7690</v>
      </c>
      <c r="B3841" s="626" t="s">
        <v>1908</v>
      </c>
      <c r="C3841" s="638" t="s">
        <v>7691</v>
      </c>
      <c r="D3841" s="640" t="s">
        <v>6092</v>
      </c>
      <c r="E3841" s="717">
        <v>2000</v>
      </c>
      <c r="F3841" s="640" t="s">
        <v>7781</v>
      </c>
      <c r="G3841" s="648" t="s">
        <v>7782</v>
      </c>
      <c r="H3841" s="640" t="s">
        <v>6092</v>
      </c>
      <c r="I3841" s="648" t="s">
        <v>7811</v>
      </c>
      <c r="J3841" s="626" t="s">
        <v>7713</v>
      </c>
      <c r="K3841" s="639"/>
      <c r="L3841" s="640"/>
      <c r="M3841" s="638"/>
      <c r="N3841" s="641" t="s">
        <v>3928</v>
      </c>
      <c r="O3841" s="642">
        <v>6</v>
      </c>
      <c r="P3841" s="719">
        <f t="shared" si="42"/>
        <v>12000</v>
      </c>
    </row>
    <row r="3842" spans="1:16" s="619" customFormat="1" ht="36" x14ac:dyDescent="0.2">
      <c r="A3842" s="625" t="s">
        <v>7690</v>
      </c>
      <c r="B3842" s="626" t="s">
        <v>1908</v>
      </c>
      <c r="C3842" s="638" t="s">
        <v>7691</v>
      </c>
      <c r="D3842" s="640" t="s">
        <v>6092</v>
      </c>
      <c r="E3842" s="717">
        <v>2000</v>
      </c>
      <c r="F3842" s="640" t="s">
        <v>7787</v>
      </c>
      <c r="G3842" s="648" t="s">
        <v>7788</v>
      </c>
      <c r="H3842" s="640" t="s">
        <v>6092</v>
      </c>
      <c r="I3842" s="648" t="s">
        <v>7811</v>
      </c>
      <c r="J3842" s="626" t="s">
        <v>7713</v>
      </c>
      <c r="K3842" s="639"/>
      <c r="L3842" s="640"/>
      <c r="M3842" s="638"/>
      <c r="N3842" s="641" t="s">
        <v>3928</v>
      </c>
      <c r="O3842" s="642">
        <v>6</v>
      </c>
      <c r="P3842" s="719">
        <f t="shared" si="42"/>
        <v>12000</v>
      </c>
    </row>
    <row r="3843" spans="1:16" s="619" customFormat="1" ht="36" x14ac:dyDescent="0.2">
      <c r="A3843" s="625" t="s">
        <v>7690</v>
      </c>
      <c r="B3843" s="626" t="s">
        <v>1908</v>
      </c>
      <c r="C3843" s="638" t="s">
        <v>7691</v>
      </c>
      <c r="D3843" s="640" t="s">
        <v>6101</v>
      </c>
      <c r="E3843" s="717">
        <v>2000</v>
      </c>
      <c r="F3843" s="640" t="s">
        <v>7789</v>
      </c>
      <c r="G3843" s="648" t="s">
        <v>7790</v>
      </c>
      <c r="H3843" s="640" t="s">
        <v>6101</v>
      </c>
      <c r="I3843" s="648" t="s">
        <v>6101</v>
      </c>
      <c r="J3843" s="626" t="s">
        <v>7713</v>
      </c>
      <c r="K3843" s="639"/>
      <c r="L3843" s="640"/>
      <c r="M3843" s="638"/>
      <c r="N3843" s="641" t="s">
        <v>3928</v>
      </c>
      <c r="O3843" s="642">
        <v>6</v>
      </c>
      <c r="P3843" s="719">
        <f t="shared" si="42"/>
        <v>12000</v>
      </c>
    </row>
    <row r="3844" spans="1:16" s="619" customFormat="1" ht="24" x14ac:dyDescent="0.2">
      <c r="A3844" s="625" t="s">
        <v>7690</v>
      </c>
      <c r="B3844" s="626" t="s">
        <v>1908</v>
      </c>
      <c r="C3844" s="638" t="s">
        <v>7691</v>
      </c>
      <c r="D3844" s="640" t="s">
        <v>7626</v>
      </c>
      <c r="E3844" s="717">
        <v>1500</v>
      </c>
      <c r="F3844" s="640" t="s">
        <v>7791</v>
      </c>
      <c r="G3844" s="648" t="s">
        <v>7792</v>
      </c>
      <c r="H3844" s="640" t="s">
        <v>7626</v>
      </c>
      <c r="I3844" s="642" t="s">
        <v>7626</v>
      </c>
      <c r="J3844" s="626" t="s">
        <v>7713</v>
      </c>
      <c r="K3844" s="639"/>
      <c r="L3844" s="640"/>
      <c r="M3844" s="638"/>
      <c r="N3844" s="641" t="s">
        <v>3928</v>
      </c>
      <c r="O3844" s="642">
        <v>6</v>
      </c>
      <c r="P3844" s="719">
        <f t="shared" si="42"/>
        <v>9000</v>
      </c>
    </row>
    <row r="3845" spans="1:16" s="619" customFormat="1" ht="48" x14ac:dyDescent="0.2">
      <c r="A3845" s="625" t="s">
        <v>7690</v>
      </c>
      <c r="B3845" s="626" t="s">
        <v>1908</v>
      </c>
      <c r="C3845" s="638" t="s">
        <v>7691</v>
      </c>
      <c r="D3845" s="640" t="s">
        <v>6101</v>
      </c>
      <c r="E3845" s="717">
        <v>2000</v>
      </c>
      <c r="F3845" s="640" t="s">
        <v>7793</v>
      </c>
      <c r="G3845" s="648" t="s">
        <v>7794</v>
      </c>
      <c r="H3845" s="640" t="s">
        <v>6101</v>
      </c>
      <c r="I3845" s="642" t="s">
        <v>1919</v>
      </c>
      <c r="J3845" s="626" t="s">
        <v>7698</v>
      </c>
      <c r="K3845" s="639"/>
      <c r="L3845" s="640"/>
      <c r="M3845" s="638"/>
      <c r="N3845" s="641" t="s">
        <v>3928</v>
      </c>
      <c r="O3845" s="642">
        <v>6</v>
      </c>
      <c r="P3845" s="719">
        <f t="shared" si="42"/>
        <v>12000</v>
      </c>
    </row>
    <row r="3846" spans="1:16" s="619" customFormat="1" ht="24" x14ac:dyDescent="0.2">
      <c r="A3846" s="625" t="s">
        <v>7690</v>
      </c>
      <c r="B3846" s="626" t="s">
        <v>1908</v>
      </c>
      <c r="C3846" s="638" t="s">
        <v>7691</v>
      </c>
      <c r="D3846" s="640" t="s">
        <v>3548</v>
      </c>
      <c r="E3846" s="717">
        <v>1000</v>
      </c>
      <c r="F3846" s="640" t="s">
        <v>8390</v>
      </c>
      <c r="G3846" s="648" t="s">
        <v>8391</v>
      </c>
      <c r="H3846" s="640" t="s">
        <v>3548</v>
      </c>
      <c r="I3846" s="648" t="s">
        <v>1919</v>
      </c>
      <c r="J3846" s="626" t="s">
        <v>7698</v>
      </c>
      <c r="K3846" s="639"/>
      <c r="L3846" s="640"/>
      <c r="M3846" s="638"/>
      <c r="N3846" s="641" t="s">
        <v>3928</v>
      </c>
      <c r="O3846" s="642">
        <v>6</v>
      </c>
      <c r="P3846" s="719">
        <f t="shared" si="42"/>
        <v>6000</v>
      </c>
    </row>
    <row r="3847" spans="1:16" s="619" customFormat="1" ht="24" x14ac:dyDescent="0.2">
      <c r="A3847" s="625" t="s">
        <v>7690</v>
      </c>
      <c r="B3847" s="626" t="s">
        <v>1908</v>
      </c>
      <c r="C3847" s="638" t="s">
        <v>7691</v>
      </c>
      <c r="D3847" s="640" t="s">
        <v>8377</v>
      </c>
      <c r="E3847" s="717">
        <v>930</v>
      </c>
      <c r="F3847" s="640" t="s">
        <v>8392</v>
      </c>
      <c r="G3847" s="648" t="s">
        <v>8393</v>
      </c>
      <c r="H3847" s="640" t="s">
        <v>8377</v>
      </c>
      <c r="I3847" s="648" t="s">
        <v>1919</v>
      </c>
      <c r="J3847" s="626" t="s">
        <v>7698</v>
      </c>
      <c r="K3847" s="639"/>
      <c r="L3847" s="640"/>
      <c r="M3847" s="638"/>
      <c r="N3847" s="641" t="s">
        <v>3928</v>
      </c>
      <c r="O3847" s="642">
        <v>5</v>
      </c>
      <c r="P3847" s="719">
        <f t="shared" si="42"/>
        <v>4650</v>
      </c>
    </row>
    <row r="3848" spans="1:16" s="619" customFormat="1" ht="24" x14ac:dyDescent="0.2">
      <c r="A3848" s="625" t="s">
        <v>7690</v>
      </c>
      <c r="B3848" s="626" t="s">
        <v>1908</v>
      </c>
      <c r="C3848" s="638" t="s">
        <v>7691</v>
      </c>
      <c r="D3848" s="640" t="s">
        <v>2660</v>
      </c>
      <c r="E3848" s="717">
        <v>1100</v>
      </c>
      <c r="F3848" s="640" t="s">
        <v>8394</v>
      </c>
      <c r="G3848" s="648" t="s">
        <v>8395</v>
      </c>
      <c r="H3848" s="640" t="s">
        <v>2660</v>
      </c>
      <c r="I3848" s="642" t="s">
        <v>2660</v>
      </c>
      <c r="J3848" s="626" t="s">
        <v>7713</v>
      </c>
      <c r="K3848" s="639"/>
      <c r="L3848" s="640"/>
      <c r="M3848" s="638"/>
      <c r="N3848" s="641" t="s">
        <v>3928</v>
      </c>
      <c r="O3848" s="642">
        <v>5</v>
      </c>
      <c r="P3848" s="719">
        <f t="shared" si="42"/>
        <v>5500</v>
      </c>
    </row>
    <row r="3849" spans="1:16" s="619" customFormat="1" ht="36" x14ac:dyDescent="0.2">
      <c r="A3849" s="625" t="s">
        <v>7690</v>
      </c>
      <c r="B3849" s="626" t="s">
        <v>1908</v>
      </c>
      <c r="C3849" s="638" t="s">
        <v>7691</v>
      </c>
      <c r="D3849" s="640" t="s">
        <v>6158</v>
      </c>
      <c r="E3849" s="717">
        <v>1100</v>
      </c>
      <c r="F3849" s="640" t="s">
        <v>7807</v>
      </c>
      <c r="G3849" s="648" t="s">
        <v>7808</v>
      </c>
      <c r="H3849" s="640" t="s">
        <v>6158</v>
      </c>
      <c r="I3849" s="648" t="s">
        <v>1919</v>
      </c>
      <c r="J3849" s="626" t="s">
        <v>7698</v>
      </c>
      <c r="K3849" s="639"/>
      <c r="L3849" s="640"/>
      <c r="M3849" s="638"/>
      <c r="N3849" s="641" t="s">
        <v>3928</v>
      </c>
      <c r="O3849" s="642">
        <v>6</v>
      </c>
      <c r="P3849" s="719">
        <f t="shared" si="42"/>
        <v>6600</v>
      </c>
    </row>
    <row r="3850" spans="1:16" s="619" customFormat="1" ht="24" x14ac:dyDescent="0.2">
      <c r="A3850" s="625" t="s">
        <v>7690</v>
      </c>
      <c r="B3850" s="626" t="s">
        <v>1908</v>
      </c>
      <c r="C3850" s="638" t="s">
        <v>7691</v>
      </c>
      <c r="D3850" s="640" t="s">
        <v>2660</v>
      </c>
      <c r="E3850" s="717">
        <v>1100</v>
      </c>
      <c r="F3850" s="640" t="s">
        <v>7812</v>
      </c>
      <c r="G3850" s="648" t="s">
        <v>7813</v>
      </c>
      <c r="H3850" s="640" t="s">
        <v>2660</v>
      </c>
      <c r="I3850" s="642" t="s">
        <v>2660</v>
      </c>
      <c r="J3850" s="626" t="s">
        <v>7713</v>
      </c>
      <c r="K3850" s="639"/>
      <c r="L3850" s="640"/>
      <c r="M3850" s="638"/>
      <c r="N3850" s="641" t="s">
        <v>3928</v>
      </c>
      <c r="O3850" s="642">
        <v>6</v>
      </c>
      <c r="P3850" s="719">
        <f t="shared" si="42"/>
        <v>6600</v>
      </c>
    </row>
    <row r="3851" spans="1:16" s="619" customFormat="1" ht="24" x14ac:dyDescent="0.2">
      <c r="A3851" s="625" t="s">
        <v>7690</v>
      </c>
      <c r="B3851" s="626" t="s">
        <v>1908</v>
      </c>
      <c r="C3851" s="638" t="s">
        <v>7691</v>
      </c>
      <c r="D3851" s="640" t="s">
        <v>7626</v>
      </c>
      <c r="E3851" s="717">
        <v>1200</v>
      </c>
      <c r="F3851" s="640" t="s">
        <v>7814</v>
      </c>
      <c r="G3851" s="648" t="s">
        <v>7815</v>
      </c>
      <c r="H3851" s="640" t="s">
        <v>7626</v>
      </c>
      <c r="I3851" s="642" t="s">
        <v>7626</v>
      </c>
      <c r="J3851" s="626" t="s">
        <v>7713</v>
      </c>
      <c r="K3851" s="639"/>
      <c r="L3851" s="640"/>
      <c r="M3851" s="638"/>
      <c r="N3851" s="641" t="s">
        <v>3928</v>
      </c>
      <c r="O3851" s="642">
        <v>6</v>
      </c>
      <c r="P3851" s="719">
        <f t="shared" si="42"/>
        <v>7200</v>
      </c>
    </row>
    <row r="3852" spans="1:16" s="619" customFormat="1" ht="24" x14ac:dyDescent="0.2">
      <c r="A3852" s="625" t="s">
        <v>7690</v>
      </c>
      <c r="B3852" s="626" t="s">
        <v>1908</v>
      </c>
      <c r="C3852" s="638" t="s">
        <v>7691</v>
      </c>
      <c r="D3852" s="640" t="s">
        <v>3548</v>
      </c>
      <c r="E3852" s="717">
        <v>1000</v>
      </c>
      <c r="F3852" s="640" t="s">
        <v>7819</v>
      </c>
      <c r="G3852" s="648" t="s">
        <v>7820</v>
      </c>
      <c r="H3852" s="640" t="s">
        <v>3548</v>
      </c>
      <c r="I3852" s="648" t="s">
        <v>1919</v>
      </c>
      <c r="J3852" s="626" t="s">
        <v>7698</v>
      </c>
      <c r="K3852" s="639"/>
      <c r="L3852" s="640"/>
      <c r="M3852" s="638"/>
      <c r="N3852" s="641" t="s">
        <v>3928</v>
      </c>
      <c r="O3852" s="642">
        <v>6</v>
      </c>
      <c r="P3852" s="719">
        <f t="shared" si="42"/>
        <v>6000</v>
      </c>
    </row>
    <row r="3853" spans="1:16" s="619" customFormat="1" ht="36" x14ac:dyDescent="0.2">
      <c r="A3853" s="625" t="s">
        <v>7690</v>
      </c>
      <c r="B3853" s="626" t="s">
        <v>1908</v>
      </c>
      <c r="C3853" s="638" t="s">
        <v>7691</v>
      </c>
      <c r="D3853" s="640" t="s">
        <v>6120</v>
      </c>
      <c r="E3853" s="717">
        <v>2000</v>
      </c>
      <c r="F3853" s="640" t="s">
        <v>8396</v>
      </c>
      <c r="G3853" s="648" t="s">
        <v>8397</v>
      </c>
      <c r="H3853" s="640" t="s">
        <v>6120</v>
      </c>
      <c r="I3853" s="642" t="s">
        <v>6120</v>
      </c>
      <c r="J3853" s="626" t="s">
        <v>7713</v>
      </c>
      <c r="K3853" s="639"/>
      <c r="L3853" s="640"/>
      <c r="M3853" s="638"/>
      <c r="N3853" s="641" t="s">
        <v>3928</v>
      </c>
      <c r="O3853" s="642">
        <v>5</v>
      </c>
      <c r="P3853" s="719">
        <f t="shared" si="42"/>
        <v>10000</v>
      </c>
    </row>
    <row r="3854" spans="1:16" s="619" customFormat="1" ht="36" x14ac:dyDescent="0.2">
      <c r="A3854" s="625" t="s">
        <v>7690</v>
      </c>
      <c r="B3854" s="626" t="s">
        <v>1908</v>
      </c>
      <c r="C3854" s="638" t="s">
        <v>7691</v>
      </c>
      <c r="D3854" s="640" t="s">
        <v>6092</v>
      </c>
      <c r="E3854" s="717">
        <v>2300</v>
      </c>
      <c r="F3854" s="640" t="s">
        <v>7821</v>
      </c>
      <c r="G3854" s="648" t="s">
        <v>7822</v>
      </c>
      <c r="H3854" s="640" t="s">
        <v>6092</v>
      </c>
      <c r="I3854" s="648" t="s">
        <v>1993</v>
      </c>
      <c r="J3854" s="626" t="s">
        <v>7713</v>
      </c>
      <c r="K3854" s="639"/>
      <c r="L3854" s="640"/>
      <c r="M3854" s="638"/>
      <c r="N3854" s="641" t="s">
        <v>3928</v>
      </c>
      <c r="O3854" s="642">
        <v>6</v>
      </c>
      <c r="P3854" s="719">
        <f t="shared" si="42"/>
        <v>13800</v>
      </c>
    </row>
    <row r="3855" spans="1:16" s="619" customFormat="1" ht="24" x14ac:dyDescent="0.2">
      <c r="A3855" s="625" t="s">
        <v>7690</v>
      </c>
      <c r="B3855" s="626" t="s">
        <v>1908</v>
      </c>
      <c r="C3855" s="638" t="s">
        <v>7691</v>
      </c>
      <c r="D3855" s="640" t="s">
        <v>7740</v>
      </c>
      <c r="E3855" s="717">
        <v>2000</v>
      </c>
      <c r="F3855" s="640" t="s">
        <v>7823</v>
      </c>
      <c r="G3855" s="648" t="s">
        <v>7824</v>
      </c>
      <c r="H3855" s="640" t="s">
        <v>7740</v>
      </c>
      <c r="I3855" s="648" t="s">
        <v>8398</v>
      </c>
      <c r="J3855" s="626" t="s">
        <v>7713</v>
      </c>
      <c r="K3855" s="639"/>
      <c r="L3855" s="640"/>
      <c r="M3855" s="638"/>
      <c r="N3855" s="641" t="s">
        <v>3928</v>
      </c>
      <c r="O3855" s="642">
        <v>6</v>
      </c>
      <c r="P3855" s="719">
        <f t="shared" si="42"/>
        <v>12000</v>
      </c>
    </row>
    <row r="3856" spans="1:16" s="619" customFormat="1" ht="24" x14ac:dyDescent="0.2">
      <c r="A3856" s="625" t="s">
        <v>7690</v>
      </c>
      <c r="B3856" s="626" t="s">
        <v>1908</v>
      </c>
      <c r="C3856" s="638" t="s">
        <v>7691</v>
      </c>
      <c r="D3856" s="640" t="s">
        <v>2660</v>
      </c>
      <c r="E3856" s="717">
        <v>1200</v>
      </c>
      <c r="F3856" s="640" t="s">
        <v>7825</v>
      </c>
      <c r="G3856" s="648" t="s">
        <v>7826</v>
      </c>
      <c r="H3856" s="640" t="s">
        <v>2660</v>
      </c>
      <c r="I3856" s="642" t="s">
        <v>2660</v>
      </c>
      <c r="J3856" s="626" t="s">
        <v>7713</v>
      </c>
      <c r="K3856" s="639"/>
      <c r="L3856" s="640"/>
      <c r="M3856" s="638"/>
      <c r="N3856" s="641" t="s">
        <v>3928</v>
      </c>
      <c r="O3856" s="642">
        <v>6</v>
      </c>
      <c r="P3856" s="719">
        <f t="shared" si="42"/>
        <v>7200</v>
      </c>
    </row>
    <row r="3857" spans="1:16" s="619" customFormat="1" ht="36" x14ac:dyDescent="0.2">
      <c r="A3857" s="625" t="s">
        <v>7690</v>
      </c>
      <c r="B3857" s="626" t="s">
        <v>1908</v>
      </c>
      <c r="C3857" s="638" t="s">
        <v>7691</v>
      </c>
      <c r="D3857" s="640" t="s">
        <v>6227</v>
      </c>
      <c r="E3857" s="717">
        <v>2300</v>
      </c>
      <c r="F3857" s="640" t="s">
        <v>7831</v>
      </c>
      <c r="G3857" s="648" t="s">
        <v>7832</v>
      </c>
      <c r="H3857" s="640" t="s">
        <v>6227</v>
      </c>
      <c r="I3857" s="648" t="s">
        <v>1988</v>
      </c>
      <c r="J3857" s="626" t="s">
        <v>7713</v>
      </c>
      <c r="K3857" s="639"/>
      <c r="L3857" s="640"/>
      <c r="M3857" s="638"/>
      <c r="N3857" s="641" t="s">
        <v>3928</v>
      </c>
      <c r="O3857" s="642">
        <v>6</v>
      </c>
      <c r="P3857" s="719">
        <f t="shared" si="42"/>
        <v>13800</v>
      </c>
    </row>
    <row r="3858" spans="1:16" s="619" customFormat="1" ht="36" x14ac:dyDescent="0.2">
      <c r="A3858" s="625" t="s">
        <v>7690</v>
      </c>
      <c r="B3858" s="626" t="s">
        <v>1908</v>
      </c>
      <c r="C3858" s="638" t="s">
        <v>7691</v>
      </c>
      <c r="D3858" s="640" t="s">
        <v>6149</v>
      </c>
      <c r="E3858" s="717">
        <v>6000</v>
      </c>
      <c r="F3858" s="640" t="s">
        <v>7833</v>
      </c>
      <c r="G3858" s="648" t="s">
        <v>7834</v>
      </c>
      <c r="H3858" s="640" t="s">
        <v>6149</v>
      </c>
      <c r="I3858" s="648" t="s">
        <v>8399</v>
      </c>
      <c r="J3858" s="626" t="s">
        <v>7713</v>
      </c>
      <c r="K3858" s="639"/>
      <c r="L3858" s="640"/>
      <c r="M3858" s="638"/>
      <c r="N3858" s="641" t="s">
        <v>3928</v>
      </c>
      <c r="O3858" s="642">
        <v>6</v>
      </c>
      <c r="P3858" s="719">
        <f t="shared" si="42"/>
        <v>36000</v>
      </c>
    </row>
    <row r="3859" spans="1:16" s="619" customFormat="1" ht="36" x14ac:dyDescent="0.2">
      <c r="A3859" s="625" t="s">
        <v>7690</v>
      </c>
      <c r="B3859" s="626" t="s">
        <v>1908</v>
      </c>
      <c r="C3859" s="638" t="s">
        <v>7691</v>
      </c>
      <c r="D3859" s="640" t="s">
        <v>6114</v>
      </c>
      <c r="E3859" s="717">
        <v>1800</v>
      </c>
      <c r="F3859" s="640" t="s">
        <v>7838</v>
      </c>
      <c r="G3859" s="648" t="s">
        <v>7839</v>
      </c>
      <c r="H3859" s="640" t="s">
        <v>6114</v>
      </c>
      <c r="I3859" s="642" t="s">
        <v>6114</v>
      </c>
      <c r="J3859" s="626" t="s">
        <v>7713</v>
      </c>
      <c r="K3859" s="639"/>
      <c r="L3859" s="640"/>
      <c r="M3859" s="638"/>
      <c r="N3859" s="641" t="s">
        <v>3928</v>
      </c>
      <c r="O3859" s="642">
        <v>6</v>
      </c>
      <c r="P3859" s="719">
        <f t="shared" si="42"/>
        <v>10800</v>
      </c>
    </row>
    <row r="3860" spans="1:16" s="619" customFormat="1" ht="36" x14ac:dyDescent="0.2">
      <c r="A3860" s="625" t="s">
        <v>7690</v>
      </c>
      <c r="B3860" s="626" t="s">
        <v>1908</v>
      </c>
      <c r="C3860" s="638" t="s">
        <v>7691</v>
      </c>
      <c r="D3860" s="640" t="s">
        <v>2232</v>
      </c>
      <c r="E3860" s="717">
        <v>1800</v>
      </c>
      <c r="F3860" s="640" t="s">
        <v>7842</v>
      </c>
      <c r="G3860" s="648" t="s">
        <v>7843</v>
      </c>
      <c r="H3860" s="640" t="s">
        <v>2232</v>
      </c>
      <c r="I3860" s="642" t="s">
        <v>2232</v>
      </c>
      <c r="J3860" s="626" t="s">
        <v>7713</v>
      </c>
      <c r="K3860" s="639"/>
      <c r="L3860" s="640"/>
      <c r="M3860" s="638"/>
      <c r="N3860" s="641" t="s">
        <v>3928</v>
      </c>
      <c r="O3860" s="642">
        <v>6</v>
      </c>
      <c r="P3860" s="719">
        <f t="shared" si="42"/>
        <v>10800</v>
      </c>
    </row>
    <row r="3861" spans="1:16" s="619" customFormat="1" ht="36" x14ac:dyDescent="0.2">
      <c r="A3861" s="625" t="s">
        <v>7690</v>
      </c>
      <c r="B3861" s="626" t="s">
        <v>1908</v>
      </c>
      <c r="C3861" s="638" t="s">
        <v>7691</v>
      </c>
      <c r="D3861" s="640" t="s">
        <v>6158</v>
      </c>
      <c r="E3861" s="717">
        <v>930</v>
      </c>
      <c r="F3861" s="640" t="s">
        <v>7848</v>
      </c>
      <c r="G3861" s="648" t="s">
        <v>7849</v>
      </c>
      <c r="H3861" s="640" t="s">
        <v>6158</v>
      </c>
      <c r="I3861" s="648" t="s">
        <v>1919</v>
      </c>
      <c r="J3861" s="626" t="s">
        <v>7698</v>
      </c>
      <c r="K3861" s="639"/>
      <c r="L3861" s="640"/>
      <c r="M3861" s="638"/>
      <c r="N3861" s="641" t="s">
        <v>3928</v>
      </c>
      <c r="O3861" s="642">
        <v>6</v>
      </c>
      <c r="P3861" s="719">
        <f t="shared" si="42"/>
        <v>5580</v>
      </c>
    </row>
    <row r="3862" spans="1:16" s="619" customFormat="1" ht="24" x14ac:dyDescent="0.2">
      <c r="A3862" s="625" t="s">
        <v>7690</v>
      </c>
      <c r="B3862" s="626" t="s">
        <v>1908</v>
      </c>
      <c r="C3862" s="638" t="s">
        <v>7691</v>
      </c>
      <c r="D3862" s="640" t="s">
        <v>2660</v>
      </c>
      <c r="E3862" s="717">
        <v>1200</v>
      </c>
      <c r="F3862" s="640" t="s">
        <v>8400</v>
      </c>
      <c r="G3862" s="648" t="s">
        <v>8401</v>
      </c>
      <c r="H3862" s="640" t="s">
        <v>2660</v>
      </c>
      <c r="I3862" s="642" t="s">
        <v>2660</v>
      </c>
      <c r="J3862" s="626" t="s">
        <v>7713</v>
      </c>
      <c r="K3862" s="639"/>
      <c r="L3862" s="640"/>
      <c r="M3862" s="638"/>
      <c r="N3862" s="641" t="s">
        <v>3928</v>
      </c>
      <c r="O3862" s="642">
        <v>4</v>
      </c>
      <c r="P3862" s="719">
        <f t="shared" si="42"/>
        <v>4800</v>
      </c>
    </row>
    <row r="3863" spans="1:16" s="619" customFormat="1" ht="36" x14ac:dyDescent="0.2">
      <c r="A3863" s="625" t="s">
        <v>7690</v>
      </c>
      <c r="B3863" s="626" t="s">
        <v>1908</v>
      </c>
      <c r="C3863" s="638" t="s">
        <v>7691</v>
      </c>
      <c r="D3863" s="640" t="s">
        <v>6114</v>
      </c>
      <c r="E3863" s="717">
        <v>1800</v>
      </c>
      <c r="F3863" s="640" t="s">
        <v>7854</v>
      </c>
      <c r="G3863" s="648" t="s">
        <v>7855</v>
      </c>
      <c r="H3863" s="640" t="s">
        <v>6114</v>
      </c>
      <c r="I3863" s="642" t="s">
        <v>6114</v>
      </c>
      <c r="J3863" s="626" t="s">
        <v>7713</v>
      </c>
      <c r="K3863" s="639"/>
      <c r="L3863" s="640"/>
      <c r="M3863" s="638"/>
      <c r="N3863" s="641" t="s">
        <v>3928</v>
      </c>
      <c r="O3863" s="642">
        <v>6</v>
      </c>
      <c r="P3863" s="719">
        <f t="shared" si="42"/>
        <v>10800</v>
      </c>
    </row>
    <row r="3864" spans="1:16" s="619" customFormat="1" ht="24" x14ac:dyDescent="0.2">
      <c r="A3864" s="625" t="s">
        <v>7690</v>
      </c>
      <c r="B3864" s="626" t="s">
        <v>1908</v>
      </c>
      <c r="C3864" s="638" t="s">
        <v>7691</v>
      </c>
      <c r="D3864" s="640" t="s">
        <v>6227</v>
      </c>
      <c r="E3864" s="717">
        <v>2300</v>
      </c>
      <c r="F3864" s="640" t="s">
        <v>7856</v>
      </c>
      <c r="G3864" s="648" t="s">
        <v>7857</v>
      </c>
      <c r="H3864" s="640" t="s">
        <v>6227</v>
      </c>
      <c r="I3864" s="648" t="s">
        <v>1988</v>
      </c>
      <c r="J3864" s="626" t="s">
        <v>7713</v>
      </c>
      <c r="K3864" s="639"/>
      <c r="L3864" s="640"/>
      <c r="M3864" s="638"/>
      <c r="N3864" s="641" t="s">
        <v>3928</v>
      </c>
      <c r="O3864" s="642">
        <v>6</v>
      </c>
      <c r="P3864" s="719">
        <f t="shared" si="42"/>
        <v>13800</v>
      </c>
    </row>
    <row r="3865" spans="1:16" s="619" customFormat="1" ht="24" x14ac:dyDescent="0.2">
      <c r="A3865" s="625" t="s">
        <v>7690</v>
      </c>
      <c r="B3865" s="626" t="s">
        <v>1908</v>
      </c>
      <c r="C3865" s="638" t="s">
        <v>7691</v>
      </c>
      <c r="D3865" s="640" t="s">
        <v>6876</v>
      </c>
      <c r="E3865" s="717">
        <v>1200</v>
      </c>
      <c r="F3865" s="640" t="s">
        <v>7858</v>
      </c>
      <c r="G3865" s="648" t="s">
        <v>7859</v>
      </c>
      <c r="H3865" s="640" t="s">
        <v>6876</v>
      </c>
      <c r="I3865" s="648" t="s">
        <v>1919</v>
      </c>
      <c r="J3865" s="626" t="s">
        <v>7698</v>
      </c>
      <c r="K3865" s="639"/>
      <c r="L3865" s="640"/>
      <c r="M3865" s="638"/>
      <c r="N3865" s="641" t="s">
        <v>3928</v>
      </c>
      <c r="O3865" s="642">
        <v>6</v>
      </c>
      <c r="P3865" s="719">
        <f t="shared" si="42"/>
        <v>7200</v>
      </c>
    </row>
    <row r="3866" spans="1:16" s="619" customFormat="1" ht="36" x14ac:dyDescent="0.2">
      <c r="A3866" s="625" t="s">
        <v>7690</v>
      </c>
      <c r="B3866" s="626" t="s">
        <v>1908</v>
      </c>
      <c r="C3866" s="638" t="s">
        <v>7691</v>
      </c>
      <c r="D3866" s="640" t="s">
        <v>6114</v>
      </c>
      <c r="E3866" s="717">
        <v>2500</v>
      </c>
      <c r="F3866" s="640" t="s">
        <v>7867</v>
      </c>
      <c r="G3866" s="648" t="s">
        <v>7868</v>
      </c>
      <c r="H3866" s="640" t="s">
        <v>6114</v>
      </c>
      <c r="I3866" s="642" t="s">
        <v>6114</v>
      </c>
      <c r="J3866" s="626" t="s">
        <v>7713</v>
      </c>
      <c r="K3866" s="639"/>
      <c r="L3866" s="640"/>
      <c r="M3866" s="638"/>
      <c r="N3866" s="641" t="s">
        <v>3928</v>
      </c>
      <c r="O3866" s="642">
        <v>6</v>
      </c>
      <c r="P3866" s="719">
        <f t="shared" si="42"/>
        <v>15000</v>
      </c>
    </row>
    <row r="3867" spans="1:16" s="619" customFormat="1" ht="36" x14ac:dyDescent="0.2">
      <c r="A3867" s="625" t="s">
        <v>7690</v>
      </c>
      <c r="B3867" s="626" t="s">
        <v>1908</v>
      </c>
      <c r="C3867" s="638" t="s">
        <v>7691</v>
      </c>
      <c r="D3867" s="640" t="s">
        <v>6114</v>
      </c>
      <c r="E3867" s="717">
        <v>1500</v>
      </c>
      <c r="F3867" s="640" t="s">
        <v>7869</v>
      </c>
      <c r="G3867" s="648" t="s">
        <v>7870</v>
      </c>
      <c r="H3867" s="640" t="s">
        <v>6114</v>
      </c>
      <c r="I3867" s="642" t="s">
        <v>6114</v>
      </c>
      <c r="J3867" s="626" t="s">
        <v>7713</v>
      </c>
      <c r="K3867" s="639"/>
      <c r="L3867" s="640"/>
      <c r="M3867" s="638"/>
      <c r="N3867" s="641" t="s">
        <v>3928</v>
      </c>
      <c r="O3867" s="642">
        <v>6</v>
      </c>
      <c r="P3867" s="719">
        <f t="shared" si="42"/>
        <v>9000</v>
      </c>
    </row>
    <row r="3868" spans="1:16" s="619" customFormat="1" ht="36" x14ac:dyDescent="0.2">
      <c r="A3868" s="625" t="s">
        <v>7690</v>
      </c>
      <c r="B3868" s="626" t="s">
        <v>1908</v>
      </c>
      <c r="C3868" s="638" t="s">
        <v>7691</v>
      </c>
      <c r="D3868" s="640" t="s">
        <v>6114</v>
      </c>
      <c r="E3868" s="717">
        <v>1200</v>
      </c>
      <c r="F3868" s="640" t="s">
        <v>7871</v>
      </c>
      <c r="G3868" s="648" t="s">
        <v>7872</v>
      </c>
      <c r="H3868" s="640" t="s">
        <v>6114</v>
      </c>
      <c r="I3868" s="642" t="s">
        <v>6114</v>
      </c>
      <c r="J3868" s="626" t="s">
        <v>7713</v>
      </c>
      <c r="K3868" s="639"/>
      <c r="L3868" s="640"/>
      <c r="M3868" s="638"/>
      <c r="N3868" s="641" t="s">
        <v>3928</v>
      </c>
      <c r="O3868" s="642">
        <v>6</v>
      </c>
      <c r="P3868" s="719">
        <f t="shared" si="42"/>
        <v>7200</v>
      </c>
    </row>
    <row r="3869" spans="1:16" s="619" customFormat="1" ht="36" x14ac:dyDescent="0.2">
      <c r="A3869" s="625" t="s">
        <v>7690</v>
      </c>
      <c r="B3869" s="626" t="s">
        <v>1908</v>
      </c>
      <c r="C3869" s="638" t="s">
        <v>7691</v>
      </c>
      <c r="D3869" s="640" t="s">
        <v>6114</v>
      </c>
      <c r="E3869" s="717">
        <v>1200</v>
      </c>
      <c r="F3869" s="640" t="s">
        <v>7873</v>
      </c>
      <c r="G3869" s="648" t="s">
        <v>7874</v>
      </c>
      <c r="H3869" s="640" t="s">
        <v>6114</v>
      </c>
      <c r="I3869" s="642" t="s">
        <v>6114</v>
      </c>
      <c r="J3869" s="626" t="s">
        <v>7713</v>
      </c>
      <c r="K3869" s="639"/>
      <c r="L3869" s="640"/>
      <c r="M3869" s="638"/>
      <c r="N3869" s="641" t="s">
        <v>3928</v>
      </c>
      <c r="O3869" s="642">
        <v>6</v>
      </c>
      <c r="P3869" s="719">
        <f t="shared" si="42"/>
        <v>7200</v>
      </c>
    </row>
    <row r="3870" spans="1:16" s="619" customFormat="1" ht="24" x14ac:dyDescent="0.2">
      <c r="A3870" s="625" t="s">
        <v>7690</v>
      </c>
      <c r="B3870" s="626" t="s">
        <v>1908</v>
      </c>
      <c r="C3870" s="638" t="s">
        <v>7691</v>
      </c>
      <c r="D3870" s="640" t="s">
        <v>2660</v>
      </c>
      <c r="E3870" s="717">
        <v>1000</v>
      </c>
      <c r="F3870" s="640" t="s">
        <v>7879</v>
      </c>
      <c r="G3870" s="648" t="s">
        <v>7880</v>
      </c>
      <c r="H3870" s="640" t="s">
        <v>2660</v>
      </c>
      <c r="I3870" s="642" t="s">
        <v>2660</v>
      </c>
      <c r="J3870" s="626" t="s">
        <v>7713</v>
      </c>
      <c r="K3870" s="639"/>
      <c r="L3870" s="640"/>
      <c r="M3870" s="638"/>
      <c r="N3870" s="641" t="s">
        <v>3928</v>
      </c>
      <c r="O3870" s="642">
        <v>6</v>
      </c>
      <c r="P3870" s="719">
        <f t="shared" si="42"/>
        <v>6000</v>
      </c>
    </row>
    <row r="3871" spans="1:16" s="619" customFormat="1" ht="36" x14ac:dyDescent="0.2">
      <c r="A3871" s="625" t="s">
        <v>7690</v>
      </c>
      <c r="B3871" s="626" t="s">
        <v>1908</v>
      </c>
      <c r="C3871" s="638" t="s">
        <v>7691</v>
      </c>
      <c r="D3871" s="640" t="s">
        <v>2660</v>
      </c>
      <c r="E3871" s="717">
        <v>1200</v>
      </c>
      <c r="F3871" s="640" t="s">
        <v>7881</v>
      </c>
      <c r="G3871" s="648" t="s">
        <v>7882</v>
      </c>
      <c r="H3871" s="640" t="s">
        <v>2660</v>
      </c>
      <c r="I3871" s="642" t="s">
        <v>2660</v>
      </c>
      <c r="J3871" s="626" t="s">
        <v>7713</v>
      </c>
      <c r="K3871" s="639"/>
      <c r="L3871" s="640"/>
      <c r="M3871" s="638"/>
      <c r="N3871" s="641" t="s">
        <v>3928</v>
      </c>
      <c r="O3871" s="642">
        <v>6</v>
      </c>
      <c r="P3871" s="719">
        <f t="shared" si="42"/>
        <v>7200</v>
      </c>
    </row>
    <row r="3872" spans="1:16" s="619" customFormat="1" ht="24" x14ac:dyDescent="0.2">
      <c r="A3872" s="625" t="s">
        <v>7690</v>
      </c>
      <c r="B3872" s="626" t="s">
        <v>1908</v>
      </c>
      <c r="C3872" s="638" t="s">
        <v>7691</v>
      </c>
      <c r="D3872" s="640" t="s">
        <v>6092</v>
      </c>
      <c r="E3872" s="717">
        <v>2300</v>
      </c>
      <c r="F3872" s="640" t="s">
        <v>7883</v>
      </c>
      <c r="G3872" s="648" t="s">
        <v>7884</v>
      </c>
      <c r="H3872" s="640" t="s">
        <v>6092</v>
      </c>
      <c r="I3872" s="648" t="s">
        <v>1993</v>
      </c>
      <c r="J3872" s="626" t="s">
        <v>7713</v>
      </c>
      <c r="K3872" s="639"/>
      <c r="L3872" s="640"/>
      <c r="M3872" s="638"/>
      <c r="N3872" s="641" t="s">
        <v>3928</v>
      </c>
      <c r="O3872" s="642">
        <v>6</v>
      </c>
      <c r="P3872" s="719">
        <f t="shared" si="42"/>
        <v>13800</v>
      </c>
    </row>
    <row r="3873" spans="1:16" s="619" customFormat="1" ht="24" x14ac:dyDescent="0.2">
      <c r="A3873" s="625" t="s">
        <v>7690</v>
      </c>
      <c r="B3873" s="626" t="s">
        <v>1908</v>
      </c>
      <c r="C3873" s="638" t="s">
        <v>7691</v>
      </c>
      <c r="D3873" s="640" t="s">
        <v>2660</v>
      </c>
      <c r="E3873" s="717">
        <v>1100</v>
      </c>
      <c r="F3873" s="640" t="s">
        <v>7885</v>
      </c>
      <c r="G3873" s="648" t="s">
        <v>7886</v>
      </c>
      <c r="H3873" s="640" t="s">
        <v>2660</v>
      </c>
      <c r="I3873" s="642" t="s">
        <v>2660</v>
      </c>
      <c r="J3873" s="626" t="s">
        <v>7713</v>
      </c>
      <c r="K3873" s="639"/>
      <c r="L3873" s="640"/>
      <c r="M3873" s="638"/>
      <c r="N3873" s="641" t="s">
        <v>3928</v>
      </c>
      <c r="O3873" s="642">
        <v>6</v>
      </c>
      <c r="P3873" s="719">
        <f t="shared" si="42"/>
        <v>6600</v>
      </c>
    </row>
    <row r="3874" spans="1:16" s="619" customFormat="1" ht="24" x14ac:dyDescent="0.2">
      <c r="A3874" s="625" t="s">
        <v>7690</v>
      </c>
      <c r="B3874" s="626" t="s">
        <v>1908</v>
      </c>
      <c r="C3874" s="638" t="s">
        <v>7691</v>
      </c>
      <c r="D3874" s="640" t="s">
        <v>3548</v>
      </c>
      <c r="E3874" s="717">
        <v>1000</v>
      </c>
      <c r="F3874" s="640" t="s">
        <v>7887</v>
      </c>
      <c r="G3874" s="648" t="s">
        <v>7888</v>
      </c>
      <c r="H3874" s="640" t="s">
        <v>3548</v>
      </c>
      <c r="I3874" s="648" t="s">
        <v>1919</v>
      </c>
      <c r="J3874" s="626" t="s">
        <v>7698</v>
      </c>
      <c r="K3874" s="639"/>
      <c r="L3874" s="640"/>
      <c r="M3874" s="638"/>
      <c r="N3874" s="641" t="s">
        <v>3928</v>
      </c>
      <c r="O3874" s="642">
        <v>6</v>
      </c>
      <c r="P3874" s="719">
        <f t="shared" si="42"/>
        <v>6000</v>
      </c>
    </row>
    <row r="3875" spans="1:16" s="619" customFormat="1" ht="72" x14ac:dyDescent="0.2">
      <c r="A3875" s="625" t="s">
        <v>7690</v>
      </c>
      <c r="B3875" s="626" t="s">
        <v>1908</v>
      </c>
      <c r="C3875" s="638" t="s">
        <v>7691</v>
      </c>
      <c r="D3875" s="640" t="s">
        <v>7724</v>
      </c>
      <c r="E3875" s="717">
        <v>2300</v>
      </c>
      <c r="F3875" s="640" t="s">
        <v>7889</v>
      </c>
      <c r="G3875" s="648" t="s">
        <v>7890</v>
      </c>
      <c r="H3875" s="640" t="s">
        <v>7724</v>
      </c>
      <c r="I3875" s="648" t="s">
        <v>8402</v>
      </c>
      <c r="J3875" s="626" t="s">
        <v>7713</v>
      </c>
      <c r="K3875" s="639"/>
      <c r="L3875" s="640"/>
      <c r="M3875" s="638"/>
      <c r="N3875" s="641" t="s">
        <v>3928</v>
      </c>
      <c r="O3875" s="642">
        <v>6</v>
      </c>
      <c r="P3875" s="719">
        <f t="shared" si="42"/>
        <v>13800</v>
      </c>
    </row>
    <row r="3876" spans="1:16" s="619" customFormat="1" ht="24" x14ac:dyDescent="0.2">
      <c r="A3876" s="625" t="s">
        <v>7690</v>
      </c>
      <c r="B3876" s="626" t="s">
        <v>1908</v>
      </c>
      <c r="C3876" s="638" t="s">
        <v>7691</v>
      </c>
      <c r="D3876" s="640" t="s">
        <v>7626</v>
      </c>
      <c r="E3876" s="717">
        <v>1200</v>
      </c>
      <c r="F3876" s="640" t="s">
        <v>8403</v>
      </c>
      <c r="G3876" s="648" t="s">
        <v>8404</v>
      </c>
      <c r="H3876" s="640" t="s">
        <v>7626</v>
      </c>
      <c r="I3876" s="642" t="s">
        <v>7626</v>
      </c>
      <c r="J3876" s="626" t="s">
        <v>7713</v>
      </c>
      <c r="K3876" s="639"/>
      <c r="L3876" s="640"/>
      <c r="M3876" s="638"/>
      <c r="N3876" s="641" t="s">
        <v>3928</v>
      </c>
      <c r="O3876" s="642">
        <v>6</v>
      </c>
      <c r="P3876" s="719">
        <f t="shared" si="42"/>
        <v>7200</v>
      </c>
    </row>
    <row r="3877" spans="1:16" s="619" customFormat="1" ht="24" x14ac:dyDescent="0.2">
      <c r="A3877" s="625" t="s">
        <v>7690</v>
      </c>
      <c r="B3877" s="626" t="s">
        <v>1908</v>
      </c>
      <c r="C3877" s="638" t="s">
        <v>7691</v>
      </c>
      <c r="D3877" s="640" t="s">
        <v>2660</v>
      </c>
      <c r="E3877" s="717">
        <v>1100</v>
      </c>
      <c r="F3877" s="640" t="s">
        <v>7897</v>
      </c>
      <c r="G3877" s="648" t="s">
        <v>7898</v>
      </c>
      <c r="H3877" s="640" t="s">
        <v>2660</v>
      </c>
      <c r="I3877" s="642" t="s">
        <v>2660</v>
      </c>
      <c r="J3877" s="626" t="s">
        <v>7713</v>
      </c>
      <c r="K3877" s="639"/>
      <c r="L3877" s="640"/>
      <c r="M3877" s="638"/>
      <c r="N3877" s="641" t="s">
        <v>3928</v>
      </c>
      <c r="O3877" s="642">
        <v>6</v>
      </c>
      <c r="P3877" s="719">
        <f t="shared" si="42"/>
        <v>6600</v>
      </c>
    </row>
    <row r="3878" spans="1:16" s="619" customFormat="1" ht="24" x14ac:dyDescent="0.2">
      <c r="A3878" s="625" t="s">
        <v>7690</v>
      </c>
      <c r="B3878" s="626" t="s">
        <v>1908</v>
      </c>
      <c r="C3878" s="638" t="s">
        <v>7691</v>
      </c>
      <c r="D3878" s="640" t="s">
        <v>2660</v>
      </c>
      <c r="E3878" s="717">
        <v>1100</v>
      </c>
      <c r="F3878" s="640" t="s">
        <v>7903</v>
      </c>
      <c r="G3878" s="648" t="s">
        <v>7904</v>
      </c>
      <c r="H3878" s="640" t="s">
        <v>2660</v>
      </c>
      <c r="I3878" s="642" t="s">
        <v>2660</v>
      </c>
      <c r="J3878" s="626" t="s">
        <v>7713</v>
      </c>
      <c r="K3878" s="639"/>
      <c r="L3878" s="640"/>
      <c r="M3878" s="638"/>
      <c r="N3878" s="641" t="s">
        <v>3928</v>
      </c>
      <c r="O3878" s="642">
        <v>6</v>
      </c>
      <c r="P3878" s="719">
        <f t="shared" si="42"/>
        <v>6600</v>
      </c>
    </row>
    <row r="3879" spans="1:16" s="619" customFormat="1" ht="36" x14ac:dyDescent="0.2">
      <c r="A3879" s="625" t="s">
        <v>7690</v>
      </c>
      <c r="B3879" s="626" t="s">
        <v>1908</v>
      </c>
      <c r="C3879" s="638" t="s">
        <v>7691</v>
      </c>
      <c r="D3879" s="640" t="s">
        <v>2660</v>
      </c>
      <c r="E3879" s="717">
        <v>1100</v>
      </c>
      <c r="F3879" s="640" t="s">
        <v>7909</v>
      </c>
      <c r="G3879" s="648" t="s">
        <v>7910</v>
      </c>
      <c r="H3879" s="640" t="s">
        <v>2660</v>
      </c>
      <c r="I3879" s="642" t="s">
        <v>2660</v>
      </c>
      <c r="J3879" s="626" t="s">
        <v>7713</v>
      </c>
      <c r="K3879" s="639"/>
      <c r="L3879" s="640"/>
      <c r="M3879" s="638"/>
      <c r="N3879" s="641" t="s">
        <v>3928</v>
      </c>
      <c r="O3879" s="642">
        <v>6</v>
      </c>
      <c r="P3879" s="719">
        <f t="shared" si="42"/>
        <v>6600</v>
      </c>
    </row>
    <row r="3880" spans="1:16" s="619" customFormat="1" ht="36" x14ac:dyDescent="0.2">
      <c r="A3880" s="625" t="s">
        <v>7690</v>
      </c>
      <c r="B3880" s="626" t="s">
        <v>1908</v>
      </c>
      <c r="C3880" s="638" t="s">
        <v>7691</v>
      </c>
      <c r="D3880" s="640" t="s">
        <v>6149</v>
      </c>
      <c r="E3880" s="717">
        <v>5000</v>
      </c>
      <c r="F3880" s="640" t="s">
        <v>7911</v>
      </c>
      <c r="G3880" s="648" t="s">
        <v>7912</v>
      </c>
      <c r="H3880" s="640" t="s">
        <v>6149</v>
      </c>
      <c r="I3880" s="648" t="s">
        <v>8399</v>
      </c>
      <c r="J3880" s="626" t="s">
        <v>7713</v>
      </c>
      <c r="K3880" s="639"/>
      <c r="L3880" s="640"/>
      <c r="M3880" s="638"/>
      <c r="N3880" s="641" t="s">
        <v>3928</v>
      </c>
      <c r="O3880" s="642">
        <v>6</v>
      </c>
      <c r="P3880" s="719">
        <f t="shared" si="42"/>
        <v>30000</v>
      </c>
    </row>
    <row r="3881" spans="1:16" s="619" customFormat="1" ht="36" x14ac:dyDescent="0.2">
      <c r="A3881" s="625" t="s">
        <v>7690</v>
      </c>
      <c r="B3881" s="626" t="s">
        <v>1908</v>
      </c>
      <c r="C3881" s="638" t="s">
        <v>7691</v>
      </c>
      <c r="D3881" s="640" t="s">
        <v>2660</v>
      </c>
      <c r="E3881" s="717">
        <v>1100</v>
      </c>
      <c r="F3881" s="640" t="s">
        <v>7915</v>
      </c>
      <c r="G3881" s="648" t="s">
        <v>7916</v>
      </c>
      <c r="H3881" s="640" t="s">
        <v>2660</v>
      </c>
      <c r="I3881" s="642" t="s">
        <v>2660</v>
      </c>
      <c r="J3881" s="626" t="s">
        <v>7713</v>
      </c>
      <c r="K3881" s="639"/>
      <c r="L3881" s="640"/>
      <c r="M3881" s="638"/>
      <c r="N3881" s="641" t="s">
        <v>3928</v>
      </c>
      <c r="O3881" s="642">
        <v>6</v>
      </c>
      <c r="P3881" s="719">
        <f t="shared" si="42"/>
        <v>6600</v>
      </c>
    </row>
    <row r="3882" spans="1:16" s="619" customFormat="1" ht="24" x14ac:dyDescent="0.2">
      <c r="A3882" s="625" t="s">
        <v>7690</v>
      </c>
      <c r="B3882" s="626" t="s">
        <v>1908</v>
      </c>
      <c r="C3882" s="638" t="s">
        <v>7691</v>
      </c>
      <c r="D3882" s="640" t="s">
        <v>7923</v>
      </c>
      <c r="E3882" s="717">
        <v>2300</v>
      </c>
      <c r="F3882" s="640" t="s">
        <v>7921</v>
      </c>
      <c r="G3882" s="648" t="s">
        <v>7922</v>
      </c>
      <c r="H3882" s="640" t="s">
        <v>7923</v>
      </c>
      <c r="I3882" s="648" t="s">
        <v>2787</v>
      </c>
      <c r="J3882" s="626" t="s">
        <v>3768</v>
      </c>
      <c r="K3882" s="639"/>
      <c r="L3882" s="640"/>
      <c r="M3882" s="638"/>
      <c r="N3882" s="641" t="s">
        <v>3928</v>
      </c>
      <c r="O3882" s="642">
        <v>6</v>
      </c>
      <c r="P3882" s="719">
        <f t="shared" si="42"/>
        <v>13800</v>
      </c>
    </row>
    <row r="3883" spans="1:16" s="619" customFormat="1" ht="24" x14ac:dyDescent="0.2">
      <c r="A3883" s="625" t="s">
        <v>7690</v>
      </c>
      <c r="B3883" s="626" t="s">
        <v>1908</v>
      </c>
      <c r="C3883" s="638" t="s">
        <v>7691</v>
      </c>
      <c r="D3883" s="640" t="s">
        <v>2660</v>
      </c>
      <c r="E3883" s="717">
        <v>1100</v>
      </c>
      <c r="F3883" s="640" t="s">
        <v>8405</v>
      </c>
      <c r="G3883" s="648" t="s">
        <v>8406</v>
      </c>
      <c r="H3883" s="640" t="s">
        <v>2660</v>
      </c>
      <c r="I3883" s="642" t="s">
        <v>2660</v>
      </c>
      <c r="J3883" s="626" t="s">
        <v>7713</v>
      </c>
      <c r="K3883" s="639"/>
      <c r="L3883" s="640"/>
      <c r="M3883" s="638"/>
      <c r="N3883" s="641" t="s">
        <v>3928</v>
      </c>
      <c r="O3883" s="642">
        <v>5</v>
      </c>
      <c r="P3883" s="719">
        <f t="shared" si="42"/>
        <v>5500</v>
      </c>
    </row>
    <row r="3884" spans="1:16" s="619" customFormat="1" ht="36" x14ac:dyDescent="0.2">
      <c r="A3884" s="625" t="s">
        <v>7690</v>
      </c>
      <c r="B3884" s="626" t="s">
        <v>1908</v>
      </c>
      <c r="C3884" s="638" t="s">
        <v>7691</v>
      </c>
      <c r="D3884" s="640" t="s">
        <v>6114</v>
      </c>
      <c r="E3884" s="717">
        <v>1200</v>
      </c>
      <c r="F3884" s="640" t="s">
        <v>7924</v>
      </c>
      <c r="G3884" s="648" t="s">
        <v>7925</v>
      </c>
      <c r="H3884" s="640" t="s">
        <v>6114</v>
      </c>
      <c r="I3884" s="642" t="s">
        <v>6114</v>
      </c>
      <c r="J3884" s="626" t="s">
        <v>7713</v>
      </c>
      <c r="K3884" s="639"/>
      <c r="L3884" s="640"/>
      <c r="M3884" s="638"/>
      <c r="N3884" s="641" t="s">
        <v>3928</v>
      </c>
      <c r="O3884" s="642">
        <v>6</v>
      </c>
      <c r="P3884" s="719">
        <f t="shared" si="42"/>
        <v>7200</v>
      </c>
    </row>
    <row r="3885" spans="1:16" s="619" customFormat="1" ht="24" x14ac:dyDescent="0.2">
      <c r="A3885" s="625" t="s">
        <v>7690</v>
      </c>
      <c r="B3885" s="626" t="s">
        <v>1908</v>
      </c>
      <c r="C3885" s="638" t="s">
        <v>7691</v>
      </c>
      <c r="D3885" s="640" t="s">
        <v>2660</v>
      </c>
      <c r="E3885" s="717">
        <v>1500</v>
      </c>
      <c r="F3885" s="640" t="s">
        <v>7929</v>
      </c>
      <c r="G3885" s="648" t="s">
        <v>7930</v>
      </c>
      <c r="H3885" s="640" t="s">
        <v>2660</v>
      </c>
      <c r="I3885" s="642" t="s">
        <v>2660</v>
      </c>
      <c r="J3885" s="626" t="s">
        <v>7713</v>
      </c>
      <c r="K3885" s="639"/>
      <c r="L3885" s="640"/>
      <c r="M3885" s="638"/>
      <c r="N3885" s="641" t="s">
        <v>3928</v>
      </c>
      <c r="O3885" s="642">
        <v>6</v>
      </c>
      <c r="P3885" s="719">
        <f t="shared" si="42"/>
        <v>9000</v>
      </c>
    </row>
    <row r="3886" spans="1:16" s="619" customFormat="1" ht="24" x14ac:dyDescent="0.2">
      <c r="A3886" s="625" t="s">
        <v>7690</v>
      </c>
      <c r="B3886" s="626" t="s">
        <v>1908</v>
      </c>
      <c r="C3886" s="638" t="s">
        <v>7691</v>
      </c>
      <c r="D3886" s="640" t="s">
        <v>6092</v>
      </c>
      <c r="E3886" s="717">
        <v>2300</v>
      </c>
      <c r="F3886" s="640" t="s">
        <v>7931</v>
      </c>
      <c r="G3886" s="648" t="s">
        <v>7932</v>
      </c>
      <c r="H3886" s="640" t="s">
        <v>6092</v>
      </c>
      <c r="I3886" s="648" t="s">
        <v>1993</v>
      </c>
      <c r="J3886" s="626" t="s">
        <v>7713</v>
      </c>
      <c r="K3886" s="639"/>
      <c r="L3886" s="640"/>
      <c r="M3886" s="638"/>
      <c r="N3886" s="641" t="s">
        <v>3928</v>
      </c>
      <c r="O3886" s="642">
        <v>6</v>
      </c>
      <c r="P3886" s="719">
        <f t="shared" si="42"/>
        <v>13800</v>
      </c>
    </row>
    <row r="3887" spans="1:16" s="619" customFormat="1" ht="36" x14ac:dyDescent="0.2">
      <c r="A3887" s="625" t="s">
        <v>7690</v>
      </c>
      <c r="B3887" s="626" t="s">
        <v>1908</v>
      </c>
      <c r="C3887" s="638" t="s">
        <v>7691</v>
      </c>
      <c r="D3887" s="640" t="s">
        <v>2660</v>
      </c>
      <c r="E3887" s="717">
        <v>1100</v>
      </c>
      <c r="F3887" s="640" t="s">
        <v>7933</v>
      </c>
      <c r="G3887" s="648" t="s">
        <v>7934</v>
      </c>
      <c r="H3887" s="640" t="s">
        <v>2660</v>
      </c>
      <c r="I3887" s="642" t="s">
        <v>2660</v>
      </c>
      <c r="J3887" s="626" t="s">
        <v>7713</v>
      </c>
      <c r="K3887" s="639"/>
      <c r="L3887" s="640"/>
      <c r="M3887" s="638"/>
      <c r="N3887" s="641" t="s">
        <v>3928</v>
      </c>
      <c r="O3887" s="642">
        <v>6</v>
      </c>
      <c r="P3887" s="719">
        <f t="shared" si="42"/>
        <v>6600</v>
      </c>
    </row>
    <row r="3888" spans="1:16" s="619" customFormat="1" ht="24" x14ac:dyDescent="0.2">
      <c r="A3888" s="625" t="s">
        <v>7690</v>
      </c>
      <c r="B3888" s="626" t="s">
        <v>1908</v>
      </c>
      <c r="C3888" s="638" t="s">
        <v>7691</v>
      </c>
      <c r="D3888" s="640" t="s">
        <v>2660</v>
      </c>
      <c r="E3888" s="717">
        <v>1200</v>
      </c>
      <c r="F3888" s="640" t="s">
        <v>7935</v>
      </c>
      <c r="G3888" s="648" t="s">
        <v>7936</v>
      </c>
      <c r="H3888" s="640" t="s">
        <v>2660</v>
      </c>
      <c r="I3888" s="642" t="s">
        <v>2660</v>
      </c>
      <c r="J3888" s="626" t="s">
        <v>7713</v>
      </c>
      <c r="K3888" s="639"/>
      <c r="L3888" s="640"/>
      <c r="M3888" s="638"/>
      <c r="N3888" s="641" t="s">
        <v>3928</v>
      </c>
      <c r="O3888" s="642">
        <v>6</v>
      </c>
      <c r="P3888" s="719">
        <f t="shared" ref="P3888:P3951" si="43">+E3888*O3888</f>
        <v>7200</v>
      </c>
    </row>
    <row r="3889" spans="1:16" s="619" customFormat="1" ht="24" x14ac:dyDescent="0.2">
      <c r="A3889" s="625" t="s">
        <v>7690</v>
      </c>
      <c r="B3889" s="626" t="s">
        <v>1908</v>
      </c>
      <c r="C3889" s="638" t="s">
        <v>7691</v>
      </c>
      <c r="D3889" s="640" t="s">
        <v>2660</v>
      </c>
      <c r="E3889" s="717">
        <v>1100</v>
      </c>
      <c r="F3889" s="640" t="s">
        <v>7937</v>
      </c>
      <c r="G3889" s="648" t="s">
        <v>7938</v>
      </c>
      <c r="H3889" s="640" t="s">
        <v>2660</v>
      </c>
      <c r="I3889" s="642" t="s">
        <v>2660</v>
      </c>
      <c r="J3889" s="626" t="s">
        <v>7713</v>
      </c>
      <c r="K3889" s="639"/>
      <c r="L3889" s="640"/>
      <c r="M3889" s="638"/>
      <c r="N3889" s="641" t="s">
        <v>3928</v>
      </c>
      <c r="O3889" s="642">
        <v>6</v>
      </c>
      <c r="P3889" s="719">
        <f t="shared" si="43"/>
        <v>6600</v>
      </c>
    </row>
    <row r="3890" spans="1:16" s="619" customFormat="1" ht="72" x14ac:dyDescent="0.2">
      <c r="A3890" s="625" t="s">
        <v>7690</v>
      </c>
      <c r="B3890" s="626" t="s">
        <v>1908</v>
      </c>
      <c r="C3890" s="638" t="s">
        <v>7691</v>
      </c>
      <c r="D3890" s="640" t="s">
        <v>7724</v>
      </c>
      <c r="E3890" s="717">
        <v>2000</v>
      </c>
      <c r="F3890" s="640" t="s">
        <v>7941</v>
      </c>
      <c r="G3890" s="648" t="s">
        <v>7942</v>
      </c>
      <c r="H3890" s="640" t="s">
        <v>7724</v>
      </c>
      <c r="I3890" s="648" t="s">
        <v>8402</v>
      </c>
      <c r="J3890" s="626" t="s">
        <v>7713</v>
      </c>
      <c r="K3890" s="639"/>
      <c r="L3890" s="640"/>
      <c r="M3890" s="638"/>
      <c r="N3890" s="641" t="s">
        <v>3928</v>
      </c>
      <c r="O3890" s="642">
        <v>6</v>
      </c>
      <c r="P3890" s="719">
        <f t="shared" si="43"/>
        <v>12000</v>
      </c>
    </row>
    <row r="3891" spans="1:16" s="619" customFormat="1" ht="36" x14ac:dyDescent="0.2">
      <c r="A3891" s="625" t="s">
        <v>7690</v>
      </c>
      <c r="B3891" s="626" t="s">
        <v>1908</v>
      </c>
      <c r="C3891" s="638" t="s">
        <v>7691</v>
      </c>
      <c r="D3891" s="640" t="s">
        <v>6876</v>
      </c>
      <c r="E3891" s="717">
        <v>1100</v>
      </c>
      <c r="F3891" s="640" t="s">
        <v>7944</v>
      </c>
      <c r="G3891" s="648" t="s">
        <v>7945</v>
      </c>
      <c r="H3891" s="640" t="s">
        <v>6876</v>
      </c>
      <c r="I3891" s="648" t="s">
        <v>1919</v>
      </c>
      <c r="J3891" s="626" t="s">
        <v>7698</v>
      </c>
      <c r="K3891" s="639"/>
      <c r="L3891" s="640"/>
      <c r="M3891" s="638"/>
      <c r="N3891" s="641" t="s">
        <v>3928</v>
      </c>
      <c r="O3891" s="642">
        <v>6</v>
      </c>
      <c r="P3891" s="719">
        <f t="shared" si="43"/>
        <v>6600</v>
      </c>
    </row>
    <row r="3892" spans="1:16" s="619" customFormat="1" ht="36" x14ac:dyDescent="0.2">
      <c r="A3892" s="625" t="s">
        <v>7690</v>
      </c>
      <c r="B3892" s="626" t="s">
        <v>1908</v>
      </c>
      <c r="C3892" s="638" t="s">
        <v>7691</v>
      </c>
      <c r="D3892" s="640" t="s">
        <v>2660</v>
      </c>
      <c r="E3892" s="717">
        <v>1200</v>
      </c>
      <c r="F3892" s="640" t="s">
        <v>7946</v>
      </c>
      <c r="G3892" s="648" t="s">
        <v>7947</v>
      </c>
      <c r="H3892" s="640" t="s">
        <v>2660</v>
      </c>
      <c r="I3892" s="642" t="s">
        <v>2660</v>
      </c>
      <c r="J3892" s="626" t="s">
        <v>7713</v>
      </c>
      <c r="K3892" s="639"/>
      <c r="L3892" s="640"/>
      <c r="M3892" s="638"/>
      <c r="N3892" s="641" t="s">
        <v>3928</v>
      </c>
      <c r="O3892" s="642">
        <v>6</v>
      </c>
      <c r="P3892" s="719">
        <f t="shared" si="43"/>
        <v>7200</v>
      </c>
    </row>
    <row r="3893" spans="1:16" s="619" customFormat="1" ht="24" x14ac:dyDescent="0.2">
      <c r="A3893" s="625" t="s">
        <v>7690</v>
      </c>
      <c r="B3893" s="626" t="s">
        <v>1908</v>
      </c>
      <c r="C3893" s="638" t="s">
        <v>7691</v>
      </c>
      <c r="D3893" s="640" t="s">
        <v>3583</v>
      </c>
      <c r="E3893" s="717">
        <v>1500</v>
      </c>
      <c r="F3893" s="640" t="s">
        <v>8407</v>
      </c>
      <c r="G3893" s="648" t="s">
        <v>8408</v>
      </c>
      <c r="H3893" s="640" t="s">
        <v>3583</v>
      </c>
      <c r="I3893" s="648" t="s">
        <v>8409</v>
      </c>
      <c r="J3893" s="626" t="s">
        <v>3768</v>
      </c>
      <c r="K3893" s="639"/>
      <c r="L3893" s="640"/>
      <c r="M3893" s="638"/>
      <c r="N3893" s="641" t="s">
        <v>3928</v>
      </c>
      <c r="O3893" s="642">
        <v>6</v>
      </c>
      <c r="P3893" s="719">
        <f t="shared" si="43"/>
        <v>9000</v>
      </c>
    </row>
    <row r="3894" spans="1:16" s="619" customFormat="1" ht="24" x14ac:dyDescent="0.2">
      <c r="A3894" s="625" t="s">
        <v>7690</v>
      </c>
      <c r="B3894" s="626" t="s">
        <v>1908</v>
      </c>
      <c r="C3894" s="638" t="s">
        <v>7691</v>
      </c>
      <c r="D3894" s="640" t="s">
        <v>2660</v>
      </c>
      <c r="E3894" s="717">
        <v>1200</v>
      </c>
      <c r="F3894" s="640" t="s">
        <v>7960</v>
      </c>
      <c r="G3894" s="648" t="s">
        <v>7961</v>
      </c>
      <c r="H3894" s="640" t="s">
        <v>2660</v>
      </c>
      <c r="I3894" s="642" t="s">
        <v>2660</v>
      </c>
      <c r="J3894" s="626" t="s">
        <v>7713</v>
      </c>
      <c r="K3894" s="639"/>
      <c r="L3894" s="640"/>
      <c r="M3894" s="638"/>
      <c r="N3894" s="641" t="s">
        <v>3928</v>
      </c>
      <c r="O3894" s="642">
        <v>6</v>
      </c>
      <c r="P3894" s="719">
        <f t="shared" si="43"/>
        <v>7200</v>
      </c>
    </row>
    <row r="3895" spans="1:16" s="619" customFormat="1" ht="24" x14ac:dyDescent="0.2">
      <c r="A3895" s="625" t="s">
        <v>7690</v>
      </c>
      <c r="B3895" s="626" t="s">
        <v>1908</v>
      </c>
      <c r="C3895" s="638" t="s">
        <v>7691</v>
      </c>
      <c r="D3895" s="640" t="s">
        <v>2660</v>
      </c>
      <c r="E3895" s="717">
        <v>1100</v>
      </c>
      <c r="F3895" s="640" t="s">
        <v>7962</v>
      </c>
      <c r="G3895" s="648" t="s">
        <v>7963</v>
      </c>
      <c r="H3895" s="640" t="s">
        <v>2660</v>
      </c>
      <c r="I3895" s="642" t="s">
        <v>2660</v>
      </c>
      <c r="J3895" s="626" t="s">
        <v>7713</v>
      </c>
      <c r="K3895" s="639"/>
      <c r="L3895" s="640"/>
      <c r="M3895" s="638"/>
      <c r="N3895" s="641" t="s">
        <v>3928</v>
      </c>
      <c r="O3895" s="642">
        <v>6</v>
      </c>
      <c r="P3895" s="719">
        <f t="shared" si="43"/>
        <v>6600</v>
      </c>
    </row>
    <row r="3896" spans="1:16" s="619" customFormat="1" ht="36" x14ac:dyDescent="0.2">
      <c r="A3896" s="625" t="s">
        <v>7690</v>
      </c>
      <c r="B3896" s="626" t="s">
        <v>1908</v>
      </c>
      <c r="C3896" s="638" t="s">
        <v>7691</v>
      </c>
      <c r="D3896" s="640" t="s">
        <v>6092</v>
      </c>
      <c r="E3896" s="717">
        <v>2000</v>
      </c>
      <c r="F3896" s="640" t="s">
        <v>7966</v>
      </c>
      <c r="G3896" s="648" t="s">
        <v>7967</v>
      </c>
      <c r="H3896" s="640" t="s">
        <v>6092</v>
      </c>
      <c r="I3896" s="648" t="s">
        <v>1993</v>
      </c>
      <c r="J3896" s="626" t="s">
        <v>7713</v>
      </c>
      <c r="K3896" s="639"/>
      <c r="L3896" s="640"/>
      <c r="M3896" s="638"/>
      <c r="N3896" s="641" t="s">
        <v>3928</v>
      </c>
      <c r="O3896" s="642">
        <v>6</v>
      </c>
      <c r="P3896" s="719">
        <f t="shared" si="43"/>
        <v>12000</v>
      </c>
    </row>
    <row r="3897" spans="1:16" s="619" customFormat="1" ht="36" x14ac:dyDescent="0.2">
      <c r="A3897" s="625" t="s">
        <v>7690</v>
      </c>
      <c r="B3897" s="626" t="s">
        <v>1908</v>
      </c>
      <c r="C3897" s="638" t="s">
        <v>7691</v>
      </c>
      <c r="D3897" s="640" t="s">
        <v>2660</v>
      </c>
      <c r="E3897" s="717">
        <v>1200</v>
      </c>
      <c r="F3897" s="640" t="s">
        <v>7968</v>
      </c>
      <c r="G3897" s="648" t="s">
        <v>7969</v>
      </c>
      <c r="H3897" s="640" t="s">
        <v>2660</v>
      </c>
      <c r="I3897" s="642" t="s">
        <v>2660</v>
      </c>
      <c r="J3897" s="626" t="s">
        <v>7713</v>
      </c>
      <c r="K3897" s="639"/>
      <c r="L3897" s="640"/>
      <c r="M3897" s="638"/>
      <c r="N3897" s="641" t="s">
        <v>3928</v>
      </c>
      <c r="O3897" s="642">
        <v>6</v>
      </c>
      <c r="P3897" s="719">
        <f t="shared" si="43"/>
        <v>7200</v>
      </c>
    </row>
    <row r="3898" spans="1:16" s="619" customFormat="1" ht="36" x14ac:dyDescent="0.2">
      <c r="A3898" s="625" t="s">
        <v>7690</v>
      </c>
      <c r="B3898" s="626" t="s">
        <v>1908</v>
      </c>
      <c r="C3898" s="638" t="s">
        <v>7691</v>
      </c>
      <c r="D3898" s="640" t="s">
        <v>6114</v>
      </c>
      <c r="E3898" s="717">
        <v>1800</v>
      </c>
      <c r="F3898" s="640" t="s">
        <v>7972</v>
      </c>
      <c r="G3898" s="648" t="s">
        <v>7973</v>
      </c>
      <c r="H3898" s="640" t="s">
        <v>6114</v>
      </c>
      <c r="I3898" s="642" t="s">
        <v>6114</v>
      </c>
      <c r="J3898" s="626" t="s">
        <v>7713</v>
      </c>
      <c r="K3898" s="639"/>
      <c r="L3898" s="640"/>
      <c r="M3898" s="638"/>
      <c r="N3898" s="641" t="s">
        <v>3928</v>
      </c>
      <c r="O3898" s="642">
        <v>6</v>
      </c>
      <c r="P3898" s="719">
        <f t="shared" si="43"/>
        <v>10800</v>
      </c>
    </row>
    <row r="3899" spans="1:16" s="619" customFormat="1" ht="36" x14ac:dyDescent="0.2">
      <c r="A3899" s="625" t="s">
        <v>7690</v>
      </c>
      <c r="B3899" s="626" t="s">
        <v>1908</v>
      </c>
      <c r="C3899" s="638" t="s">
        <v>7691</v>
      </c>
      <c r="D3899" s="640" t="s">
        <v>2660</v>
      </c>
      <c r="E3899" s="717">
        <v>1100</v>
      </c>
      <c r="F3899" s="640" t="s">
        <v>7974</v>
      </c>
      <c r="G3899" s="648" t="s">
        <v>7975</v>
      </c>
      <c r="H3899" s="640" t="s">
        <v>2660</v>
      </c>
      <c r="I3899" s="642" t="s">
        <v>2660</v>
      </c>
      <c r="J3899" s="626" t="s">
        <v>7713</v>
      </c>
      <c r="K3899" s="639"/>
      <c r="L3899" s="640"/>
      <c r="M3899" s="638"/>
      <c r="N3899" s="641" t="s">
        <v>3928</v>
      </c>
      <c r="O3899" s="642">
        <v>6</v>
      </c>
      <c r="P3899" s="719">
        <f t="shared" si="43"/>
        <v>6600</v>
      </c>
    </row>
    <row r="3900" spans="1:16" s="619" customFormat="1" ht="36" x14ac:dyDescent="0.2">
      <c r="A3900" s="625" t="s">
        <v>7690</v>
      </c>
      <c r="B3900" s="626" t="s">
        <v>1908</v>
      </c>
      <c r="C3900" s="638" t="s">
        <v>7691</v>
      </c>
      <c r="D3900" s="640" t="s">
        <v>6114</v>
      </c>
      <c r="E3900" s="717">
        <v>1200</v>
      </c>
      <c r="F3900" s="640" t="s">
        <v>7982</v>
      </c>
      <c r="G3900" s="648" t="s">
        <v>7983</v>
      </c>
      <c r="H3900" s="640" t="s">
        <v>6114</v>
      </c>
      <c r="I3900" s="642" t="s">
        <v>6114</v>
      </c>
      <c r="J3900" s="626" t="s">
        <v>7713</v>
      </c>
      <c r="K3900" s="639"/>
      <c r="L3900" s="640"/>
      <c r="M3900" s="638"/>
      <c r="N3900" s="641" t="s">
        <v>3928</v>
      </c>
      <c r="O3900" s="642">
        <v>6</v>
      </c>
      <c r="P3900" s="719">
        <f t="shared" si="43"/>
        <v>7200</v>
      </c>
    </row>
    <row r="3901" spans="1:16" s="619" customFormat="1" ht="48" x14ac:dyDescent="0.2">
      <c r="A3901" s="625" t="s">
        <v>7690</v>
      </c>
      <c r="B3901" s="626" t="s">
        <v>1908</v>
      </c>
      <c r="C3901" s="638" t="s">
        <v>7691</v>
      </c>
      <c r="D3901" s="640" t="s">
        <v>6092</v>
      </c>
      <c r="E3901" s="717">
        <v>2300</v>
      </c>
      <c r="F3901" s="640" t="s">
        <v>7988</v>
      </c>
      <c r="G3901" s="648" t="s">
        <v>7989</v>
      </c>
      <c r="H3901" s="640" t="s">
        <v>6092</v>
      </c>
      <c r="I3901" s="648" t="s">
        <v>1993</v>
      </c>
      <c r="J3901" s="626" t="s">
        <v>7713</v>
      </c>
      <c r="K3901" s="639"/>
      <c r="L3901" s="640"/>
      <c r="M3901" s="638"/>
      <c r="N3901" s="641" t="s">
        <v>3928</v>
      </c>
      <c r="O3901" s="642">
        <v>6</v>
      </c>
      <c r="P3901" s="719">
        <f t="shared" si="43"/>
        <v>13800</v>
      </c>
    </row>
    <row r="3902" spans="1:16" s="619" customFormat="1" ht="36" x14ac:dyDescent="0.2">
      <c r="A3902" s="625" t="s">
        <v>7690</v>
      </c>
      <c r="B3902" s="626" t="s">
        <v>1908</v>
      </c>
      <c r="C3902" s="638" t="s">
        <v>7691</v>
      </c>
      <c r="D3902" s="640" t="s">
        <v>6114</v>
      </c>
      <c r="E3902" s="717">
        <v>1200</v>
      </c>
      <c r="F3902" s="640" t="s">
        <v>8410</v>
      </c>
      <c r="G3902" s="648" t="s">
        <v>8411</v>
      </c>
      <c r="H3902" s="640" t="s">
        <v>6114</v>
      </c>
      <c r="I3902" s="642" t="s">
        <v>6114</v>
      </c>
      <c r="J3902" s="626" t="s">
        <v>7713</v>
      </c>
      <c r="K3902" s="639"/>
      <c r="L3902" s="640"/>
      <c r="M3902" s="638"/>
      <c r="N3902" s="641" t="s">
        <v>3928</v>
      </c>
      <c r="O3902" s="642">
        <v>6</v>
      </c>
      <c r="P3902" s="719">
        <f t="shared" si="43"/>
        <v>7200</v>
      </c>
    </row>
    <row r="3903" spans="1:16" s="619" customFormat="1" ht="36" x14ac:dyDescent="0.2">
      <c r="A3903" s="625" t="s">
        <v>7690</v>
      </c>
      <c r="B3903" s="626" t="s">
        <v>1908</v>
      </c>
      <c r="C3903" s="638" t="s">
        <v>7691</v>
      </c>
      <c r="D3903" s="640" t="s">
        <v>2660</v>
      </c>
      <c r="E3903" s="717">
        <v>1200</v>
      </c>
      <c r="F3903" s="640" t="s">
        <v>7992</v>
      </c>
      <c r="G3903" s="648" t="s">
        <v>7993</v>
      </c>
      <c r="H3903" s="640" t="s">
        <v>2660</v>
      </c>
      <c r="I3903" s="642" t="s">
        <v>2660</v>
      </c>
      <c r="J3903" s="626" t="s">
        <v>7713</v>
      </c>
      <c r="K3903" s="639"/>
      <c r="L3903" s="640"/>
      <c r="M3903" s="638"/>
      <c r="N3903" s="641" t="s">
        <v>3928</v>
      </c>
      <c r="O3903" s="642">
        <v>6</v>
      </c>
      <c r="P3903" s="719">
        <f t="shared" si="43"/>
        <v>7200</v>
      </c>
    </row>
    <row r="3904" spans="1:16" s="619" customFormat="1" ht="36" x14ac:dyDescent="0.2">
      <c r="A3904" s="625" t="s">
        <v>7690</v>
      </c>
      <c r="B3904" s="626" t="s">
        <v>1908</v>
      </c>
      <c r="C3904" s="638" t="s">
        <v>7691</v>
      </c>
      <c r="D3904" s="640" t="s">
        <v>6114</v>
      </c>
      <c r="E3904" s="717">
        <v>1200</v>
      </c>
      <c r="F3904" s="640" t="s">
        <v>7994</v>
      </c>
      <c r="G3904" s="648" t="s">
        <v>7995</v>
      </c>
      <c r="H3904" s="640" t="s">
        <v>6114</v>
      </c>
      <c r="I3904" s="642" t="s">
        <v>6114</v>
      </c>
      <c r="J3904" s="626" t="s">
        <v>7713</v>
      </c>
      <c r="K3904" s="639"/>
      <c r="L3904" s="640"/>
      <c r="M3904" s="638"/>
      <c r="N3904" s="641" t="s">
        <v>3928</v>
      </c>
      <c r="O3904" s="642">
        <v>6</v>
      </c>
      <c r="P3904" s="719">
        <f t="shared" si="43"/>
        <v>7200</v>
      </c>
    </row>
    <row r="3905" spans="1:16" s="619" customFormat="1" ht="36" x14ac:dyDescent="0.2">
      <c r="A3905" s="625" t="s">
        <v>7690</v>
      </c>
      <c r="B3905" s="626" t="s">
        <v>1908</v>
      </c>
      <c r="C3905" s="638" t="s">
        <v>7691</v>
      </c>
      <c r="D3905" s="640" t="s">
        <v>6227</v>
      </c>
      <c r="E3905" s="717">
        <v>2300</v>
      </c>
      <c r="F3905" s="640" t="s">
        <v>7996</v>
      </c>
      <c r="G3905" s="648" t="s">
        <v>7997</v>
      </c>
      <c r="H3905" s="640" t="s">
        <v>6227</v>
      </c>
      <c r="I3905" s="648" t="s">
        <v>1988</v>
      </c>
      <c r="J3905" s="626" t="s">
        <v>7713</v>
      </c>
      <c r="K3905" s="639"/>
      <c r="L3905" s="640"/>
      <c r="M3905" s="638"/>
      <c r="N3905" s="641" t="s">
        <v>3928</v>
      </c>
      <c r="O3905" s="642">
        <v>6</v>
      </c>
      <c r="P3905" s="719">
        <f t="shared" si="43"/>
        <v>13800</v>
      </c>
    </row>
    <row r="3906" spans="1:16" s="619" customFormat="1" ht="24" x14ac:dyDescent="0.2">
      <c r="A3906" s="625" t="s">
        <v>7690</v>
      </c>
      <c r="B3906" s="626" t="s">
        <v>1908</v>
      </c>
      <c r="C3906" s="638" t="s">
        <v>7691</v>
      </c>
      <c r="D3906" s="640" t="s">
        <v>6548</v>
      </c>
      <c r="E3906" s="717">
        <v>2300</v>
      </c>
      <c r="F3906" s="640" t="s">
        <v>8002</v>
      </c>
      <c r="G3906" s="648" t="s">
        <v>8003</v>
      </c>
      <c r="H3906" s="640" t="s">
        <v>6548</v>
      </c>
      <c r="I3906" s="642" t="s">
        <v>6548</v>
      </c>
      <c r="J3906" s="626" t="s">
        <v>7713</v>
      </c>
      <c r="K3906" s="639"/>
      <c r="L3906" s="640"/>
      <c r="M3906" s="638"/>
      <c r="N3906" s="641" t="s">
        <v>3928</v>
      </c>
      <c r="O3906" s="642">
        <v>6</v>
      </c>
      <c r="P3906" s="719">
        <f t="shared" si="43"/>
        <v>13800</v>
      </c>
    </row>
    <row r="3907" spans="1:16" s="619" customFormat="1" ht="24" x14ac:dyDescent="0.2">
      <c r="A3907" s="625" t="s">
        <v>7690</v>
      </c>
      <c r="B3907" s="626" t="s">
        <v>1908</v>
      </c>
      <c r="C3907" s="638" t="s">
        <v>7691</v>
      </c>
      <c r="D3907" s="640" t="s">
        <v>2660</v>
      </c>
      <c r="E3907" s="717">
        <v>1100</v>
      </c>
      <c r="F3907" s="640" t="s">
        <v>8005</v>
      </c>
      <c r="G3907" s="648" t="s">
        <v>8006</v>
      </c>
      <c r="H3907" s="640" t="s">
        <v>2660</v>
      </c>
      <c r="I3907" s="642" t="s">
        <v>2660</v>
      </c>
      <c r="J3907" s="626" t="s">
        <v>7713</v>
      </c>
      <c r="K3907" s="639"/>
      <c r="L3907" s="640"/>
      <c r="M3907" s="638"/>
      <c r="N3907" s="641" t="s">
        <v>3928</v>
      </c>
      <c r="O3907" s="642">
        <v>6</v>
      </c>
      <c r="P3907" s="719">
        <f t="shared" si="43"/>
        <v>6600</v>
      </c>
    </row>
    <row r="3908" spans="1:16" s="619" customFormat="1" ht="24" x14ac:dyDescent="0.2">
      <c r="A3908" s="625" t="s">
        <v>7690</v>
      </c>
      <c r="B3908" s="626" t="s">
        <v>1908</v>
      </c>
      <c r="C3908" s="638" t="s">
        <v>7691</v>
      </c>
      <c r="D3908" s="640" t="s">
        <v>7626</v>
      </c>
      <c r="E3908" s="717">
        <v>1100</v>
      </c>
      <c r="F3908" s="640" t="s">
        <v>8007</v>
      </c>
      <c r="G3908" s="648" t="s">
        <v>8008</v>
      </c>
      <c r="H3908" s="640" t="s">
        <v>7626</v>
      </c>
      <c r="I3908" s="642" t="s">
        <v>7626</v>
      </c>
      <c r="J3908" s="626" t="s">
        <v>7713</v>
      </c>
      <c r="K3908" s="639"/>
      <c r="L3908" s="640"/>
      <c r="M3908" s="638"/>
      <c r="N3908" s="641" t="s">
        <v>3928</v>
      </c>
      <c r="O3908" s="642">
        <v>6</v>
      </c>
      <c r="P3908" s="719">
        <f t="shared" si="43"/>
        <v>6600</v>
      </c>
    </row>
    <row r="3909" spans="1:16" s="619" customFormat="1" ht="36" x14ac:dyDescent="0.2">
      <c r="A3909" s="625" t="s">
        <v>7690</v>
      </c>
      <c r="B3909" s="626" t="s">
        <v>1908</v>
      </c>
      <c r="C3909" s="638" t="s">
        <v>7691</v>
      </c>
      <c r="D3909" s="640" t="s">
        <v>8412</v>
      </c>
      <c r="E3909" s="717">
        <v>1100</v>
      </c>
      <c r="F3909" s="640" t="s">
        <v>8413</v>
      </c>
      <c r="G3909" s="648" t="s">
        <v>8414</v>
      </c>
      <c r="H3909" s="640" t="s">
        <v>8412</v>
      </c>
      <c r="I3909" s="648" t="s">
        <v>8415</v>
      </c>
      <c r="J3909" s="626" t="s">
        <v>7698</v>
      </c>
      <c r="K3909" s="639"/>
      <c r="L3909" s="640"/>
      <c r="M3909" s="638"/>
      <c r="N3909" s="641" t="s">
        <v>3928</v>
      </c>
      <c r="O3909" s="642">
        <v>6</v>
      </c>
      <c r="P3909" s="719">
        <f t="shared" si="43"/>
        <v>6600</v>
      </c>
    </row>
    <row r="3910" spans="1:16" s="619" customFormat="1" ht="24" x14ac:dyDescent="0.2">
      <c r="A3910" s="625" t="s">
        <v>7690</v>
      </c>
      <c r="B3910" s="626" t="s">
        <v>1908</v>
      </c>
      <c r="C3910" s="638" t="s">
        <v>7691</v>
      </c>
      <c r="D3910" s="640" t="s">
        <v>6092</v>
      </c>
      <c r="E3910" s="717">
        <v>2300</v>
      </c>
      <c r="F3910" s="640" t="s">
        <v>8009</v>
      </c>
      <c r="G3910" s="648" t="s">
        <v>8010</v>
      </c>
      <c r="H3910" s="640" t="s">
        <v>6092</v>
      </c>
      <c r="I3910" s="648" t="s">
        <v>1993</v>
      </c>
      <c r="J3910" s="626" t="s">
        <v>7713</v>
      </c>
      <c r="K3910" s="639"/>
      <c r="L3910" s="640"/>
      <c r="M3910" s="638"/>
      <c r="N3910" s="641" t="s">
        <v>3928</v>
      </c>
      <c r="O3910" s="642">
        <v>6</v>
      </c>
      <c r="P3910" s="719">
        <f t="shared" si="43"/>
        <v>13800</v>
      </c>
    </row>
    <row r="3911" spans="1:16" s="619" customFormat="1" ht="24" x14ac:dyDescent="0.2">
      <c r="A3911" s="625" t="s">
        <v>7690</v>
      </c>
      <c r="B3911" s="626" t="s">
        <v>1908</v>
      </c>
      <c r="C3911" s="638" t="s">
        <v>7691</v>
      </c>
      <c r="D3911" s="640" t="s">
        <v>2660</v>
      </c>
      <c r="E3911" s="717">
        <v>1200</v>
      </c>
      <c r="F3911" s="640" t="s">
        <v>8011</v>
      </c>
      <c r="G3911" s="648" t="s">
        <v>8012</v>
      </c>
      <c r="H3911" s="640" t="s">
        <v>2660</v>
      </c>
      <c r="I3911" s="642" t="s">
        <v>2660</v>
      </c>
      <c r="J3911" s="626" t="s">
        <v>7713</v>
      </c>
      <c r="K3911" s="639"/>
      <c r="L3911" s="640"/>
      <c r="M3911" s="638"/>
      <c r="N3911" s="641" t="s">
        <v>3928</v>
      </c>
      <c r="O3911" s="642">
        <v>6</v>
      </c>
      <c r="P3911" s="719">
        <f t="shared" si="43"/>
        <v>7200</v>
      </c>
    </row>
    <row r="3912" spans="1:16" s="619" customFormat="1" ht="36" x14ac:dyDescent="0.2">
      <c r="A3912" s="625" t="s">
        <v>7690</v>
      </c>
      <c r="B3912" s="626" t="s">
        <v>1908</v>
      </c>
      <c r="C3912" s="638" t="s">
        <v>7691</v>
      </c>
      <c r="D3912" s="640" t="s">
        <v>3548</v>
      </c>
      <c r="E3912" s="717">
        <v>1000</v>
      </c>
      <c r="F3912" s="640" t="s">
        <v>8016</v>
      </c>
      <c r="G3912" s="648" t="s">
        <v>8017</v>
      </c>
      <c r="H3912" s="640" t="s">
        <v>3548</v>
      </c>
      <c r="I3912" s="648" t="s">
        <v>1919</v>
      </c>
      <c r="J3912" s="626" t="s">
        <v>7698</v>
      </c>
      <c r="K3912" s="639"/>
      <c r="L3912" s="640"/>
      <c r="M3912" s="638"/>
      <c r="N3912" s="641" t="s">
        <v>3928</v>
      </c>
      <c r="O3912" s="642">
        <v>6</v>
      </c>
      <c r="P3912" s="719">
        <f t="shared" si="43"/>
        <v>6000</v>
      </c>
    </row>
    <row r="3913" spans="1:16" s="619" customFormat="1" ht="36" x14ac:dyDescent="0.2">
      <c r="A3913" s="625" t="s">
        <v>7690</v>
      </c>
      <c r="B3913" s="626" t="s">
        <v>1908</v>
      </c>
      <c r="C3913" s="638" t="s">
        <v>7691</v>
      </c>
      <c r="D3913" s="640" t="s">
        <v>2660</v>
      </c>
      <c r="E3913" s="717">
        <v>1100</v>
      </c>
      <c r="F3913" s="640" t="s">
        <v>8020</v>
      </c>
      <c r="G3913" s="648" t="s">
        <v>8021</v>
      </c>
      <c r="H3913" s="640" t="s">
        <v>2660</v>
      </c>
      <c r="I3913" s="642" t="s">
        <v>2660</v>
      </c>
      <c r="J3913" s="626" t="s">
        <v>7713</v>
      </c>
      <c r="K3913" s="639"/>
      <c r="L3913" s="640"/>
      <c r="M3913" s="638"/>
      <c r="N3913" s="641" t="s">
        <v>3928</v>
      </c>
      <c r="O3913" s="642">
        <v>6</v>
      </c>
      <c r="P3913" s="719">
        <f t="shared" si="43"/>
        <v>6600</v>
      </c>
    </row>
    <row r="3914" spans="1:16" s="619" customFormat="1" ht="24" x14ac:dyDescent="0.2">
      <c r="A3914" s="625" t="s">
        <v>7690</v>
      </c>
      <c r="B3914" s="626" t="s">
        <v>1908</v>
      </c>
      <c r="C3914" s="638" t="s">
        <v>7691</v>
      </c>
      <c r="D3914" s="640" t="s">
        <v>2660</v>
      </c>
      <c r="E3914" s="717">
        <v>1100</v>
      </c>
      <c r="F3914" s="640" t="s">
        <v>8028</v>
      </c>
      <c r="G3914" s="648" t="s">
        <v>8029</v>
      </c>
      <c r="H3914" s="640" t="s">
        <v>2660</v>
      </c>
      <c r="I3914" s="642" t="s">
        <v>2660</v>
      </c>
      <c r="J3914" s="626" t="s">
        <v>7713</v>
      </c>
      <c r="K3914" s="639"/>
      <c r="L3914" s="640"/>
      <c r="M3914" s="638"/>
      <c r="N3914" s="641" t="s">
        <v>3928</v>
      </c>
      <c r="O3914" s="642">
        <v>6</v>
      </c>
      <c r="P3914" s="719">
        <f t="shared" si="43"/>
        <v>6600</v>
      </c>
    </row>
    <row r="3915" spans="1:16" s="619" customFormat="1" ht="48" x14ac:dyDescent="0.2">
      <c r="A3915" s="625" t="s">
        <v>7690</v>
      </c>
      <c r="B3915" s="626" t="s">
        <v>1908</v>
      </c>
      <c r="C3915" s="638" t="s">
        <v>7691</v>
      </c>
      <c r="D3915" s="640" t="s">
        <v>6227</v>
      </c>
      <c r="E3915" s="717">
        <v>2300</v>
      </c>
      <c r="F3915" s="640" t="s">
        <v>8416</v>
      </c>
      <c r="G3915" s="648" t="s">
        <v>8417</v>
      </c>
      <c r="H3915" s="640" t="s">
        <v>6227</v>
      </c>
      <c r="I3915" s="648" t="s">
        <v>1988</v>
      </c>
      <c r="J3915" s="626" t="s">
        <v>7713</v>
      </c>
      <c r="K3915" s="639"/>
      <c r="L3915" s="640"/>
      <c r="M3915" s="638"/>
      <c r="N3915" s="641" t="s">
        <v>3928</v>
      </c>
      <c r="O3915" s="642">
        <v>3</v>
      </c>
      <c r="P3915" s="719">
        <f t="shared" si="43"/>
        <v>6900</v>
      </c>
    </row>
    <row r="3916" spans="1:16" s="619" customFormat="1" ht="36" x14ac:dyDescent="0.2">
      <c r="A3916" s="625" t="s">
        <v>7690</v>
      </c>
      <c r="B3916" s="626" t="s">
        <v>1908</v>
      </c>
      <c r="C3916" s="638" t="s">
        <v>7691</v>
      </c>
      <c r="D3916" s="640" t="s">
        <v>6158</v>
      </c>
      <c r="E3916" s="717">
        <v>1000</v>
      </c>
      <c r="F3916" s="640" t="s">
        <v>8418</v>
      </c>
      <c r="G3916" s="648" t="s">
        <v>8419</v>
      </c>
      <c r="H3916" s="640" t="s">
        <v>6158</v>
      </c>
      <c r="I3916" s="648" t="s">
        <v>1919</v>
      </c>
      <c r="J3916" s="626" t="s">
        <v>7698</v>
      </c>
      <c r="K3916" s="639"/>
      <c r="L3916" s="640"/>
      <c r="M3916" s="638"/>
      <c r="N3916" s="641" t="s">
        <v>3928</v>
      </c>
      <c r="O3916" s="642">
        <v>6</v>
      </c>
      <c r="P3916" s="719">
        <f t="shared" si="43"/>
        <v>6000</v>
      </c>
    </row>
    <row r="3917" spans="1:16" s="619" customFormat="1" ht="36" x14ac:dyDescent="0.2">
      <c r="A3917" s="625" t="s">
        <v>7690</v>
      </c>
      <c r="B3917" s="626" t="s">
        <v>1908</v>
      </c>
      <c r="C3917" s="638" t="s">
        <v>7691</v>
      </c>
      <c r="D3917" s="640" t="s">
        <v>7740</v>
      </c>
      <c r="E3917" s="717">
        <v>2000</v>
      </c>
      <c r="F3917" s="640" t="s">
        <v>8030</v>
      </c>
      <c r="G3917" s="648" t="s">
        <v>8031</v>
      </c>
      <c r="H3917" s="640" t="s">
        <v>7740</v>
      </c>
      <c r="I3917" s="648" t="s">
        <v>8398</v>
      </c>
      <c r="J3917" s="626" t="s">
        <v>7713</v>
      </c>
      <c r="K3917" s="639"/>
      <c r="L3917" s="640"/>
      <c r="M3917" s="638"/>
      <c r="N3917" s="641" t="s">
        <v>3928</v>
      </c>
      <c r="O3917" s="642">
        <v>6</v>
      </c>
      <c r="P3917" s="719">
        <f t="shared" si="43"/>
        <v>12000</v>
      </c>
    </row>
    <row r="3918" spans="1:16" s="619" customFormat="1" ht="24" x14ac:dyDescent="0.2">
      <c r="A3918" s="625" t="s">
        <v>7690</v>
      </c>
      <c r="B3918" s="626" t="s">
        <v>1908</v>
      </c>
      <c r="C3918" s="638" t="s">
        <v>7691</v>
      </c>
      <c r="D3918" s="640" t="s">
        <v>3548</v>
      </c>
      <c r="E3918" s="717">
        <v>1100</v>
      </c>
      <c r="F3918" s="640" t="s">
        <v>8032</v>
      </c>
      <c r="G3918" s="648" t="s">
        <v>8033</v>
      </c>
      <c r="H3918" s="640" t="s">
        <v>3548</v>
      </c>
      <c r="I3918" s="648" t="s">
        <v>1919</v>
      </c>
      <c r="J3918" s="626" t="s">
        <v>7698</v>
      </c>
      <c r="K3918" s="639"/>
      <c r="L3918" s="640"/>
      <c r="M3918" s="638"/>
      <c r="N3918" s="641" t="s">
        <v>3928</v>
      </c>
      <c r="O3918" s="642">
        <v>6</v>
      </c>
      <c r="P3918" s="719">
        <f t="shared" si="43"/>
        <v>6600</v>
      </c>
    </row>
    <row r="3919" spans="1:16" s="619" customFormat="1" ht="24" x14ac:dyDescent="0.2">
      <c r="A3919" s="625" t="s">
        <v>7690</v>
      </c>
      <c r="B3919" s="626" t="s">
        <v>1908</v>
      </c>
      <c r="C3919" s="638" t="s">
        <v>7691</v>
      </c>
      <c r="D3919" s="640" t="s">
        <v>1965</v>
      </c>
      <c r="E3919" s="717">
        <v>2000</v>
      </c>
      <c r="F3919" s="640" t="s">
        <v>8034</v>
      </c>
      <c r="G3919" s="648" t="s">
        <v>8035</v>
      </c>
      <c r="H3919" s="640" t="s">
        <v>1965</v>
      </c>
      <c r="I3919" s="642" t="s">
        <v>1965</v>
      </c>
      <c r="J3919" s="626" t="s">
        <v>7713</v>
      </c>
      <c r="K3919" s="639"/>
      <c r="L3919" s="640"/>
      <c r="M3919" s="638"/>
      <c r="N3919" s="641" t="s">
        <v>3928</v>
      </c>
      <c r="O3919" s="642">
        <v>6</v>
      </c>
      <c r="P3919" s="719">
        <f t="shared" si="43"/>
        <v>12000</v>
      </c>
    </row>
    <row r="3920" spans="1:16" s="619" customFormat="1" ht="48" x14ac:dyDescent="0.2">
      <c r="A3920" s="625" t="s">
        <v>7690</v>
      </c>
      <c r="B3920" s="626" t="s">
        <v>1908</v>
      </c>
      <c r="C3920" s="638" t="s">
        <v>7691</v>
      </c>
      <c r="D3920" s="640" t="s">
        <v>6158</v>
      </c>
      <c r="E3920" s="717">
        <v>930</v>
      </c>
      <c r="F3920" s="640" t="s">
        <v>8038</v>
      </c>
      <c r="G3920" s="648" t="s">
        <v>8039</v>
      </c>
      <c r="H3920" s="640" t="s">
        <v>6158</v>
      </c>
      <c r="I3920" s="648" t="s">
        <v>1919</v>
      </c>
      <c r="J3920" s="626" t="s">
        <v>7698</v>
      </c>
      <c r="K3920" s="639"/>
      <c r="L3920" s="640"/>
      <c r="M3920" s="638"/>
      <c r="N3920" s="641" t="s">
        <v>3928</v>
      </c>
      <c r="O3920" s="642">
        <v>6</v>
      </c>
      <c r="P3920" s="719">
        <f t="shared" si="43"/>
        <v>5580</v>
      </c>
    </row>
    <row r="3921" spans="1:16" s="619" customFormat="1" ht="24" x14ac:dyDescent="0.2">
      <c r="A3921" s="625" t="s">
        <v>7690</v>
      </c>
      <c r="B3921" s="626" t="s">
        <v>1908</v>
      </c>
      <c r="C3921" s="638" t="s">
        <v>7691</v>
      </c>
      <c r="D3921" s="640" t="s">
        <v>7740</v>
      </c>
      <c r="E3921" s="717">
        <v>2200</v>
      </c>
      <c r="F3921" s="640" t="s">
        <v>8040</v>
      </c>
      <c r="G3921" s="648" t="s">
        <v>8041</v>
      </c>
      <c r="H3921" s="640" t="s">
        <v>7740</v>
      </c>
      <c r="I3921" s="648" t="s">
        <v>8398</v>
      </c>
      <c r="J3921" s="626" t="s">
        <v>7713</v>
      </c>
      <c r="K3921" s="639"/>
      <c r="L3921" s="640"/>
      <c r="M3921" s="638"/>
      <c r="N3921" s="641" t="s">
        <v>3928</v>
      </c>
      <c r="O3921" s="642">
        <v>6</v>
      </c>
      <c r="P3921" s="719">
        <f t="shared" si="43"/>
        <v>13200</v>
      </c>
    </row>
    <row r="3922" spans="1:16" s="619" customFormat="1" ht="24" x14ac:dyDescent="0.2">
      <c r="A3922" s="625" t="s">
        <v>7690</v>
      </c>
      <c r="B3922" s="626" t="s">
        <v>1908</v>
      </c>
      <c r="C3922" s="638" t="s">
        <v>7691</v>
      </c>
      <c r="D3922" s="640" t="s">
        <v>2660</v>
      </c>
      <c r="E3922" s="717">
        <v>1100</v>
      </c>
      <c r="F3922" s="640" t="s">
        <v>8042</v>
      </c>
      <c r="G3922" s="648" t="s">
        <v>8043</v>
      </c>
      <c r="H3922" s="640" t="s">
        <v>2660</v>
      </c>
      <c r="I3922" s="642" t="s">
        <v>2660</v>
      </c>
      <c r="J3922" s="626" t="s">
        <v>7713</v>
      </c>
      <c r="K3922" s="639"/>
      <c r="L3922" s="640"/>
      <c r="M3922" s="638"/>
      <c r="N3922" s="641" t="s">
        <v>3928</v>
      </c>
      <c r="O3922" s="642">
        <v>6</v>
      </c>
      <c r="P3922" s="719">
        <f t="shared" si="43"/>
        <v>6600</v>
      </c>
    </row>
    <row r="3923" spans="1:16" s="619" customFormat="1" ht="36" x14ac:dyDescent="0.2">
      <c r="A3923" s="625" t="s">
        <v>7690</v>
      </c>
      <c r="B3923" s="626" t="s">
        <v>1908</v>
      </c>
      <c r="C3923" s="638" t="s">
        <v>7691</v>
      </c>
      <c r="D3923" s="640" t="s">
        <v>2660</v>
      </c>
      <c r="E3923" s="717">
        <v>1200</v>
      </c>
      <c r="F3923" s="640" t="s">
        <v>8046</v>
      </c>
      <c r="G3923" s="648" t="s">
        <v>8047</v>
      </c>
      <c r="H3923" s="640" t="s">
        <v>2660</v>
      </c>
      <c r="I3923" s="642" t="s">
        <v>2660</v>
      </c>
      <c r="J3923" s="626" t="s">
        <v>7713</v>
      </c>
      <c r="K3923" s="639"/>
      <c r="L3923" s="640"/>
      <c r="M3923" s="638"/>
      <c r="N3923" s="641" t="s">
        <v>3928</v>
      </c>
      <c r="O3923" s="642">
        <v>6</v>
      </c>
      <c r="P3923" s="719">
        <f t="shared" si="43"/>
        <v>7200</v>
      </c>
    </row>
    <row r="3924" spans="1:16" s="619" customFormat="1" ht="36" x14ac:dyDescent="0.2">
      <c r="A3924" s="625" t="s">
        <v>7690</v>
      </c>
      <c r="B3924" s="626" t="s">
        <v>1908</v>
      </c>
      <c r="C3924" s="638" t="s">
        <v>7691</v>
      </c>
      <c r="D3924" s="640" t="s">
        <v>6114</v>
      </c>
      <c r="E3924" s="717">
        <v>1100</v>
      </c>
      <c r="F3924" s="640" t="s">
        <v>8051</v>
      </c>
      <c r="G3924" s="648" t="s">
        <v>8052</v>
      </c>
      <c r="H3924" s="640" t="s">
        <v>6114</v>
      </c>
      <c r="I3924" s="642" t="s">
        <v>6114</v>
      </c>
      <c r="J3924" s="626" t="s">
        <v>7713</v>
      </c>
      <c r="K3924" s="639"/>
      <c r="L3924" s="640"/>
      <c r="M3924" s="638"/>
      <c r="N3924" s="641" t="s">
        <v>3928</v>
      </c>
      <c r="O3924" s="642">
        <v>6</v>
      </c>
      <c r="P3924" s="719">
        <f t="shared" si="43"/>
        <v>6600</v>
      </c>
    </row>
    <row r="3925" spans="1:16" s="619" customFormat="1" ht="24" x14ac:dyDescent="0.2">
      <c r="A3925" s="625" t="s">
        <v>7690</v>
      </c>
      <c r="B3925" s="626" t="s">
        <v>1908</v>
      </c>
      <c r="C3925" s="638" t="s">
        <v>7691</v>
      </c>
      <c r="D3925" s="640" t="s">
        <v>2660</v>
      </c>
      <c r="E3925" s="717">
        <v>1100</v>
      </c>
      <c r="F3925" s="640" t="s">
        <v>8053</v>
      </c>
      <c r="G3925" s="648" t="s">
        <v>8054</v>
      </c>
      <c r="H3925" s="640" t="s">
        <v>2660</v>
      </c>
      <c r="I3925" s="642" t="s">
        <v>2660</v>
      </c>
      <c r="J3925" s="626" t="s">
        <v>7713</v>
      </c>
      <c r="K3925" s="639"/>
      <c r="L3925" s="640"/>
      <c r="M3925" s="638"/>
      <c r="N3925" s="641" t="s">
        <v>3928</v>
      </c>
      <c r="O3925" s="642">
        <v>6</v>
      </c>
      <c r="P3925" s="719">
        <f t="shared" si="43"/>
        <v>6600</v>
      </c>
    </row>
    <row r="3926" spans="1:16" s="619" customFormat="1" ht="60" x14ac:dyDescent="0.2">
      <c r="A3926" s="625" t="s">
        <v>7690</v>
      </c>
      <c r="B3926" s="626" t="s">
        <v>1908</v>
      </c>
      <c r="C3926" s="638" t="s">
        <v>7691</v>
      </c>
      <c r="D3926" s="640" t="s">
        <v>6227</v>
      </c>
      <c r="E3926" s="717">
        <v>2300</v>
      </c>
      <c r="F3926" s="640" t="s">
        <v>8057</v>
      </c>
      <c r="G3926" s="648" t="s">
        <v>8058</v>
      </c>
      <c r="H3926" s="640" t="s">
        <v>6227</v>
      </c>
      <c r="I3926" s="648" t="s">
        <v>1988</v>
      </c>
      <c r="J3926" s="626" t="s">
        <v>7713</v>
      </c>
      <c r="K3926" s="639"/>
      <c r="L3926" s="640"/>
      <c r="M3926" s="638"/>
      <c r="N3926" s="641" t="s">
        <v>3928</v>
      </c>
      <c r="O3926" s="642">
        <v>6</v>
      </c>
      <c r="P3926" s="719">
        <f t="shared" si="43"/>
        <v>13800</v>
      </c>
    </row>
    <row r="3927" spans="1:16" s="619" customFormat="1" ht="36" x14ac:dyDescent="0.2">
      <c r="A3927" s="625" t="s">
        <v>7690</v>
      </c>
      <c r="B3927" s="626" t="s">
        <v>1908</v>
      </c>
      <c r="C3927" s="638" t="s">
        <v>7691</v>
      </c>
      <c r="D3927" s="640" t="s">
        <v>6876</v>
      </c>
      <c r="E3927" s="717">
        <v>1500</v>
      </c>
      <c r="F3927" s="640" t="s">
        <v>8059</v>
      </c>
      <c r="G3927" s="648" t="s">
        <v>8060</v>
      </c>
      <c r="H3927" s="640" t="s">
        <v>6876</v>
      </c>
      <c r="I3927" s="648" t="s">
        <v>1919</v>
      </c>
      <c r="J3927" s="626" t="s">
        <v>7698</v>
      </c>
      <c r="K3927" s="639"/>
      <c r="L3927" s="640"/>
      <c r="M3927" s="638"/>
      <c r="N3927" s="641" t="s">
        <v>3928</v>
      </c>
      <c r="O3927" s="642">
        <v>6</v>
      </c>
      <c r="P3927" s="719">
        <f t="shared" si="43"/>
        <v>9000</v>
      </c>
    </row>
    <row r="3928" spans="1:16" s="619" customFormat="1" ht="24" x14ac:dyDescent="0.2">
      <c r="A3928" s="625" t="s">
        <v>7690</v>
      </c>
      <c r="B3928" s="626" t="s">
        <v>1908</v>
      </c>
      <c r="C3928" s="638" t="s">
        <v>7691</v>
      </c>
      <c r="D3928" s="640" t="s">
        <v>2660</v>
      </c>
      <c r="E3928" s="717">
        <v>1100</v>
      </c>
      <c r="F3928" s="640" t="s">
        <v>8061</v>
      </c>
      <c r="G3928" s="648" t="s">
        <v>8062</v>
      </c>
      <c r="H3928" s="640" t="s">
        <v>2660</v>
      </c>
      <c r="I3928" s="642" t="s">
        <v>2660</v>
      </c>
      <c r="J3928" s="626" t="s">
        <v>7713</v>
      </c>
      <c r="K3928" s="639"/>
      <c r="L3928" s="640"/>
      <c r="M3928" s="638"/>
      <c r="N3928" s="641" t="s">
        <v>3928</v>
      </c>
      <c r="O3928" s="642">
        <v>6</v>
      </c>
      <c r="P3928" s="719">
        <f t="shared" si="43"/>
        <v>6600</v>
      </c>
    </row>
    <row r="3929" spans="1:16" s="619" customFormat="1" ht="24" x14ac:dyDescent="0.2">
      <c r="A3929" s="625" t="s">
        <v>7690</v>
      </c>
      <c r="B3929" s="626" t="s">
        <v>1908</v>
      </c>
      <c r="C3929" s="638" t="s">
        <v>7691</v>
      </c>
      <c r="D3929" s="640" t="s">
        <v>6158</v>
      </c>
      <c r="E3929" s="717">
        <v>1200</v>
      </c>
      <c r="F3929" s="640" t="s">
        <v>8063</v>
      </c>
      <c r="G3929" s="648" t="s">
        <v>8064</v>
      </c>
      <c r="H3929" s="640" t="s">
        <v>6158</v>
      </c>
      <c r="I3929" s="648" t="s">
        <v>1919</v>
      </c>
      <c r="J3929" s="626" t="s">
        <v>7698</v>
      </c>
      <c r="K3929" s="639"/>
      <c r="L3929" s="640"/>
      <c r="M3929" s="638"/>
      <c r="N3929" s="641" t="s">
        <v>3928</v>
      </c>
      <c r="O3929" s="642">
        <v>6</v>
      </c>
      <c r="P3929" s="719">
        <f t="shared" si="43"/>
        <v>7200</v>
      </c>
    </row>
    <row r="3930" spans="1:16" s="619" customFormat="1" ht="24" x14ac:dyDescent="0.2">
      <c r="A3930" s="625" t="s">
        <v>7690</v>
      </c>
      <c r="B3930" s="626" t="s">
        <v>1908</v>
      </c>
      <c r="C3930" s="638" t="s">
        <v>7691</v>
      </c>
      <c r="D3930" s="640" t="s">
        <v>6092</v>
      </c>
      <c r="E3930" s="717">
        <v>2200</v>
      </c>
      <c r="F3930" s="640" t="s">
        <v>8065</v>
      </c>
      <c r="G3930" s="648" t="s">
        <v>8066</v>
      </c>
      <c r="H3930" s="640" t="s">
        <v>6092</v>
      </c>
      <c r="I3930" s="648" t="s">
        <v>1993</v>
      </c>
      <c r="J3930" s="626" t="s">
        <v>7713</v>
      </c>
      <c r="K3930" s="639"/>
      <c r="L3930" s="640"/>
      <c r="M3930" s="638"/>
      <c r="N3930" s="641" t="s">
        <v>3928</v>
      </c>
      <c r="O3930" s="642">
        <v>6</v>
      </c>
      <c r="P3930" s="719">
        <f t="shared" si="43"/>
        <v>13200</v>
      </c>
    </row>
    <row r="3931" spans="1:16" s="619" customFormat="1" ht="36" x14ac:dyDescent="0.2">
      <c r="A3931" s="625" t="s">
        <v>7690</v>
      </c>
      <c r="B3931" s="626" t="s">
        <v>1908</v>
      </c>
      <c r="C3931" s="638" t="s">
        <v>7691</v>
      </c>
      <c r="D3931" s="640" t="s">
        <v>6114</v>
      </c>
      <c r="E3931" s="717">
        <v>1200</v>
      </c>
      <c r="F3931" s="640" t="s">
        <v>8069</v>
      </c>
      <c r="G3931" s="648" t="s">
        <v>8070</v>
      </c>
      <c r="H3931" s="640" t="s">
        <v>6114</v>
      </c>
      <c r="I3931" s="642" t="s">
        <v>6114</v>
      </c>
      <c r="J3931" s="626" t="s">
        <v>7713</v>
      </c>
      <c r="K3931" s="639"/>
      <c r="L3931" s="640"/>
      <c r="M3931" s="638"/>
      <c r="N3931" s="641" t="s">
        <v>3928</v>
      </c>
      <c r="O3931" s="642">
        <v>6</v>
      </c>
      <c r="P3931" s="719">
        <f t="shared" si="43"/>
        <v>7200</v>
      </c>
    </row>
    <row r="3932" spans="1:16" s="619" customFormat="1" ht="36" x14ac:dyDescent="0.2">
      <c r="A3932" s="625" t="s">
        <v>7690</v>
      </c>
      <c r="B3932" s="626" t="s">
        <v>1908</v>
      </c>
      <c r="C3932" s="638" t="s">
        <v>7691</v>
      </c>
      <c r="D3932" s="640" t="s">
        <v>2660</v>
      </c>
      <c r="E3932" s="717">
        <v>1100</v>
      </c>
      <c r="F3932" s="640" t="s">
        <v>6499</v>
      </c>
      <c r="G3932" s="648" t="s">
        <v>6500</v>
      </c>
      <c r="H3932" s="640" t="s">
        <v>2660</v>
      </c>
      <c r="I3932" s="642" t="s">
        <v>2660</v>
      </c>
      <c r="J3932" s="626" t="s">
        <v>7713</v>
      </c>
      <c r="K3932" s="639"/>
      <c r="L3932" s="640"/>
      <c r="M3932" s="638"/>
      <c r="N3932" s="641" t="s">
        <v>3928</v>
      </c>
      <c r="O3932" s="642">
        <v>6</v>
      </c>
      <c r="P3932" s="719">
        <f t="shared" si="43"/>
        <v>6600</v>
      </c>
    </row>
    <row r="3933" spans="1:16" s="619" customFormat="1" ht="36" x14ac:dyDescent="0.2">
      <c r="A3933" s="625" t="s">
        <v>7690</v>
      </c>
      <c r="B3933" s="626" t="s">
        <v>1908</v>
      </c>
      <c r="C3933" s="638" t="s">
        <v>7691</v>
      </c>
      <c r="D3933" s="640" t="s">
        <v>3548</v>
      </c>
      <c r="E3933" s="717">
        <v>1000</v>
      </c>
      <c r="F3933" s="640" t="s">
        <v>8075</v>
      </c>
      <c r="G3933" s="648" t="s">
        <v>8076</v>
      </c>
      <c r="H3933" s="640" t="s">
        <v>3548</v>
      </c>
      <c r="I3933" s="648" t="s">
        <v>1919</v>
      </c>
      <c r="J3933" s="626" t="s">
        <v>7698</v>
      </c>
      <c r="K3933" s="639"/>
      <c r="L3933" s="640"/>
      <c r="M3933" s="638"/>
      <c r="N3933" s="641" t="s">
        <v>3928</v>
      </c>
      <c r="O3933" s="642">
        <v>6</v>
      </c>
      <c r="P3933" s="719">
        <f t="shared" si="43"/>
        <v>6000</v>
      </c>
    </row>
    <row r="3934" spans="1:16" s="619" customFormat="1" ht="24" x14ac:dyDescent="0.2">
      <c r="A3934" s="625" t="s">
        <v>7690</v>
      </c>
      <c r="B3934" s="626" t="s">
        <v>1908</v>
      </c>
      <c r="C3934" s="638" t="s">
        <v>7691</v>
      </c>
      <c r="D3934" s="640" t="s">
        <v>2660</v>
      </c>
      <c r="E3934" s="717">
        <v>1500</v>
      </c>
      <c r="F3934" s="640" t="s">
        <v>8081</v>
      </c>
      <c r="G3934" s="648" t="s">
        <v>8082</v>
      </c>
      <c r="H3934" s="640" t="s">
        <v>2660</v>
      </c>
      <c r="I3934" s="642" t="s">
        <v>2660</v>
      </c>
      <c r="J3934" s="626" t="s">
        <v>7713</v>
      </c>
      <c r="K3934" s="639"/>
      <c r="L3934" s="640"/>
      <c r="M3934" s="638"/>
      <c r="N3934" s="641" t="s">
        <v>3928</v>
      </c>
      <c r="O3934" s="642">
        <v>6</v>
      </c>
      <c r="P3934" s="719">
        <f t="shared" si="43"/>
        <v>9000</v>
      </c>
    </row>
    <row r="3935" spans="1:16" s="619" customFormat="1" ht="24" x14ac:dyDescent="0.2">
      <c r="A3935" s="625" t="s">
        <v>7690</v>
      </c>
      <c r="B3935" s="626" t="s">
        <v>1908</v>
      </c>
      <c r="C3935" s="638" t="s">
        <v>7691</v>
      </c>
      <c r="D3935" s="640" t="s">
        <v>6158</v>
      </c>
      <c r="E3935" s="717">
        <v>1000</v>
      </c>
      <c r="F3935" s="640" t="s">
        <v>8085</v>
      </c>
      <c r="G3935" s="648" t="s">
        <v>8086</v>
      </c>
      <c r="H3935" s="640" t="s">
        <v>6158</v>
      </c>
      <c r="I3935" s="648" t="s">
        <v>1919</v>
      </c>
      <c r="J3935" s="626" t="s">
        <v>7698</v>
      </c>
      <c r="K3935" s="639"/>
      <c r="L3935" s="640"/>
      <c r="M3935" s="638"/>
      <c r="N3935" s="641" t="s">
        <v>3928</v>
      </c>
      <c r="O3935" s="642">
        <v>6</v>
      </c>
      <c r="P3935" s="719">
        <f t="shared" si="43"/>
        <v>6000</v>
      </c>
    </row>
    <row r="3936" spans="1:16" s="619" customFormat="1" ht="24" x14ac:dyDescent="0.2">
      <c r="A3936" s="625" t="s">
        <v>7690</v>
      </c>
      <c r="B3936" s="626" t="s">
        <v>1908</v>
      </c>
      <c r="C3936" s="638" t="s">
        <v>7691</v>
      </c>
      <c r="D3936" s="640" t="s">
        <v>3545</v>
      </c>
      <c r="E3936" s="717">
        <v>1200</v>
      </c>
      <c r="F3936" s="640" t="s">
        <v>8420</v>
      </c>
      <c r="G3936" s="648" t="s">
        <v>8421</v>
      </c>
      <c r="H3936" s="640" t="s">
        <v>3545</v>
      </c>
      <c r="I3936" s="642" t="s">
        <v>3545</v>
      </c>
      <c r="J3936" s="626" t="s">
        <v>7713</v>
      </c>
      <c r="K3936" s="639"/>
      <c r="L3936" s="640"/>
      <c r="M3936" s="638"/>
      <c r="N3936" s="641" t="s">
        <v>3928</v>
      </c>
      <c r="O3936" s="642">
        <v>6</v>
      </c>
      <c r="P3936" s="719">
        <f t="shared" si="43"/>
        <v>7200</v>
      </c>
    </row>
    <row r="3937" spans="1:16" s="619" customFormat="1" ht="48" x14ac:dyDescent="0.2">
      <c r="A3937" s="625" t="s">
        <v>7690</v>
      </c>
      <c r="B3937" s="626" t="s">
        <v>1908</v>
      </c>
      <c r="C3937" s="638" t="s">
        <v>7691</v>
      </c>
      <c r="D3937" s="640" t="s">
        <v>7740</v>
      </c>
      <c r="E3937" s="717">
        <v>2000</v>
      </c>
      <c r="F3937" s="640" t="s">
        <v>8096</v>
      </c>
      <c r="G3937" s="648" t="s">
        <v>8097</v>
      </c>
      <c r="H3937" s="640" t="s">
        <v>7740</v>
      </c>
      <c r="I3937" s="648" t="s">
        <v>8398</v>
      </c>
      <c r="J3937" s="626" t="s">
        <v>7713</v>
      </c>
      <c r="K3937" s="639"/>
      <c r="L3937" s="640"/>
      <c r="M3937" s="638"/>
      <c r="N3937" s="641" t="s">
        <v>3928</v>
      </c>
      <c r="O3937" s="642">
        <v>6</v>
      </c>
      <c r="P3937" s="719">
        <f t="shared" si="43"/>
        <v>12000</v>
      </c>
    </row>
    <row r="3938" spans="1:16" s="619" customFormat="1" ht="36" x14ac:dyDescent="0.2">
      <c r="A3938" s="625" t="s">
        <v>7690</v>
      </c>
      <c r="B3938" s="626" t="s">
        <v>1908</v>
      </c>
      <c r="C3938" s="638" t="s">
        <v>7691</v>
      </c>
      <c r="D3938" s="640" t="s">
        <v>7161</v>
      </c>
      <c r="E3938" s="717">
        <v>1500</v>
      </c>
      <c r="F3938" s="640" t="s">
        <v>8422</v>
      </c>
      <c r="G3938" s="648" t="s">
        <v>8423</v>
      </c>
      <c r="H3938" s="640" t="s">
        <v>7161</v>
      </c>
      <c r="I3938" s="648" t="s">
        <v>8424</v>
      </c>
      <c r="J3938" s="626" t="s">
        <v>7713</v>
      </c>
      <c r="K3938" s="639"/>
      <c r="L3938" s="640"/>
      <c r="M3938" s="638"/>
      <c r="N3938" s="641" t="s">
        <v>3928</v>
      </c>
      <c r="O3938" s="642">
        <v>3</v>
      </c>
      <c r="P3938" s="719">
        <f t="shared" si="43"/>
        <v>4500</v>
      </c>
    </row>
    <row r="3939" spans="1:16" s="619" customFormat="1" ht="36" x14ac:dyDescent="0.2">
      <c r="A3939" s="625" t="s">
        <v>7690</v>
      </c>
      <c r="B3939" s="626" t="s">
        <v>1908</v>
      </c>
      <c r="C3939" s="638" t="s">
        <v>7691</v>
      </c>
      <c r="D3939" s="640" t="s">
        <v>6158</v>
      </c>
      <c r="E3939" s="717">
        <v>1000</v>
      </c>
      <c r="F3939" s="640" t="s">
        <v>8108</v>
      </c>
      <c r="G3939" s="648" t="s">
        <v>8109</v>
      </c>
      <c r="H3939" s="640" t="s">
        <v>6158</v>
      </c>
      <c r="I3939" s="648" t="s">
        <v>1919</v>
      </c>
      <c r="J3939" s="626" t="s">
        <v>7698</v>
      </c>
      <c r="K3939" s="639"/>
      <c r="L3939" s="640"/>
      <c r="M3939" s="638"/>
      <c r="N3939" s="641" t="s">
        <v>3928</v>
      </c>
      <c r="O3939" s="642">
        <v>6</v>
      </c>
      <c r="P3939" s="719">
        <f t="shared" si="43"/>
        <v>6000</v>
      </c>
    </row>
    <row r="3940" spans="1:16" s="619" customFormat="1" ht="36" x14ac:dyDescent="0.2">
      <c r="A3940" s="625" t="s">
        <v>7690</v>
      </c>
      <c r="B3940" s="626" t="s">
        <v>1908</v>
      </c>
      <c r="C3940" s="638" t="s">
        <v>7691</v>
      </c>
      <c r="D3940" s="640" t="s">
        <v>6158</v>
      </c>
      <c r="E3940" s="717">
        <v>1000</v>
      </c>
      <c r="F3940" s="640" t="s">
        <v>8110</v>
      </c>
      <c r="G3940" s="648" t="s">
        <v>8111</v>
      </c>
      <c r="H3940" s="640" t="s">
        <v>6158</v>
      </c>
      <c r="I3940" s="648" t="s">
        <v>8425</v>
      </c>
      <c r="J3940" s="626" t="s">
        <v>7698</v>
      </c>
      <c r="K3940" s="639"/>
      <c r="L3940" s="640"/>
      <c r="M3940" s="638"/>
      <c r="N3940" s="641" t="s">
        <v>3928</v>
      </c>
      <c r="O3940" s="642">
        <v>6</v>
      </c>
      <c r="P3940" s="719">
        <f t="shared" si="43"/>
        <v>6000</v>
      </c>
    </row>
    <row r="3941" spans="1:16" s="619" customFormat="1" ht="24" x14ac:dyDescent="0.2">
      <c r="A3941" s="625" t="s">
        <v>7690</v>
      </c>
      <c r="B3941" s="626" t="s">
        <v>1908</v>
      </c>
      <c r="C3941" s="638" t="s">
        <v>7691</v>
      </c>
      <c r="D3941" s="640" t="s">
        <v>6092</v>
      </c>
      <c r="E3941" s="717">
        <v>2000</v>
      </c>
      <c r="F3941" s="640" t="s">
        <v>8112</v>
      </c>
      <c r="G3941" s="648" t="s">
        <v>8113</v>
      </c>
      <c r="H3941" s="640" t="s">
        <v>6092</v>
      </c>
      <c r="I3941" s="648" t="s">
        <v>1993</v>
      </c>
      <c r="J3941" s="626" t="s">
        <v>7713</v>
      </c>
      <c r="K3941" s="639"/>
      <c r="L3941" s="640"/>
      <c r="M3941" s="638"/>
      <c r="N3941" s="641" t="s">
        <v>3928</v>
      </c>
      <c r="O3941" s="642">
        <v>6</v>
      </c>
      <c r="P3941" s="719">
        <f t="shared" si="43"/>
        <v>12000</v>
      </c>
    </row>
    <row r="3942" spans="1:16" s="619" customFormat="1" ht="36" x14ac:dyDescent="0.2">
      <c r="A3942" s="625" t="s">
        <v>7690</v>
      </c>
      <c r="B3942" s="626" t="s">
        <v>1908</v>
      </c>
      <c r="C3942" s="638" t="s">
        <v>7691</v>
      </c>
      <c r="D3942" s="640" t="s">
        <v>3548</v>
      </c>
      <c r="E3942" s="717">
        <v>1000</v>
      </c>
      <c r="F3942" s="640" t="s">
        <v>8114</v>
      </c>
      <c r="G3942" s="648" t="s">
        <v>8115</v>
      </c>
      <c r="H3942" s="640" t="s">
        <v>3548</v>
      </c>
      <c r="I3942" s="648" t="s">
        <v>1919</v>
      </c>
      <c r="J3942" s="626" t="s">
        <v>7698</v>
      </c>
      <c r="K3942" s="639"/>
      <c r="L3942" s="640"/>
      <c r="M3942" s="638"/>
      <c r="N3942" s="641" t="s">
        <v>3928</v>
      </c>
      <c r="O3942" s="642">
        <v>6</v>
      </c>
      <c r="P3942" s="719">
        <f t="shared" si="43"/>
        <v>6000</v>
      </c>
    </row>
    <row r="3943" spans="1:16" s="619" customFormat="1" ht="24" x14ac:dyDescent="0.2">
      <c r="A3943" s="625" t="s">
        <v>7690</v>
      </c>
      <c r="B3943" s="626" t="s">
        <v>1908</v>
      </c>
      <c r="C3943" s="638" t="s">
        <v>7691</v>
      </c>
      <c r="D3943" s="640" t="s">
        <v>2660</v>
      </c>
      <c r="E3943" s="717">
        <v>1100</v>
      </c>
      <c r="F3943" s="640" t="s">
        <v>8120</v>
      </c>
      <c r="G3943" s="648" t="s">
        <v>8121</v>
      </c>
      <c r="H3943" s="640" t="s">
        <v>2660</v>
      </c>
      <c r="I3943" s="642" t="s">
        <v>2660</v>
      </c>
      <c r="J3943" s="626" t="s">
        <v>7713</v>
      </c>
      <c r="K3943" s="639"/>
      <c r="L3943" s="640"/>
      <c r="M3943" s="638"/>
      <c r="N3943" s="641" t="s">
        <v>3928</v>
      </c>
      <c r="O3943" s="642">
        <v>6</v>
      </c>
      <c r="P3943" s="719">
        <f t="shared" si="43"/>
        <v>6600</v>
      </c>
    </row>
    <row r="3944" spans="1:16" s="619" customFormat="1" ht="24" x14ac:dyDescent="0.2">
      <c r="A3944" s="625" t="s">
        <v>7690</v>
      </c>
      <c r="B3944" s="626" t="s">
        <v>1908</v>
      </c>
      <c r="C3944" s="638" t="s">
        <v>7691</v>
      </c>
      <c r="D3944" s="640" t="s">
        <v>3583</v>
      </c>
      <c r="E3944" s="717">
        <v>1500</v>
      </c>
      <c r="F3944" s="640" t="s">
        <v>8126</v>
      </c>
      <c r="G3944" s="648" t="s">
        <v>8127</v>
      </c>
      <c r="H3944" s="640" t="s">
        <v>3583</v>
      </c>
      <c r="I3944" s="648" t="s">
        <v>8426</v>
      </c>
      <c r="J3944" s="626" t="s">
        <v>7713</v>
      </c>
      <c r="K3944" s="639"/>
      <c r="L3944" s="640"/>
      <c r="M3944" s="638"/>
      <c r="N3944" s="641" t="s">
        <v>3928</v>
      </c>
      <c r="O3944" s="642">
        <v>6</v>
      </c>
      <c r="P3944" s="719">
        <f t="shared" si="43"/>
        <v>9000</v>
      </c>
    </row>
    <row r="3945" spans="1:16" s="619" customFormat="1" ht="36" x14ac:dyDescent="0.2">
      <c r="A3945" s="625" t="s">
        <v>7690</v>
      </c>
      <c r="B3945" s="626" t="s">
        <v>1908</v>
      </c>
      <c r="C3945" s="638" t="s">
        <v>7691</v>
      </c>
      <c r="D3945" s="640" t="s">
        <v>6114</v>
      </c>
      <c r="E3945" s="717">
        <v>1200</v>
      </c>
      <c r="F3945" s="640" t="s">
        <v>8128</v>
      </c>
      <c r="G3945" s="648" t="s">
        <v>8129</v>
      </c>
      <c r="H3945" s="640" t="s">
        <v>6114</v>
      </c>
      <c r="I3945" s="642" t="s">
        <v>6114</v>
      </c>
      <c r="J3945" s="626" t="s">
        <v>7713</v>
      </c>
      <c r="K3945" s="639"/>
      <c r="L3945" s="640"/>
      <c r="M3945" s="638"/>
      <c r="N3945" s="641" t="s">
        <v>3928</v>
      </c>
      <c r="O3945" s="642">
        <v>6</v>
      </c>
      <c r="P3945" s="719">
        <f t="shared" si="43"/>
        <v>7200</v>
      </c>
    </row>
    <row r="3946" spans="1:16" s="619" customFormat="1" ht="24" x14ac:dyDescent="0.2">
      <c r="A3946" s="625" t="s">
        <v>7690</v>
      </c>
      <c r="B3946" s="626" t="s">
        <v>1908</v>
      </c>
      <c r="C3946" s="638" t="s">
        <v>7691</v>
      </c>
      <c r="D3946" s="640" t="s">
        <v>2660</v>
      </c>
      <c r="E3946" s="717">
        <v>1100</v>
      </c>
      <c r="F3946" s="640" t="s">
        <v>8132</v>
      </c>
      <c r="G3946" s="648" t="s">
        <v>8133</v>
      </c>
      <c r="H3946" s="640" t="s">
        <v>2660</v>
      </c>
      <c r="I3946" s="642" t="s">
        <v>2660</v>
      </c>
      <c r="J3946" s="626" t="s">
        <v>7713</v>
      </c>
      <c r="K3946" s="639"/>
      <c r="L3946" s="640"/>
      <c r="M3946" s="638"/>
      <c r="N3946" s="641" t="s">
        <v>3928</v>
      </c>
      <c r="O3946" s="642">
        <v>6</v>
      </c>
      <c r="P3946" s="719">
        <f t="shared" si="43"/>
        <v>6600</v>
      </c>
    </row>
    <row r="3947" spans="1:16" s="619" customFormat="1" ht="36" x14ac:dyDescent="0.2">
      <c r="A3947" s="625" t="s">
        <v>7690</v>
      </c>
      <c r="B3947" s="626" t="s">
        <v>1908</v>
      </c>
      <c r="C3947" s="638" t="s">
        <v>7691</v>
      </c>
      <c r="D3947" s="640" t="s">
        <v>8377</v>
      </c>
      <c r="E3947" s="717">
        <v>930</v>
      </c>
      <c r="F3947" s="640" t="s">
        <v>8427</v>
      </c>
      <c r="G3947" s="648" t="s">
        <v>8428</v>
      </c>
      <c r="H3947" s="640" t="s">
        <v>8377</v>
      </c>
      <c r="I3947" s="642" t="s">
        <v>8429</v>
      </c>
      <c r="J3947" s="626" t="s">
        <v>7698</v>
      </c>
      <c r="K3947" s="639"/>
      <c r="L3947" s="640"/>
      <c r="M3947" s="638"/>
      <c r="N3947" s="641" t="s">
        <v>3928</v>
      </c>
      <c r="O3947" s="642">
        <v>5</v>
      </c>
      <c r="P3947" s="719">
        <f t="shared" si="43"/>
        <v>4650</v>
      </c>
    </row>
    <row r="3948" spans="1:16" s="619" customFormat="1" ht="36" x14ac:dyDescent="0.2">
      <c r="A3948" s="625" t="s">
        <v>7690</v>
      </c>
      <c r="B3948" s="626" t="s">
        <v>1908</v>
      </c>
      <c r="C3948" s="638" t="s">
        <v>7691</v>
      </c>
      <c r="D3948" s="640" t="s">
        <v>6158</v>
      </c>
      <c r="E3948" s="717">
        <v>1000</v>
      </c>
      <c r="F3948" s="640" t="s">
        <v>8146</v>
      </c>
      <c r="G3948" s="648" t="s">
        <v>8147</v>
      </c>
      <c r="H3948" s="640" t="s">
        <v>6158</v>
      </c>
      <c r="I3948" s="648" t="s">
        <v>1919</v>
      </c>
      <c r="J3948" s="626" t="s">
        <v>7698</v>
      </c>
      <c r="K3948" s="639"/>
      <c r="L3948" s="640"/>
      <c r="M3948" s="638"/>
      <c r="N3948" s="641" t="s">
        <v>3928</v>
      </c>
      <c r="O3948" s="642">
        <v>6</v>
      </c>
      <c r="P3948" s="719">
        <f t="shared" si="43"/>
        <v>6000</v>
      </c>
    </row>
    <row r="3949" spans="1:16" s="619" customFormat="1" ht="36" x14ac:dyDescent="0.2">
      <c r="A3949" s="625" t="s">
        <v>7690</v>
      </c>
      <c r="B3949" s="626" t="s">
        <v>1908</v>
      </c>
      <c r="C3949" s="638" t="s">
        <v>7691</v>
      </c>
      <c r="D3949" s="640" t="s">
        <v>6114</v>
      </c>
      <c r="E3949" s="717">
        <v>1200</v>
      </c>
      <c r="F3949" s="640" t="s">
        <v>8148</v>
      </c>
      <c r="G3949" s="648" t="s">
        <v>8149</v>
      </c>
      <c r="H3949" s="640" t="s">
        <v>6114</v>
      </c>
      <c r="I3949" s="642" t="s">
        <v>6114</v>
      </c>
      <c r="J3949" s="626" t="s">
        <v>7713</v>
      </c>
      <c r="K3949" s="639"/>
      <c r="L3949" s="640"/>
      <c r="M3949" s="638"/>
      <c r="N3949" s="641" t="s">
        <v>3928</v>
      </c>
      <c r="O3949" s="642">
        <v>6</v>
      </c>
      <c r="P3949" s="719">
        <f t="shared" si="43"/>
        <v>7200</v>
      </c>
    </row>
    <row r="3950" spans="1:16" s="619" customFormat="1" ht="36" x14ac:dyDescent="0.2">
      <c r="A3950" s="625" t="s">
        <v>7690</v>
      </c>
      <c r="B3950" s="626" t="s">
        <v>1908</v>
      </c>
      <c r="C3950" s="638" t="s">
        <v>7691</v>
      </c>
      <c r="D3950" s="640" t="s">
        <v>6114</v>
      </c>
      <c r="E3950" s="717">
        <v>1200</v>
      </c>
      <c r="F3950" s="640" t="s">
        <v>8152</v>
      </c>
      <c r="G3950" s="648" t="s">
        <v>8153</v>
      </c>
      <c r="H3950" s="640" t="s">
        <v>6114</v>
      </c>
      <c r="I3950" s="642" t="s">
        <v>6114</v>
      </c>
      <c r="J3950" s="626" t="s">
        <v>7713</v>
      </c>
      <c r="K3950" s="639"/>
      <c r="L3950" s="640"/>
      <c r="M3950" s="638"/>
      <c r="N3950" s="641" t="s">
        <v>3928</v>
      </c>
      <c r="O3950" s="642">
        <v>6</v>
      </c>
      <c r="P3950" s="719">
        <f t="shared" si="43"/>
        <v>7200</v>
      </c>
    </row>
    <row r="3951" spans="1:16" s="619" customFormat="1" ht="24" x14ac:dyDescent="0.2">
      <c r="A3951" s="625" t="s">
        <v>7690</v>
      </c>
      <c r="B3951" s="626" t="s">
        <v>1908</v>
      </c>
      <c r="C3951" s="638" t="s">
        <v>7691</v>
      </c>
      <c r="D3951" s="640" t="s">
        <v>2660</v>
      </c>
      <c r="E3951" s="717">
        <v>1200</v>
      </c>
      <c r="F3951" s="640" t="s">
        <v>8184</v>
      </c>
      <c r="G3951" s="648" t="s">
        <v>8185</v>
      </c>
      <c r="H3951" s="640" t="s">
        <v>2660</v>
      </c>
      <c r="I3951" s="642" t="s">
        <v>2660</v>
      </c>
      <c r="J3951" s="626" t="s">
        <v>7713</v>
      </c>
      <c r="K3951" s="639"/>
      <c r="L3951" s="640"/>
      <c r="M3951" s="638"/>
      <c r="N3951" s="641" t="s">
        <v>3928</v>
      </c>
      <c r="O3951" s="642">
        <v>6</v>
      </c>
      <c r="P3951" s="719">
        <f t="shared" si="43"/>
        <v>7200</v>
      </c>
    </row>
    <row r="3952" spans="1:16" s="619" customFormat="1" ht="36" x14ac:dyDescent="0.2">
      <c r="A3952" s="625" t="s">
        <v>7690</v>
      </c>
      <c r="B3952" s="626" t="s">
        <v>1908</v>
      </c>
      <c r="C3952" s="638" t="s">
        <v>7691</v>
      </c>
      <c r="D3952" s="640" t="s">
        <v>6876</v>
      </c>
      <c r="E3952" s="717">
        <v>1500</v>
      </c>
      <c r="F3952" s="640" t="s">
        <v>8190</v>
      </c>
      <c r="G3952" s="648" t="s">
        <v>8191</v>
      </c>
      <c r="H3952" s="640" t="s">
        <v>6876</v>
      </c>
      <c r="I3952" s="648" t="s">
        <v>1919</v>
      </c>
      <c r="J3952" s="626" t="s">
        <v>7698</v>
      </c>
      <c r="K3952" s="639"/>
      <c r="L3952" s="640"/>
      <c r="M3952" s="638"/>
      <c r="N3952" s="641" t="s">
        <v>3928</v>
      </c>
      <c r="O3952" s="642">
        <v>6</v>
      </c>
      <c r="P3952" s="719">
        <f t="shared" ref="P3952:P4015" si="44">+E3952*O3952</f>
        <v>9000</v>
      </c>
    </row>
    <row r="3953" spans="1:16" s="619" customFormat="1" ht="24" x14ac:dyDescent="0.2">
      <c r="A3953" s="625" t="s">
        <v>7690</v>
      </c>
      <c r="B3953" s="626" t="s">
        <v>1908</v>
      </c>
      <c r="C3953" s="638" t="s">
        <v>7691</v>
      </c>
      <c r="D3953" s="640" t="s">
        <v>3548</v>
      </c>
      <c r="E3953" s="717">
        <v>1000</v>
      </c>
      <c r="F3953" s="640" t="s">
        <v>8192</v>
      </c>
      <c r="G3953" s="648" t="s">
        <v>8193</v>
      </c>
      <c r="H3953" s="640" t="s">
        <v>3548</v>
      </c>
      <c r="I3953" s="648" t="s">
        <v>1919</v>
      </c>
      <c r="J3953" s="626" t="s">
        <v>7698</v>
      </c>
      <c r="K3953" s="639"/>
      <c r="L3953" s="640"/>
      <c r="M3953" s="638"/>
      <c r="N3953" s="641" t="s">
        <v>3928</v>
      </c>
      <c r="O3953" s="642">
        <v>6</v>
      </c>
      <c r="P3953" s="719">
        <f t="shared" si="44"/>
        <v>6000</v>
      </c>
    </row>
    <row r="3954" spans="1:16" s="619" customFormat="1" ht="48" x14ac:dyDescent="0.2">
      <c r="A3954" s="625" t="s">
        <v>7690</v>
      </c>
      <c r="B3954" s="626" t="s">
        <v>1908</v>
      </c>
      <c r="C3954" s="638" t="s">
        <v>7691</v>
      </c>
      <c r="D3954" s="640" t="s">
        <v>2660</v>
      </c>
      <c r="E3954" s="717">
        <v>1100</v>
      </c>
      <c r="F3954" s="640" t="s">
        <v>8202</v>
      </c>
      <c r="G3954" s="648" t="s">
        <v>8203</v>
      </c>
      <c r="H3954" s="640" t="s">
        <v>2660</v>
      </c>
      <c r="I3954" s="642" t="s">
        <v>2660</v>
      </c>
      <c r="J3954" s="626" t="s">
        <v>7713</v>
      </c>
      <c r="K3954" s="639"/>
      <c r="L3954" s="640"/>
      <c r="M3954" s="638"/>
      <c r="N3954" s="641" t="s">
        <v>3928</v>
      </c>
      <c r="O3954" s="642">
        <v>6</v>
      </c>
      <c r="P3954" s="719">
        <f t="shared" si="44"/>
        <v>6600</v>
      </c>
    </row>
    <row r="3955" spans="1:16" s="619" customFormat="1" ht="36" x14ac:dyDescent="0.2">
      <c r="A3955" s="625" t="s">
        <v>7690</v>
      </c>
      <c r="B3955" s="626" t="s">
        <v>1908</v>
      </c>
      <c r="C3955" s="638" t="s">
        <v>7691</v>
      </c>
      <c r="D3955" s="640" t="s">
        <v>6876</v>
      </c>
      <c r="E3955" s="717">
        <v>1200</v>
      </c>
      <c r="F3955" s="640" t="s">
        <v>8206</v>
      </c>
      <c r="G3955" s="648" t="s">
        <v>8207</v>
      </c>
      <c r="H3955" s="640" t="s">
        <v>6876</v>
      </c>
      <c r="I3955" s="648" t="s">
        <v>1919</v>
      </c>
      <c r="J3955" s="626" t="s">
        <v>7713</v>
      </c>
      <c r="K3955" s="639"/>
      <c r="L3955" s="640"/>
      <c r="M3955" s="638"/>
      <c r="N3955" s="641" t="s">
        <v>3928</v>
      </c>
      <c r="O3955" s="642">
        <v>6</v>
      </c>
      <c r="P3955" s="719">
        <f t="shared" si="44"/>
        <v>7200</v>
      </c>
    </row>
    <row r="3956" spans="1:16" s="619" customFormat="1" ht="36" x14ac:dyDescent="0.2">
      <c r="A3956" s="625" t="s">
        <v>7690</v>
      </c>
      <c r="B3956" s="626" t="s">
        <v>1908</v>
      </c>
      <c r="C3956" s="638" t="s">
        <v>7691</v>
      </c>
      <c r="D3956" s="640" t="s">
        <v>2660</v>
      </c>
      <c r="E3956" s="717">
        <v>1100</v>
      </c>
      <c r="F3956" s="640" t="s">
        <v>8208</v>
      </c>
      <c r="G3956" s="648" t="s">
        <v>8209</v>
      </c>
      <c r="H3956" s="640" t="s">
        <v>2660</v>
      </c>
      <c r="I3956" s="642" t="s">
        <v>2660</v>
      </c>
      <c r="J3956" s="626" t="s">
        <v>7713</v>
      </c>
      <c r="K3956" s="639"/>
      <c r="L3956" s="640"/>
      <c r="M3956" s="638"/>
      <c r="N3956" s="641" t="s">
        <v>3928</v>
      </c>
      <c r="O3956" s="642">
        <v>6</v>
      </c>
      <c r="P3956" s="719">
        <f t="shared" si="44"/>
        <v>6600</v>
      </c>
    </row>
    <row r="3957" spans="1:16" s="619" customFormat="1" ht="36" x14ac:dyDescent="0.2">
      <c r="A3957" s="625" t="s">
        <v>7690</v>
      </c>
      <c r="B3957" s="626" t="s">
        <v>1908</v>
      </c>
      <c r="C3957" s="638" t="s">
        <v>7691</v>
      </c>
      <c r="D3957" s="640" t="s">
        <v>3583</v>
      </c>
      <c r="E3957" s="717">
        <v>1200</v>
      </c>
      <c r="F3957" s="640" t="s">
        <v>8212</v>
      </c>
      <c r="G3957" s="648" t="s">
        <v>8213</v>
      </c>
      <c r="H3957" s="640" t="s">
        <v>3583</v>
      </c>
      <c r="I3957" s="648" t="s">
        <v>8430</v>
      </c>
      <c r="J3957" s="626" t="s">
        <v>7698</v>
      </c>
      <c r="K3957" s="639"/>
      <c r="L3957" s="640"/>
      <c r="M3957" s="638"/>
      <c r="N3957" s="641" t="s">
        <v>3928</v>
      </c>
      <c r="O3957" s="642">
        <v>6</v>
      </c>
      <c r="P3957" s="719">
        <f t="shared" si="44"/>
        <v>7200</v>
      </c>
    </row>
    <row r="3958" spans="1:16" s="619" customFormat="1" ht="36" x14ac:dyDescent="0.2">
      <c r="A3958" s="625" t="s">
        <v>7690</v>
      </c>
      <c r="B3958" s="626" t="s">
        <v>1908</v>
      </c>
      <c r="C3958" s="638" t="s">
        <v>7691</v>
      </c>
      <c r="D3958" s="640" t="s">
        <v>2660</v>
      </c>
      <c r="E3958" s="717">
        <v>1100</v>
      </c>
      <c r="F3958" s="640" t="s">
        <v>8215</v>
      </c>
      <c r="G3958" s="648" t="s">
        <v>8216</v>
      </c>
      <c r="H3958" s="640" t="s">
        <v>2660</v>
      </c>
      <c r="I3958" s="642" t="s">
        <v>2660</v>
      </c>
      <c r="J3958" s="626" t="s">
        <v>7713</v>
      </c>
      <c r="K3958" s="639"/>
      <c r="L3958" s="640"/>
      <c r="M3958" s="638"/>
      <c r="N3958" s="641" t="s">
        <v>3928</v>
      </c>
      <c r="O3958" s="642">
        <v>6</v>
      </c>
      <c r="P3958" s="719">
        <f t="shared" si="44"/>
        <v>6600</v>
      </c>
    </row>
    <row r="3959" spans="1:16" s="619" customFormat="1" ht="24" x14ac:dyDescent="0.2">
      <c r="A3959" s="625" t="s">
        <v>7690</v>
      </c>
      <c r="B3959" s="626" t="s">
        <v>1908</v>
      </c>
      <c r="C3959" s="638" t="s">
        <v>7691</v>
      </c>
      <c r="D3959" s="640" t="s">
        <v>2660</v>
      </c>
      <c r="E3959" s="717">
        <v>1100</v>
      </c>
      <c r="F3959" s="640" t="s">
        <v>8219</v>
      </c>
      <c r="G3959" s="648" t="s">
        <v>8220</v>
      </c>
      <c r="H3959" s="640" t="s">
        <v>2660</v>
      </c>
      <c r="I3959" s="642" t="s">
        <v>2660</v>
      </c>
      <c r="J3959" s="626" t="s">
        <v>7713</v>
      </c>
      <c r="K3959" s="639"/>
      <c r="L3959" s="640"/>
      <c r="M3959" s="638"/>
      <c r="N3959" s="641" t="s">
        <v>3928</v>
      </c>
      <c r="O3959" s="642">
        <v>6</v>
      </c>
      <c r="P3959" s="719">
        <f t="shared" si="44"/>
        <v>6600</v>
      </c>
    </row>
    <row r="3960" spans="1:16" s="619" customFormat="1" ht="36" x14ac:dyDescent="0.2">
      <c r="A3960" s="625" t="s">
        <v>7690</v>
      </c>
      <c r="B3960" s="626" t="s">
        <v>1908</v>
      </c>
      <c r="C3960" s="638" t="s">
        <v>7691</v>
      </c>
      <c r="D3960" s="640" t="s">
        <v>6227</v>
      </c>
      <c r="E3960" s="717">
        <v>2300</v>
      </c>
      <c r="F3960" s="640" t="s">
        <v>8221</v>
      </c>
      <c r="G3960" s="648" t="s">
        <v>8222</v>
      </c>
      <c r="H3960" s="640" t="s">
        <v>6227</v>
      </c>
      <c r="I3960" s="648" t="s">
        <v>1988</v>
      </c>
      <c r="J3960" s="626" t="s">
        <v>7713</v>
      </c>
      <c r="K3960" s="639"/>
      <c r="L3960" s="640"/>
      <c r="M3960" s="638"/>
      <c r="N3960" s="641" t="s">
        <v>3928</v>
      </c>
      <c r="O3960" s="642">
        <v>6</v>
      </c>
      <c r="P3960" s="719">
        <f t="shared" si="44"/>
        <v>13800</v>
      </c>
    </row>
    <row r="3961" spans="1:16" s="619" customFormat="1" ht="36" x14ac:dyDescent="0.2">
      <c r="A3961" s="625" t="s">
        <v>7690</v>
      </c>
      <c r="B3961" s="626" t="s">
        <v>1908</v>
      </c>
      <c r="C3961" s="638" t="s">
        <v>7691</v>
      </c>
      <c r="D3961" s="640" t="s">
        <v>2660</v>
      </c>
      <c r="E3961" s="717">
        <v>1200</v>
      </c>
      <c r="F3961" s="640" t="s">
        <v>8225</v>
      </c>
      <c r="G3961" s="648" t="s">
        <v>8226</v>
      </c>
      <c r="H3961" s="640" t="s">
        <v>2660</v>
      </c>
      <c r="I3961" s="642" t="s">
        <v>2660</v>
      </c>
      <c r="J3961" s="626" t="s">
        <v>7713</v>
      </c>
      <c r="K3961" s="639"/>
      <c r="L3961" s="640"/>
      <c r="M3961" s="638"/>
      <c r="N3961" s="641" t="s">
        <v>3928</v>
      </c>
      <c r="O3961" s="642">
        <v>6</v>
      </c>
      <c r="P3961" s="719">
        <f t="shared" si="44"/>
        <v>7200</v>
      </c>
    </row>
    <row r="3962" spans="1:16" s="619" customFormat="1" ht="36" x14ac:dyDescent="0.2">
      <c r="A3962" s="625" t="s">
        <v>7690</v>
      </c>
      <c r="B3962" s="626" t="s">
        <v>1908</v>
      </c>
      <c r="C3962" s="638" t="s">
        <v>7691</v>
      </c>
      <c r="D3962" s="640" t="s">
        <v>1965</v>
      </c>
      <c r="E3962" s="717">
        <v>1800</v>
      </c>
      <c r="F3962" s="640" t="s">
        <v>8227</v>
      </c>
      <c r="G3962" s="648" t="s">
        <v>8228</v>
      </c>
      <c r="H3962" s="640" t="s">
        <v>1965</v>
      </c>
      <c r="I3962" s="642" t="s">
        <v>1965</v>
      </c>
      <c r="J3962" s="626" t="s">
        <v>7713</v>
      </c>
      <c r="K3962" s="639"/>
      <c r="L3962" s="640"/>
      <c r="M3962" s="638"/>
      <c r="N3962" s="641" t="s">
        <v>3928</v>
      </c>
      <c r="O3962" s="642">
        <v>6</v>
      </c>
      <c r="P3962" s="719">
        <f t="shared" si="44"/>
        <v>10800</v>
      </c>
    </row>
    <row r="3963" spans="1:16" s="619" customFormat="1" ht="36" x14ac:dyDescent="0.2">
      <c r="A3963" s="625" t="s">
        <v>7690</v>
      </c>
      <c r="B3963" s="626" t="s">
        <v>1908</v>
      </c>
      <c r="C3963" s="638" t="s">
        <v>7691</v>
      </c>
      <c r="D3963" s="640" t="s">
        <v>6092</v>
      </c>
      <c r="E3963" s="717">
        <v>2000</v>
      </c>
      <c r="F3963" s="640" t="s">
        <v>8431</v>
      </c>
      <c r="G3963" s="648" t="s">
        <v>8432</v>
      </c>
      <c r="H3963" s="640" t="s">
        <v>6092</v>
      </c>
      <c r="I3963" s="642" t="s">
        <v>6092</v>
      </c>
      <c r="J3963" s="626" t="s">
        <v>7713</v>
      </c>
      <c r="K3963" s="639"/>
      <c r="L3963" s="640"/>
      <c r="M3963" s="638"/>
      <c r="N3963" s="641" t="s">
        <v>3928</v>
      </c>
      <c r="O3963" s="642">
        <v>6</v>
      </c>
      <c r="P3963" s="719">
        <f t="shared" si="44"/>
        <v>12000</v>
      </c>
    </row>
    <row r="3964" spans="1:16" s="619" customFormat="1" ht="48" x14ac:dyDescent="0.2">
      <c r="A3964" s="625" t="s">
        <v>7690</v>
      </c>
      <c r="B3964" s="626" t="s">
        <v>1908</v>
      </c>
      <c r="C3964" s="638" t="s">
        <v>7691</v>
      </c>
      <c r="D3964" s="640" t="s">
        <v>1965</v>
      </c>
      <c r="E3964" s="717">
        <v>1800</v>
      </c>
      <c r="F3964" s="640" t="s">
        <v>8231</v>
      </c>
      <c r="G3964" s="648" t="s">
        <v>8232</v>
      </c>
      <c r="H3964" s="640" t="s">
        <v>1965</v>
      </c>
      <c r="I3964" s="642" t="s">
        <v>1965</v>
      </c>
      <c r="J3964" s="626" t="s">
        <v>7713</v>
      </c>
      <c r="K3964" s="639"/>
      <c r="L3964" s="640"/>
      <c r="M3964" s="638"/>
      <c r="N3964" s="641" t="s">
        <v>3928</v>
      </c>
      <c r="O3964" s="642">
        <v>6</v>
      </c>
      <c r="P3964" s="719">
        <f t="shared" si="44"/>
        <v>10800</v>
      </c>
    </row>
    <row r="3965" spans="1:16" s="619" customFormat="1" ht="24" x14ac:dyDescent="0.2">
      <c r="A3965" s="625" t="s">
        <v>7690</v>
      </c>
      <c r="B3965" s="626" t="s">
        <v>1908</v>
      </c>
      <c r="C3965" s="638" t="s">
        <v>7691</v>
      </c>
      <c r="D3965" s="640" t="s">
        <v>2660</v>
      </c>
      <c r="E3965" s="717">
        <v>1100</v>
      </c>
      <c r="F3965" s="640" t="s">
        <v>8235</v>
      </c>
      <c r="G3965" s="648" t="s">
        <v>8236</v>
      </c>
      <c r="H3965" s="640" t="s">
        <v>2660</v>
      </c>
      <c r="I3965" s="642" t="s">
        <v>2660</v>
      </c>
      <c r="J3965" s="626" t="s">
        <v>7713</v>
      </c>
      <c r="K3965" s="639"/>
      <c r="L3965" s="640"/>
      <c r="M3965" s="638"/>
      <c r="N3965" s="641" t="s">
        <v>3928</v>
      </c>
      <c r="O3965" s="642">
        <v>6</v>
      </c>
      <c r="P3965" s="719">
        <f t="shared" si="44"/>
        <v>6600</v>
      </c>
    </row>
    <row r="3966" spans="1:16" s="619" customFormat="1" ht="48" x14ac:dyDescent="0.2">
      <c r="A3966" s="625" t="s">
        <v>7690</v>
      </c>
      <c r="B3966" s="626" t="s">
        <v>1908</v>
      </c>
      <c r="C3966" s="638" t="s">
        <v>7691</v>
      </c>
      <c r="D3966" s="640" t="s">
        <v>6738</v>
      </c>
      <c r="E3966" s="717">
        <v>9000</v>
      </c>
      <c r="F3966" s="640" t="s">
        <v>8237</v>
      </c>
      <c r="G3966" s="648" t="s">
        <v>8238</v>
      </c>
      <c r="H3966" s="640" t="s">
        <v>6738</v>
      </c>
      <c r="I3966" s="642" t="s">
        <v>6738</v>
      </c>
      <c r="J3966" s="626" t="s">
        <v>7713</v>
      </c>
      <c r="K3966" s="639"/>
      <c r="L3966" s="640"/>
      <c r="M3966" s="638"/>
      <c r="N3966" s="641" t="s">
        <v>3928</v>
      </c>
      <c r="O3966" s="642">
        <v>6</v>
      </c>
      <c r="P3966" s="719">
        <f t="shared" si="44"/>
        <v>54000</v>
      </c>
    </row>
    <row r="3967" spans="1:16" s="619" customFormat="1" ht="36" x14ac:dyDescent="0.2">
      <c r="A3967" s="625" t="s">
        <v>7690</v>
      </c>
      <c r="B3967" s="626" t="s">
        <v>1908</v>
      </c>
      <c r="C3967" s="638" t="s">
        <v>7691</v>
      </c>
      <c r="D3967" s="640" t="s">
        <v>2563</v>
      </c>
      <c r="E3967" s="717">
        <v>3600</v>
      </c>
      <c r="F3967" s="640" t="s">
        <v>8246</v>
      </c>
      <c r="G3967" s="648" t="s">
        <v>8247</v>
      </c>
      <c r="H3967" s="640" t="s">
        <v>2563</v>
      </c>
      <c r="I3967" s="642" t="s">
        <v>8433</v>
      </c>
      <c r="J3967" s="626" t="s">
        <v>3768</v>
      </c>
      <c r="K3967" s="639"/>
      <c r="L3967" s="640"/>
      <c r="M3967" s="638"/>
      <c r="N3967" s="641" t="s">
        <v>3928</v>
      </c>
      <c r="O3967" s="642">
        <v>6</v>
      </c>
      <c r="P3967" s="719">
        <f t="shared" si="44"/>
        <v>21600</v>
      </c>
    </row>
    <row r="3968" spans="1:16" s="619" customFormat="1" ht="36" x14ac:dyDescent="0.2">
      <c r="A3968" s="625" t="s">
        <v>7690</v>
      </c>
      <c r="B3968" s="626" t="s">
        <v>1908</v>
      </c>
      <c r="C3968" s="638" t="s">
        <v>7691</v>
      </c>
      <c r="D3968" s="640" t="s">
        <v>6114</v>
      </c>
      <c r="E3968" s="717">
        <v>1200</v>
      </c>
      <c r="F3968" s="640" t="s">
        <v>8256</v>
      </c>
      <c r="G3968" s="648" t="s">
        <v>8257</v>
      </c>
      <c r="H3968" s="640" t="s">
        <v>6114</v>
      </c>
      <c r="I3968" s="642" t="s">
        <v>6114</v>
      </c>
      <c r="J3968" s="626" t="s">
        <v>7713</v>
      </c>
      <c r="K3968" s="639"/>
      <c r="L3968" s="640"/>
      <c r="M3968" s="638"/>
      <c r="N3968" s="641" t="s">
        <v>3928</v>
      </c>
      <c r="O3968" s="642">
        <v>6</v>
      </c>
      <c r="P3968" s="719">
        <f t="shared" si="44"/>
        <v>7200</v>
      </c>
    </row>
    <row r="3969" spans="1:16" s="619" customFormat="1" ht="24" x14ac:dyDescent="0.2">
      <c r="A3969" s="625" t="s">
        <v>7690</v>
      </c>
      <c r="B3969" s="626" t="s">
        <v>1908</v>
      </c>
      <c r="C3969" s="638" t="s">
        <v>7691</v>
      </c>
      <c r="D3969" s="640" t="s">
        <v>6876</v>
      </c>
      <c r="E3969" s="717">
        <v>1100</v>
      </c>
      <c r="F3969" s="640" t="s">
        <v>8258</v>
      </c>
      <c r="G3969" s="648" t="s">
        <v>8259</v>
      </c>
      <c r="H3969" s="640" t="s">
        <v>6876</v>
      </c>
      <c r="I3969" s="648" t="s">
        <v>1919</v>
      </c>
      <c r="J3969" s="626" t="s">
        <v>7698</v>
      </c>
      <c r="K3969" s="639"/>
      <c r="L3969" s="640"/>
      <c r="M3969" s="638"/>
      <c r="N3969" s="641" t="s">
        <v>3928</v>
      </c>
      <c r="O3969" s="642">
        <v>6</v>
      </c>
      <c r="P3969" s="719">
        <f t="shared" si="44"/>
        <v>6600</v>
      </c>
    </row>
    <row r="3970" spans="1:16" s="619" customFormat="1" ht="24" x14ac:dyDescent="0.2">
      <c r="A3970" s="625" t="s">
        <v>7690</v>
      </c>
      <c r="B3970" s="626" t="s">
        <v>1908</v>
      </c>
      <c r="C3970" s="638" t="s">
        <v>7691</v>
      </c>
      <c r="D3970" s="640" t="s">
        <v>6158</v>
      </c>
      <c r="E3970" s="717">
        <v>1100</v>
      </c>
      <c r="F3970" s="640" t="s">
        <v>8434</v>
      </c>
      <c r="G3970" s="648" t="s">
        <v>8435</v>
      </c>
      <c r="H3970" s="640" t="s">
        <v>6158</v>
      </c>
      <c r="I3970" s="648" t="s">
        <v>1919</v>
      </c>
      <c r="J3970" s="626" t="s">
        <v>7698</v>
      </c>
      <c r="K3970" s="639"/>
      <c r="L3970" s="640"/>
      <c r="M3970" s="638"/>
      <c r="N3970" s="641" t="s">
        <v>3928</v>
      </c>
      <c r="O3970" s="642">
        <v>6</v>
      </c>
      <c r="P3970" s="719">
        <f t="shared" si="44"/>
        <v>6600</v>
      </c>
    </row>
    <row r="3971" spans="1:16" s="619" customFormat="1" ht="24" x14ac:dyDescent="0.2">
      <c r="A3971" s="625" t="s">
        <v>7690</v>
      </c>
      <c r="B3971" s="626" t="s">
        <v>1908</v>
      </c>
      <c r="C3971" s="638" t="s">
        <v>7691</v>
      </c>
      <c r="D3971" s="640" t="s">
        <v>6026</v>
      </c>
      <c r="E3971" s="717">
        <v>1500</v>
      </c>
      <c r="F3971" s="640" t="s">
        <v>8262</v>
      </c>
      <c r="G3971" s="648" t="s">
        <v>8263</v>
      </c>
      <c r="H3971" s="640" t="s">
        <v>6026</v>
      </c>
      <c r="I3971" s="648" t="s">
        <v>1919</v>
      </c>
      <c r="J3971" s="626" t="s">
        <v>7698</v>
      </c>
      <c r="K3971" s="639"/>
      <c r="L3971" s="640"/>
      <c r="M3971" s="638"/>
      <c r="N3971" s="641" t="s">
        <v>3928</v>
      </c>
      <c r="O3971" s="642">
        <v>6</v>
      </c>
      <c r="P3971" s="719">
        <f t="shared" si="44"/>
        <v>9000</v>
      </c>
    </row>
    <row r="3972" spans="1:16" s="619" customFormat="1" ht="24" x14ac:dyDescent="0.2">
      <c r="A3972" s="625" t="s">
        <v>7690</v>
      </c>
      <c r="B3972" s="626" t="s">
        <v>1908</v>
      </c>
      <c r="C3972" s="638" t="s">
        <v>7691</v>
      </c>
      <c r="D3972" s="640" t="s">
        <v>3548</v>
      </c>
      <c r="E3972" s="717">
        <v>1000</v>
      </c>
      <c r="F3972" s="640" t="s">
        <v>8266</v>
      </c>
      <c r="G3972" s="648" t="s">
        <v>8267</v>
      </c>
      <c r="H3972" s="640" t="s">
        <v>3548</v>
      </c>
      <c r="I3972" s="648" t="s">
        <v>1919</v>
      </c>
      <c r="J3972" s="626" t="s">
        <v>7698</v>
      </c>
      <c r="K3972" s="639"/>
      <c r="L3972" s="640"/>
      <c r="M3972" s="638"/>
      <c r="N3972" s="641" t="s">
        <v>3928</v>
      </c>
      <c r="O3972" s="642">
        <v>6</v>
      </c>
      <c r="P3972" s="719">
        <f t="shared" si="44"/>
        <v>6000</v>
      </c>
    </row>
    <row r="3973" spans="1:16" s="619" customFormat="1" ht="36" x14ac:dyDescent="0.2">
      <c r="A3973" s="625" t="s">
        <v>7690</v>
      </c>
      <c r="B3973" s="626" t="s">
        <v>1908</v>
      </c>
      <c r="C3973" s="638" t="s">
        <v>7691</v>
      </c>
      <c r="D3973" s="640" t="s">
        <v>6158</v>
      </c>
      <c r="E3973" s="717">
        <v>1000</v>
      </c>
      <c r="F3973" s="640" t="s">
        <v>8276</v>
      </c>
      <c r="G3973" s="648" t="s">
        <v>8277</v>
      </c>
      <c r="H3973" s="640" t="s">
        <v>6158</v>
      </c>
      <c r="I3973" s="648" t="s">
        <v>1919</v>
      </c>
      <c r="J3973" s="626" t="s">
        <v>7698</v>
      </c>
      <c r="K3973" s="639"/>
      <c r="L3973" s="640"/>
      <c r="M3973" s="638"/>
      <c r="N3973" s="641" t="s">
        <v>3928</v>
      </c>
      <c r="O3973" s="642">
        <v>6</v>
      </c>
      <c r="P3973" s="719">
        <f t="shared" si="44"/>
        <v>6000</v>
      </c>
    </row>
    <row r="3974" spans="1:16" s="619" customFormat="1" ht="36" x14ac:dyDescent="0.2">
      <c r="A3974" s="625" t="s">
        <v>7690</v>
      </c>
      <c r="B3974" s="626" t="s">
        <v>1908</v>
      </c>
      <c r="C3974" s="638" t="s">
        <v>7691</v>
      </c>
      <c r="D3974" s="640" t="s">
        <v>6158</v>
      </c>
      <c r="E3974" s="717">
        <v>1100</v>
      </c>
      <c r="F3974" s="640" t="s">
        <v>8280</v>
      </c>
      <c r="G3974" s="648" t="s">
        <v>8281</v>
      </c>
      <c r="H3974" s="640" t="s">
        <v>6158</v>
      </c>
      <c r="I3974" s="648" t="s">
        <v>1919</v>
      </c>
      <c r="J3974" s="626" t="s">
        <v>7698</v>
      </c>
      <c r="K3974" s="639"/>
      <c r="L3974" s="640"/>
      <c r="M3974" s="638"/>
      <c r="N3974" s="641" t="s">
        <v>3928</v>
      </c>
      <c r="O3974" s="642">
        <v>6</v>
      </c>
      <c r="P3974" s="719">
        <f t="shared" si="44"/>
        <v>6600</v>
      </c>
    </row>
    <row r="3975" spans="1:16" s="619" customFormat="1" ht="24" x14ac:dyDescent="0.2">
      <c r="A3975" s="625" t="s">
        <v>7690</v>
      </c>
      <c r="B3975" s="626" t="s">
        <v>1908</v>
      </c>
      <c r="C3975" s="638" t="s">
        <v>7691</v>
      </c>
      <c r="D3975" s="640" t="s">
        <v>2660</v>
      </c>
      <c r="E3975" s="717">
        <v>1100</v>
      </c>
      <c r="F3975" s="640" t="s">
        <v>8286</v>
      </c>
      <c r="G3975" s="648" t="s">
        <v>8287</v>
      </c>
      <c r="H3975" s="640" t="s">
        <v>2660</v>
      </c>
      <c r="I3975" s="642" t="s">
        <v>2660</v>
      </c>
      <c r="J3975" s="626" t="s">
        <v>7713</v>
      </c>
      <c r="K3975" s="639"/>
      <c r="L3975" s="640"/>
      <c r="M3975" s="638"/>
      <c r="N3975" s="641" t="s">
        <v>3928</v>
      </c>
      <c r="O3975" s="642">
        <v>6</v>
      </c>
      <c r="P3975" s="719">
        <f t="shared" si="44"/>
        <v>6600</v>
      </c>
    </row>
    <row r="3976" spans="1:16" s="619" customFormat="1" ht="24" x14ac:dyDescent="0.2">
      <c r="A3976" s="625" t="s">
        <v>7690</v>
      </c>
      <c r="B3976" s="626" t="s">
        <v>1908</v>
      </c>
      <c r="C3976" s="638" t="s">
        <v>7691</v>
      </c>
      <c r="D3976" s="640" t="s">
        <v>3548</v>
      </c>
      <c r="E3976" s="717">
        <v>1000</v>
      </c>
      <c r="F3976" s="640" t="s">
        <v>8290</v>
      </c>
      <c r="G3976" s="648" t="s">
        <v>8291</v>
      </c>
      <c r="H3976" s="640" t="s">
        <v>3548</v>
      </c>
      <c r="I3976" s="648" t="s">
        <v>1919</v>
      </c>
      <c r="J3976" s="626" t="s">
        <v>7698</v>
      </c>
      <c r="K3976" s="639"/>
      <c r="L3976" s="640"/>
      <c r="M3976" s="638"/>
      <c r="N3976" s="641" t="s">
        <v>3928</v>
      </c>
      <c r="O3976" s="642">
        <v>6</v>
      </c>
      <c r="P3976" s="719">
        <f t="shared" si="44"/>
        <v>6000</v>
      </c>
    </row>
    <row r="3977" spans="1:16" s="619" customFormat="1" ht="24" x14ac:dyDescent="0.2">
      <c r="A3977" s="625" t="s">
        <v>7690</v>
      </c>
      <c r="B3977" s="626" t="s">
        <v>1908</v>
      </c>
      <c r="C3977" s="638" t="s">
        <v>7691</v>
      </c>
      <c r="D3977" s="640" t="s">
        <v>6092</v>
      </c>
      <c r="E3977" s="717">
        <v>2000</v>
      </c>
      <c r="F3977" s="640" t="s">
        <v>8300</v>
      </c>
      <c r="G3977" s="648" t="s">
        <v>8301</v>
      </c>
      <c r="H3977" s="640" t="s">
        <v>6092</v>
      </c>
      <c r="I3977" s="648" t="s">
        <v>1993</v>
      </c>
      <c r="J3977" s="626" t="s">
        <v>7713</v>
      </c>
      <c r="K3977" s="639"/>
      <c r="L3977" s="640"/>
      <c r="M3977" s="638"/>
      <c r="N3977" s="641" t="s">
        <v>3928</v>
      </c>
      <c r="O3977" s="642">
        <v>6</v>
      </c>
      <c r="P3977" s="719">
        <f t="shared" si="44"/>
        <v>12000</v>
      </c>
    </row>
    <row r="3978" spans="1:16" s="619" customFormat="1" ht="48" x14ac:dyDescent="0.2">
      <c r="A3978" s="625" t="s">
        <v>7690</v>
      </c>
      <c r="B3978" s="626" t="s">
        <v>1908</v>
      </c>
      <c r="C3978" s="638" t="s">
        <v>7691</v>
      </c>
      <c r="D3978" s="640" t="s">
        <v>7740</v>
      </c>
      <c r="E3978" s="717">
        <v>2300</v>
      </c>
      <c r="F3978" s="640" t="s">
        <v>8304</v>
      </c>
      <c r="G3978" s="648" t="s">
        <v>8305</v>
      </c>
      <c r="H3978" s="640" t="s">
        <v>7740</v>
      </c>
      <c r="I3978" s="648" t="s">
        <v>8398</v>
      </c>
      <c r="J3978" s="626" t="s">
        <v>7713</v>
      </c>
      <c r="K3978" s="639"/>
      <c r="L3978" s="640"/>
      <c r="M3978" s="638"/>
      <c r="N3978" s="641" t="s">
        <v>3928</v>
      </c>
      <c r="O3978" s="642">
        <v>6</v>
      </c>
      <c r="P3978" s="719">
        <f t="shared" si="44"/>
        <v>13800</v>
      </c>
    </row>
    <row r="3979" spans="1:16" s="619" customFormat="1" ht="24" x14ac:dyDescent="0.2">
      <c r="A3979" s="625" t="s">
        <v>7690</v>
      </c>
      <c r="B3979" s="626" t="s">
        <v>1908</v>
      </c>
      <c r="C3979" s="638" t="s">
        <v>7691</v>
      </c>
      <c r="D3979" s="640" t="s">
        <v>2660</v>
      </c>
      <c r="E3979" s="717">
        <v>1500</v>
      </c>
      <c r="F3979" s="640" t="s">
        <v>8306</v>
      </c>
      <c r="G3979" s="648" t="s">
        <v>8307</v>
      </c>
      <c r="H3979" s="640" t="s">
        <v>2660</v>
      </c>
      <c r="I3979" s="642" t="s">
        <v>2660</v>
      </c>
      <c r="J3979" s="626" t="s">
        <v>7713</v>
      </c>
      <c r="K3979" s="639"/>
      <c r="L3979" s="640"/>
      <c r="M3979" s="638"/>
      <c r="N3979" s="641" t="s">
        <v>3928</v>
      </c>
      <c r="O3979" s="642">
        <v>6</v>
      </c>
      <c r="P3979" s="719">
        <f t="shared" si="44"/>
        <v>9000</v>
      </c>
    </row>
    <row r="3980" spans="1:16" s="619" customFormat="1" ht="36" x14ac:dyDescent="0.2">
      <c r="A3980" s="625" t="s">
        <v>7690</v>
      </c>
      <c r="B3980" s="626" t="s">
        <v>1908</v>
      </c>
      <c r="C3980" s="638" t="s">
        <v>7691</v>
      </c>
      <c r="D3980" s="640" t="s">
        <v>6092</v>
      </c>
      <c r="E3980" s="717">
        <v>4000</v>
      </c>
      <c r="F3980" s="640" t="s">
        <v>8308</v>
      </c>
      <c r="G3980" s="648" t="s">
        <v>8309</v>
      </c>
      <c r="H3980" s="640" t="s">
        <v>6092</v>
      </c>
      <c r="I3980" s="648" t="s">
        <v>1993</v>
      </c>
      <c r="J3980" s="626" t="s">
        <v>7713</v>
      </c>
      <c r="K3980" s="639"/>
      <c r="L3980" s="640"/>
      <c r="M3980" s="638"/>
      <c r="N3980" s="641" t="s">
        <v>3928</v>
      </c>
      <c r="O3980" s="642">
        <v>6</v>
      </c>
      <c r="P3980" s="719">
        <f t="shared" si="44"/>
        <v>24000</v>
      </c>
    </row>
    <row r="3981" spans="1:16" s="619" customFormat="1" ht="24" x14ac:dyDescent="0.2">
      <c r="A3981" s="625" t="s">
        <v>7690</v>
      </c>
      <c r="B3981" s="626" t="s">
        <v>1908</v>
      </c>
      <c r="C3981" s="638" t="s">
        <v>7691</v>
      </c>
      <c r="D3981" s="640" t="s">
        <v>2660</v>
      </c>
      <c r="E3981" s="717">
        <v>1100</v>
      </c>
      <c r="F3981" s="640" t="s">
        <v>8310</v>
      </c>
      <c r="G3981" s="648" t="s">
        <v>8311</v>
      </c>
      <c r="H3981" s="640" t="s">
        <v>2660</v>
      </c>
      <c r="I3981" s="642" t="s">
        <v>2660</v>
      </c>
      <c r="J3981" s="626" t="s">
        <v>7713</v>
      </c>
      <c r="K3981" s="639"/>
      <c r="L3981" s="640"/>
      <c r="M3981" s="638"/>
      <c r="N3981" s="641" t="s">
        <v>3928</v>
      </c>
      <c r="O3981" s="642">
        <v>6</v>
      </c>
      <c r="P3981" s="719">
        <f t="shared" si="44"/>
        <v>6600</v>
      </c>
    </row>
    <row r="3982" spans="1:16" s="619" customFormat="1" ht="36" x14ac:dyDescent="0.2">
      <c r="A3982" s="625" t="s">
        <v>7690</v>
      </c>
      <c r="B3982" s="626" t="s">
        <v>1908</v>
      </c>
      <c r="C3982" s="638" t="s">
        <v>7691</v>
      </c>
      <c r="D3982" s="640" t="s">
        <v>6114</v>
      </c>
      <c r="E3982" s="717">
        <v>1200</v>
      </c>
      <c r="F3982" s="640" t="s">
        <v>8318</v>
      </c>
      <c r="G3982" s="648" t="s">
        <v>8319</v>
      </c>
      <c r="H3982" s="640" t="s">
        <v>6114</v>
      </c>
      <c r="I3982" s="642" t="s">
        <v>6114</v>
      </c>
      <c r="J3982" s="626" t="s">
        <v>7713</v>
      </c>
      <c r="K3982" s="639"/>
      <c r="L3982" s="640"/>
      <c r="M3982" s="638"/>
      <c r="N3982" s="641" t="s">
        <v>3928</v>
      </c>
      <c r="O3982" s="642">
        <v>6</v>
      </c>
      <c r="P3982" s="719">
        <f t="shared" si="44"/>
        <v>7200</v>
      </c>
    </row>
    <row r="3983" spans="1:16" s="619" customFormat="1" ht="36" x14ac:dyDescent="0.2">
      <c r="A3983" s="625" t="s">
        <v>7690</v>
      </c>
      <c r="B3983" s="626" t="s">
        <v>1908</v>
      </c>
      <c r="C3983" s="638" t="s">
        <v>7691</v>
      </c>
      <c r="D3983" s="640" t="s">
        <v>2660</v>
      </c>
      <c r="E3983" s="717">
        <v>1000</v>
      </c>
      <c r="F3983" s="640" t="s">
        <v>8320</v>
      </c>
      <c r="G3983" s="648" t="s">
        <v>8321</v>
      </c>
      <c r="H3983" s="640" t="s">
        <v>2660</v>
      </c>
      <c r="I3983" s="642" t="s">
        <v>2660</v>
      </c>
      <c r="J3983" s="626" t="s">
        <v>7713</v>
      </c>
      <c r="K3983" s="639"/>
      <c r="L3983" s="640"/>
      <c r="M3983" s="638"/>
      <c r="N3983" s="641" t="s">
        <v>3928</v>
      </c>
      <c r="O3983" s="642">
        <v>6</v>
      </c>
      <c r="P3983" s="719">
        <f t="shared" si="44"/>
        <v>6000</v>
      </c>
    </row>
    <row r="3984" spans="1:16" s="619" customFormat="1" ht="24" x14ac:dyDescent="0.2">
      <c r="A3984" s="625" t="s">
        <v>7690</v>
      </c>
      <c r="B3984" s="626" t="s">
        <v>1908</v>
      </c>
      <c r="C3984" s="638" t="s">
        <v>7691</v>
      </c>
      <c r="D3984" s="640" t="s">
        <v>2660</v>
      </c>
      <c r="E3984" s="717">
        <v>1100</v>
      </c>
      <c r="F3984" s="640" t="s">
        <v>8322</v>
      </c>
      <c r="G3984" s="648" t="s">
        <v>8323</v>
      </c>
      <c r="H3984" s="640" t="s">
        <v>2660</v>
      </c>
      <c r="I3984" s="642" t="s">
        <v>2660</v>
      </c>
      <c r="J3984" s="626" t="s">
        <v>7713</v>
      </c>
      <c r="K3984" s="639"/>
      <c r="L3984" s="640"/>
      <c r="M3984" s="638"/>
      <c r="N3984" s="641" t="s">
        <v>3928</v>
      </c>
      <c r="O3984" s="642">
        <v>6</v>
      </c>
      <c r="P3984" s="719">
        <f t="shared" si="44"/>
        <v>6600</v>
      </c>
    </row>
    <row r="3985" spans="1:16" s="619" customFormat="1" ht="36" x14ac:dyDescent="0.2">
      <c r="A3985" s="625" t="s">
        <v>7690</v>
      </c>
      <c r="B3985" s="626" t="s">
        <v>1908</v>
      </c>
      <c r="C3985" s="638" t="s">
        <v>7691</v>
      </c>
      <c r="D3985" s="640" t="s">
        <v>6158</v>
      </c>
      <c r="E3985" s="717">
        <v>1100</v>
      </c>
      <c r="F3985" s="640" t="s">
        <v>8324</v>
      </c>
      <c r="G3985" s="648" t="s">
        <v>8325</v>
      </c>
      <c r="H3985" s="640" t="s">
        <v>6158</v>
      </c>
      <c r="I3985" s="648" t="s">
        <v>1919</v>
      </c>
      <c r="J3985" s="626" t="s">
        <v>7698</v>
      </c>
      <c r="K3985" s="639"/>
      <c r="L3985" s="640"/>
      <c r="M3985" s="638"/>
      <c r="N3985" s="641" t="s">
        <v>3928</v>
      </c>
      <c r="O3985" s="642">
        <v>6</v>
      </c>
      <c r="P3985" s="719">
        <f t="shared" si="44"/>
        <v>6600</v>
      </c>
    </row>
    <row r="3986" spans="1:16" s="619" customFormat="1" ht="24" x14ac:dyDescent="0.2">
      <c r="A3986" s="625" t="s">
        <v>7690</v>
      </c>
      <c r="B3986" s="626" t="s">
        <v>1908</v>
      </c>
      <c r="C3986" s="638" t="s">
        <v>7691</v>
      </c>
      <c r="D3986" s="640" t="s">
        <v>2660</v>
      </c>
      <c r="E3986" s="717">
        <v>1000</v>
      </c>
      <c r="F3986" s="640" t="s">
        <v>8330</v>
      </c>
      <c r="G3986" s="648" t="s">
        <v>8331</v>
      </c>
      <c r="H3986" s="640" t="s">
        <v>2660</v>
      </c>
      <c r="I3986" s="642" t="s">
        <v>2660</v>
      </c>
      <c r="J3986" s="626" t="s">
        <v>7713</v>
      </c>
      <c r="K3986" s="639"/>
      <c r="L3986" s="640"/>
      <c r="M3986" s="638"/>
      <c r="N3986" s="641" t="s">
        <v>3928</v>
      </c>
      <c r="O3986" s="642">
        <v>5</v>
      </c>
      <c r="P3986" s="719">
        <f t="shared" si="44"/>
        <v>5000</v>
      </c>
    </row>
    <row r="3987" spans="1:16" s="619" customFormat="1" ht="36" x14ac:dyDescent="0.2">
      <c r="A3987" s="625" t="s">
        <v>7690</v>
      </c>
      <c r="B3987" s="626" t="s">
        <v>1908</v>
      </c>
      <c r="C3987" s="638" t="s">
        <v>7691</v>
      </c>
      <c r="D3987" s="640" t="s">
        <v>6158</v>
      </c>
      <c r="E3987" s="717">
        <v>1100</v>
      </c>
      <c r="F3987" s="640" t="s">
        <v>8436</v>
      </c>
      <c r="G3987" s="648" t="s">
        <v>8437</v>
      </c>
      <c r="H3987" s="640" t="s">
        <v>6158</v>
      </c>
      <c r="I3987" s="648" t="s">
        <v>1919</v>
      </c>
      <c r="J3987" s="626" t="s">
        <v>7698</v>
      </c>
      <c r="K3987" s="639"/>
      <c r="L3987" s="640"/>
      <c r="M3987" s="638"/>
      <c r="N3987" s="641" t="s">
        <v>3928</v>
      </c>
      <c r="O3987" s="642">
        <v>6</v>
      </c>
      <c r="P3987" s="719">
        <f t="shared" si="44"/>
        <v>6600</v>
      </c>
    </row>
    <row r="3988" spans="1:16" s="619" customFormat="1" ht="24" x14ac:dyDescent="0.2">
      <c r="A3988" s="625" t="s">
        <v>7690</v>
      </c>
      <c r="B3988" s="626" t="s">
        <v>1908</v>
      </c>
      <c r="C3988" s="638" t="s">
        <v>7691</v>
      </c>
      <c r="D3988" s="640" t="s">
        <v>6876</v>
      </c>
      <c r="E3988" s="717">
        <v>1100</v>
      </c>
      <c r="F3988" s="640" t="s">
        <v>8338</v>
      </c>
      <c r="G3988" s="648" t="s">
        <v>8339</v>
      </c>
      <c r="H3988" s="640" t="s">
        <v>6876</v>
      </c>
      <c r="I3988" s="648" t="s">
        <v>1919</v>
      </c>
      <c r="J3988" s="626" t="s">
        <v>7698</v>
      </c>
      <c r="K3988" s="639"/>
      <c r="L3988" s="640"/>
      <c r="M3988" s="638"/>
      <c r="N3988" s="641" t="s">
        <v>3928</v>
      </c>
      <c r="O3988" s="642">
        <v>6</v>
      </c>
      <c r="P3988" s="719">
        <f t="shared" si="44"/>
        <v>6600</v>
      </c>
    </row>
    <row r="3989" spans="1:16" s="619" customFormat="1" ht="24" x14ac:dyDescent="0.2">
      <c r="A3989" s="625" t="s">
        <v>7690</v>
      </c>
      <c r="B3989" s="626" t="s">
        <v>1908</v>
      </c>
      <c r="C3989" s="638" t="s">
        <v>7691</v>
      </c>
      <c r="D3989" s="640" t="s">
        <v>3548</v>
      </c>
      <c r="E3989" s="717">
        <v>1000</v>
      </c>
      <c r="F3989" s="640" t="s">
        <v>8340</v>
      </c>
      <c r="G3989" s="648" t="s">
        <v>8341</v>
      </c>
      <c r="H3989" s="640" t="s">
        <v>3548</v>
      </c>
      <c r="I3989" s="648" t="s">
        <v>1919</v>
      </c>
      <c r="J3989" s="626" t="s">
        <v>7698</v>
      </c>
      <c r="K3989" s="639"/>
      <c r="L3989" s="640"/>
      <c r="M3989" s="638"/>
      <c r="N3989" s="641" t="s">
        <v>3928</v>
      </c>
      <c r="O3989" s="642">
        <v>6</v>
      </c>
      <c r="P3989" s="719">
        <f t="shared" si="44"/>
        <v>6000</v>
      </c>
    </row>
    <row r="3990" spans="1:16" s="619" customFormat="1" ht="24" x14ac:dyDescent="0.2">
      <c r="A3990" s="625" t="s">
        <v>7690</v>
      </c>
      <c r="B3990" s="626" t="s">
        <v>1908</v>
      </c>
      <c r="C3990" s="638" t="s">
        <v>7691</v>
      </c>
      <c r="D3990" s="640" t="s">
        <v>6876</v>
      </c>
      <c r="E3990" s="717">
        <v>1100</v>
      </c>
      <c r="F3990" s="640" t="s">
        <v>8342</v>
      </c>
      <c r="G3990" s="648" t="s">
        <v>3563</v>
      </c>
      <c r="H3990" s="640" t="s">
        <v>6876</v>
      </c>
      <c r="I3990" s="648" t="s">
        <v>1919</v>
      </c>
      <c r="J3990" s="626" t="s">
        <v>7698</v>
      </c>
      <c r="K3990" s="639"/>
      <c r="L3990" s="640"/>
      <c r="M3990" s="638"/>
      <c r="N3990" s="641" t="s">
        <v>3928</v>
      </c>
      <c r="O3990" s="642">
        <v>6</v>
      </c>
      <c r="P3990" s="719">
        <f t="shared" si="44"/>
        <v>6600</v>
      </c>
    </row>
    <row r="3991" spans="1:16" s="619" customFormat="1" ht="48" x14ac:dyDescent="0.2">
      <c r="A3991" s="625" t="s">
        <v>7690</v>
      </c>
      <c r="B3991" s="626" t="s">
        <v>1908</v>
      </c>
      <c r="C3991" s="638" t="s">
        <v>7691</v>
      </c>
      <c r="D3991" s="640" t="s">
        <v>6114</v>
      </c>
      <c r="E3991" s="717">
        <v>1500</v>
      </c>
      <c r="F3991" s="640" t="s">
        <v>8344</v>
      </c>
      <c r="G3991" s="648" t="s">
        <v>8345</v>
      </c>
      <c r="H3991" s="640" t="s">
        <v>6114</v>
      </c>
      <c r="I3991" s="642" t="s">
        <v>6114</v>
      </c>
      <c r="J3991" s="626" t="s">
        <v>7713</v>
      </c>
      <c r="K3991" s="639"/>
      <c r="L3991" s="640"/>
      <c r="M3991" s="638"/>
      <c r="N3991" s="641" t="s">
        <v>3928</v>
      </c>
      <c r="O3991" s="642">
        <v>6</v>
      </c>
      <c r="P3991" s="719">
        <f t="shared" si="44"/>
        <v>9000</v>
      </c>
    </row>
    <row r="3992" spans="1:16" s="619" customFormat="1" ht="48" x14ac:dyDescent="0.2">
      <c r="A3992" s="625" t="s">
        <v>7690</v>
      </c>
      <c r="B3992" s="626" t="s">
        <v>1908</v>
      </c>
      <c r="C3992" s="638" t="s">
        <v>7691</v>
      </c>
      <c r="D3992" s="640" t="s">
        <v>7626</v>
      </c>
      <c r="E3992" s="717">
        <v>1200</v>
      </c>
      <c r="F3992" s="640" t="s">
        <v>8346</v>
      </c>
      <c r="G3992" s="648" t="s">
        <v>8347</v>
      </c>
      <c r="H3992" s="640" t="s">
        <v>7626</v>
      </c>
      <c r="I3992" s="642" t="s">
        <v>7626</v>
      </c>
      <c r="J3992" s="626" t="s">
        <v>7713</v>
      </c>
      <c r="K3992" s="639"/>
      <c r="L3992" s="640"/>
      <c r="M3992" s="638"/>
      <c r="N3992" s="641" t="s">
        <v>3928</v>
      </c>
      <c r="O3992" s="642">
        <v>6</v>
      </c>
      <c r="P3992" s="719">
        <f t="shared" si="44"/>
        <v>7200</v>
      </c>
    </row>
    <row r="3993" spans="1:16" s="619" customFormat="1" ht="24" x14ac:dyDescent="0.2">
      <c r="A3993" s="625" t="s">
        <v>7690</v>
      </c>
      <c r="B3993" s="626" t="s">
        <v>1908</v>
      </c>
      <c r="C3993" s="638" t="s">
        <v>7691</v>
      </c>
      <c r="D3993" s="640" t="s">
        <v>6876</v>
      </c>
      <c r="E3993" s="717">
        <v>1500</v>
      </c>
      <c r="F3993" s="640" t="s">
        <v>8350</v>
      </c>
      <c r="G3993" s="648" t="s">
        <v>8351</v>
      </c>
      <c r="H3993" s="640" t="s">
        <v>6876</v>
      </c>
      <c r="I3993" s="648" t="s">
        <v>1919</v>
      </c>
      <c r="J3993" s="626" t="s">
        <v>7698</v>
      </c>
      <c r="K3993" s="639"/>
      <c r="L3993" s="640"/>
      <c r="M3993" s="638"/>
      <c r="N3993" s="641" t="s">
        <v>3928</v>
      </c>
      <c r="O3993" s="642">
        <v>6</v>
      </c>
      <c r="P3993" s="719">
        <f t="shared" si="44"/>
        <v>9000</v>
      </c>
    </row>
    <row r="3994" spans="1:16" s="619" customFormat="1" ht="24" x14ac:dyDescent="0.2">
      <c r="A3994" s="625" t="s">
        <v>7690</v>
      </c>
      <c r="B3994" s="626" t="s">
        <v>1908</v>
      </c>
      <c r="C3994" s="638" t="s">
        <v>7691</v>
      </c>
      <c r="D3994" s="640" t="s">
        <v>2660</v>
      </c>
      <c r="E3994" s="717">
        <v>1200</v>
      </c>
      <c r="F3994" s="640" t="s">
        <v>8352</v>
      </c>
      <c r="G3994" s="648" t="s">
        <v>8353</v>
      </c>
      <c r="H3994" s="640" t="s">
        <v>2660</v>
      </c>
      <c r="I3994" s="642" t="s">
        <v>2660</v>
      </c>
      <c r="J3994" s="626" t="s">
        <v>7713</v>
      </c>
      <c r="K3994" s="639"/>
      <c r="L3994" s="640"/>
      <c r="M3994" s="638"/>
      <c r="N3994" s="641" t="s">
        <v>3928</v>
      </c>
      <c r="O3994" s="642">
        <v>6</v>
      </c>
      <c r="P3994" s="719">
        <f t="shared" si="44"/>
        <v>7200</v>
      </c>
    </row>
    <row r="3995" spans="1:16" s="619" customFormat="1" ht="36" x14ac:dyDescent="0.2">
      <c r="A3995" s="625" t="s">
        <v>7690</v>
      </c>
      <c r="B3995" s="626" t="s">
        <v>1908</v>
      </c>
      <c r="C3995" s="638" t="s">
        <v>7691</v>
      </c>
      <c r="D3995" s="640" t="s">
        <v>6158</v>
      </c>
      <c r="E3995" s="717">
        <v>1000</v>
      </c>
      <c r="F3995" s="640" t="s">
        <v>8438</v>
      </c>
      <c r="G3995" s="648" t="s">
        <v>8439</v>
      </c>
      <c r="H3995" s="640" t="s">
        <v>6158</v>
      </c>
      <c r="I3995" s="648" t="s">
        <v>1919</v>
      </c>
      <c r="J3995" s="626" t="s">
        <v>7698</v>
      </c>
      <c r="K3995" s="639"/>
      <c r="L3995" s="640"/>
      <c r="M3995" s="638"/>
      <c r="N3995" s="641" t="s">
        <v>3928</v>
      </c>
      <c r="O3995" s="642">
        <v>6</v>
      </c>
      <c r="P3995" s="719">
        <f t="shared" si="44"/>
        <v>6000</v>
      </c>
    </row>
    <row r="3996" spans="1:16" s="619" customFormat="1" ht="24" x14ac:dyDescent="0.2">
      <c r="A3996" s="625" t="s">
        <v>7690</v>
      </c>
      <c r="B3996" s="626" t="s">
        <v>1908</v>
      </c>
      <c r="C3996" s="638" t="s">
        <v>7691</v>
      </c>
      <c r="D3996" s="640" t="s">
        <v>2660</v>
      </c>
      <c r="E3996" s="717">
        <v>1000</v>
      </c>
      <c r="F3996" s="640" t="s">
        <v>8440</v>
      </c>
      <c r="G3996" s="648" t="s">
        <v>8441</v>
      </c>
      <c r="H3996" s="640" t="s">
        <v>2660</v>
      </c>
      <c r="I3996" s="642" t="s">
        <v>2660</v>
      </c>
      <c r="J3996" s="626" t="s">
        <v>7713</v>
      </c>
      <c r="K3996" s="639"/>
      <c r="L3996" s="640"/>
      <c r="M3996" s="638"/>
      <c r="N3996" s="641" t="s">
        <v>3928</v>
      </c>
      <c r="O3996" s="642">
        <v>5</v>
      </c>
      <c r="P3996" s="719">
        <f t="shared" si="44"/>
        <v>5000</v>
      </c>
    </row>
    <row r="3997" spans="1:16" s="619" customFormat="1" ht="24" x14ac:dyDescent="0.2">
      <c r="A3997" s="625" t="s">
        <v>7690</v>
      </c>
      <c r="B3997" s="626" t="s">
        <v>1908</v>
      </c>
      <c r="C3997" s="638" t="s">
        <v>7691</v>
      </c>
      <c r="D3997" s="640" t="s">
        <v>2660</v>
      </c>
      <c r="E3997" s="717">
        <v>1600</v>
      </c>
      <c r="F3997" s="640" t="s">
        <v>8360</v>
      </c>
      <c r="G3997" s="648" t="s">
        <v>8361</v>
      </c>
      <c r="H3997" s="640" t="s">
        <v>2660</v>
      </c>
      <c r="I3997" s="642" t="s">
        <v>2660</v>
      </c>
      <c r="J3997" s="626" t="s">
        <v>7713</v>
      </c>
      <c r="K3997" s="639"/>
      <c r="L3997" s="640"/>
      <c r="M3997" s="638"/>
      <c r="N3997" s="641" t="s">
        <v>3928</v>
      </c>
      <c r="O3997" s="642">
        <v>6</v>
      </c>
      <c r="P3997" s="719">
        <f t="shared" si="44"/>
        <v>9600</v>
      </c>
    </row>
    <row r="3998" spans="1:16" s="619" customFormat="1" ht="24" x14ac:dyDescent="0.2">
      <c r="A3998" s="625" t="s">
        <v>7690</v>
      </c>
      <c r="B3998" s="626" t="s">
        <v>1908</v>
      </c>
      <c r="C3998" s="638" t="s">
        <v>7691</v>
      </c>
      <c r="D3998" s="640" t="s">
        <v>6026</v>
      </c>
      <c r="E3998" s="717">
        <v>1500</v>
      </c>
      <c r="F3998" s="640" t="s">
        <v>8364</v>
      </c>
      <c r="G3998" s="648" t="s">
        <v>8365</v>
      </c>
      <c r="H3998" s="640" t="s">
        <v>6026</v>
      </c>
      <c r="I3998" s="648" t="s">
        <v>1919</v>
      </c>
      <c r="J3998" s="626" t="s">
        <v>7698</v>
      </c>
      <c r="K3998" s="639"/>
      <c r="L3998" s="640"/>
      <c r="M3998" s="638"/>
      <c r="N3998" s="641" t="s">
        <v>3928</v>
      </c>
      <c r="O3998" s="642">
        <v>6</v>
      </c>
      <c r="P3998" s="719">
        <f t="shared" si="44"/>
        <v>9000</v>
      </c>
    </row>
    <row r="3999" spans="1:16" s="619" customFormat="1" ht="36" x14ac:dyDescent="0.2">
      <c r="A3999" s="625" t="s">
        <v>7690</v>
      </c>
      <c r="B3999" s="626" t="s">
        <v>1908</v>
      </c>
      <c r="C3999" s="638" t="s">
        <v>7691</v>
      </c>
      <c r="D3999" s="640" t="s">
        <v>2660</v>
      </c>
      <c r="E3999" s="717">
        <v>1100</v>
      </c>
      <c r="F3999" s="640" t="s">
        <v>8442</v>
      </c>
      <c r="G3999" s="648" t="s">
        <v>8443</v>
      </c>
      <c r="H3999" s="640" t="s">
        <v>2660</v>
      </c>
      <c r="I3999" s="642" t="s">
        <v>2660</v>
      </c>
      <c r="J3999" s="626" t="s">
        <v>7713</v>
      </c>
      <c r="K3999" s="639"/>
      <c r="L3999" s="640"/>
      <c r="M3999" s="638"/>
      <c r="N3999" s="641" t="s">
        <v>3928</v>
      </c>
      <c r="O3999" s="642">
        <v>5</v>
      </c>
      <c r="P3999" s="719">
        <f t="shared" si="44"/>
        <v>5500</v>
      </c>
    </row>
    <row r="4000" spans="1:16" s="619" customFormat="1" ht="36" x14ac:dyDescent="0.2">
      <c r="A4000" s="625" t="s">
        <v>7690</v>
      </c>
      <c r="B4000" s="626" t="s">
        <v>1908</v>
      </c>
      <c r="C4000" s="638" t="s">
        <v>7695</v>
      </c>
      <c r="D4000" s="649" t="s">
        <v>2660</v>
      </c>
      <c r="E4000" s="717">
        <v>1500</v>
      </c>
      <c r="F4000" s="626" t="s">
        <v>7700</v>
      </c>
      <c r="G4000" s="648" t="s">
        <v>7701</v>
      </c>
      <c r="H4000" s="649" t="s">
        <v>2660</v>
      </c>
      <c r="I4000" s="648" t="s">
        <v>2660</v>
      </c>
      <c r="J4000" s="626" t="s">
        <v>7713</v>
      </c>
      <c r="K4000" s="639"/>
      <c r="L4000" s="640"/>
      <c r="M4000" s="638"/>
      <c r="N4000" s="641" t="s">
        <v>3928</v>
      </c>
      <c r="O4000" s="642">
        <v>6</v>
      </c>
      <c r="P4000" s="719">
        <f t="shared" si="44"/>
        <v>9000</v>
      </c>
    </row>
    <row r="4001" spans="1:16" s="619" customFormat="1" ht="24" x14ac:dyDescent="0.2">
      <c r="A4001" s="625" t="s">
        <v>7690</v>
      </c>
      <c r="B4001" s="626" t="s">
        <v>1908</v>
      </c>
      <c r="C4001" s="638" t="s">
        <v>7695</v>
      </c>
      <c r="D4001" s="649" t="s">
        <v>6182</v>
      </c>
      <c r="E4001" s="717">
        <v>8000</v>
      </c>
      <c r="F4001" s="626" t="s">
        <v>8444</v>
      </c>
      <c r="G4001" s="648" t="s">
        <v>8445</v>
      </c>
      <c r="H4001" s="649" t="s">
        <v>6182</v>
      </c>
      <c r="I4001" s="648" t="s">
        <v>6182</v>
      </c>
      <c r="J4001" s="626" t="s">
        <v>7713</v>
      </c>
      <c r="K4001" s="639"/>
      <c r="L4001" s="640"/>
      <c r="M4001" s="638"/>
      <c r="N4001" s="641" t="s">
        <v>3928</v>
      </c>
      <c r="O4001" s="642">
        <v>2</v>
      </c>
      <c r="P4001" s="719">
        <f t="shared" si="44"/>
        <v>16000</v>
      </c>
    </row>
    <row r="4002" spans="1:16" s="619" customFormat="1" ht="36" x14ac:dyDescent="0.2">
      <c r="A4002" s="625" t="s">
        <v>7690</v>
      </c>
      <c r="B4002" s="626" t="s">
        <v>1908</v>
      </c>
      <c r="C4002" s="638" t="s">
        <v>7695</v>
      </c>
      <c r="D4002" s="649" t="s">
        <v>6182</v>
      </c>
      <c r="E4002" s="717">
        <v>6400</v>
      </c>
      <c r="F4002" s="626">
        <v>46453431</v>
      </c>
      <c r="G4002" s="648" t="s">
        <v>8446</v>
      </c>
      <c r="H4002" s="649" t="s">
        <v>6182</v>
      </c>
      <c r="I4002" s="648" t="s">
        <v>6182</v>
      </c>
      <c r="J4002" s="626" t="s">
        <v>7713</v>
      </c>
      <c r="K4002" s="639"/>
      <c r="L4002" s="640"/>
      <c r="M4002" s="638"/>
      <c r="N4002" s="641" t="s">
        <v>3928</v>
      </c>
      <c r="O4002" s="642">
        <v>1</v>
      </c>
      <c r="P4002" s="719">
        <f t="shared" si="44"/>
        <v>6400</v>
      </c>
    </row>
    <row r="4003" spans="1:16" s="619" customFormat="1" ht="24" x14ac:dyDescent="0.2">
      <c r="A4003" s="625" t="s">
        <v>7690</v>
      </c>
      <c r="B4003" s="626" t="s">
        <v>1908</v>
      </c>
      <c r="C4003" s="638" t="s">
        <v>7695</v>
      </c>
      <c r="D4003" s="649" t="s">
        <v>2660</v>
      </c>
      <c r="E4003" s="717">
        <v>1600</v>
      </c>
      <c r="F4003" s="626" t="s">
        <v>7709</v>
      </c>
      <c r="G4003" s="648" t="s">
        <v>7710</v>
      </c>
      <c r="H4003" s="649" t="s">
        <v>2660</v>
      </c>
      <c r="I4003" s="648" t="s">
        <v>2660</v>
      </c>
      <c r="J4003" s="626" t="s">
        <v>7713</v>
      </c>
      <c r="K4003" s="639"/>
      <c r="L4003" s="640"/>
      <c r="M4003" s="638"/>
      <c r="N4003" s="641" t="s">
        <v>3928</v>
      </c>
      <c r="O4003" s="642">
        <v>6</v>
      </c>
      <c r="P4003" s="719">
        <f t="shared" si="44"/>
        <v>9600</v>
      </c>
    </row>
    <row r="4004" spans="1:16" s="619" customFormat="1" ht="24" x14ac:dyDescent="0.2">
      <c r="A4004" s="625" t="s">
        <v>7690</v>
      </c>
      <c r="B4004" s="626" t="s">
        <v>1908</v>
      </c>
      <c r="C4004" s="638" t="s">
        <v>7695</v>
      </c>
      <c r="D4004" s="649" t="s">
        <v>7740</v>
      </c>
      <c r="E4004" s="717">
        <v>4000</v>
      </c>
      <c r="F4004" s="626" t="s">
        <v>8447</v>
      </c>
      <c r="G4004" s="648" t="s">
        <v>8448</v>
      </c>
      <c r="H4004" s="649" t="s">
        <v>7740</v>
      </c>
      <c r="I4004" s="648" t="s">
        <v>8398</v>
      </c>
      <c r="J4004" s="626" t="s">
        <v>7713</v>
      </c>
      <c r="K4004" s="639"/>
      <c r="L4004" s="640"/>
      <c r="M4004" s="638"/>
      <c r="N4004" s="641" t="s">
        <v>3928</v>
      </c>
      <c r="O4004" s="642">
        <v>3</v>
      </c>
      <c r="P4004" s="719">
        <f t="shared" si="44"/>
        <v>12000</v>
      </c>
    </row>
    <row r="4005" spans="1:16" s="619" customFormat="1" ht="36" x14ac:dyDescent="0.2">
      <c r="A4005" s="625" t="s">
        <v>7690</v>
      </c>
      <c r="B4005" s="626" t="s">
        <v>1908</v>
      </c>
      <c r="C4005" s="638" t="s">
        <v>7695</v>
      </c>
      <c r="D4005" s="649" t="s">
        <v>2660</v>
      </c>
      <c r="E4005" s="717">
        <v>1600</v>
      </c>
      <c r="F4005" s="626" t="s">
        <v>7736</v>
      </c>
      <c r="G4005" s="648" t="s">
        <v>7737</v>
      </c>
      <c r="H4005" s="649" t="s">
        <v>2660</v>
      </c>
      <c r="I4005" s="648" t="s">
        <v>2660</v>
      </c>
      <c r="J4005" s="626" t="s">
        <v>7713</v>
      </c>
      <c r="K4005" s="639"/>
      <c r="L4005" s="640"/>
      <c r="M4005" s="638"/>
      <c r="N4005" s="641" t="s">
        <v>3928</v>
      </c>
      <c r="O4005" s="642">
        <v>6</v>
      </c>
      <c r="P4005" s="719">
        <f t="shared" si="44"/>
        <v>9600</v>
      </c>
    </row>
    <row r="4006" spans="1:16" s="619" customFormat="1" ht="48" x14ac:dyDescent="0.2">
      <c r="A4006" s="625" t="s">
        <v>7690</v>
      </c>
      <c r="B4006" s="626" t="s">
        <v>1908</v>
      </c>
      <c r="C4006" s="638" t="s">
        <v>7695</v>
      </c>
      <c r="D4006" s="649" t="s">
        <v>7740</v>
      </c>
      <c r="E4006" s="717">
        <v>4000</v>
      </c>
      <c r="F4006" s="626" t="s">
        <v>7738</v>
      </c>
      <c r="G4006" s="648" t="s">
        <v>7739</v>
      </c>
      <c r="H4006" s="649" t="s">
        <v>7740</v>
      </c>
      <c r="I4006" s="648" t="s">
        <v>8398</v>
      </c>
      <c r="J4006" s="626" t="s">
        <v>7713</v>
      </c>
      <c r="K4006" s="639"/>
      <c r="L4006" s="640"/>
      <c r="M4006" s="638"/>
      <c r="N4006" s="641" t="s">
        <v>3928</v>
      </c>
      <c r="O4006" s="642">
        <v>6</v>
      </c>
      <c r="P4006" s="719">
        <f t="shared" si="44"/>
        <v>24000</v>
      </c>
    </row>
    <row r="4007" spans="1:16" s="619" customFormat="1" ht="36" x14ac:dyDescent="0.2">
      <c r="A4007" s="625" t="s">
        <v>7690</v>
      </c>
      <c r="B4007" s="626" t="s">
        <v>1908</v>
      </c>
      <c r="C4007" s="638" t="s">
        <v>7695</v>
      </c>
      <c r="D4007" s="649" t="s">
        <v>6101</v>
      </c>
      <c r="E4007" s="717">
        <v>4000</v>
      </c>
      <c r="F4007" s="626" t="s">
        <v>7746</v>
      </c>
      <c r="G4007" s="648" t="s">
        <v>7747</v>
      </c>
      <c r="H4007" s="649" t="s">
        <v>6101</v>
      </c>
      <c r="I4007" s="648" t="s">
        <v>6101</v>
      </c>
      <c r="J4007" s="626" t="s">
        <v>7713</v>
      </c>
      <c r="K4007" s="639"/>
      <c r="L4007" s="640"/>
      <c r="M4007" s="638"/>
      <c r="N4007" s="641" t="s">
        <v>3928</v>
      </c>
      <c r="O4007" s="642">
        <v>6</v>
      </c>
      <c r="P4007" s="719">
        <f t="shared" si="44"/>
        <v>24000</v>
      </c>
    </row>
    <row r="4008" spans="1:16" s="619" customFormat="1" ht="24" x14ac:dyDescent="0.2">
      <c r="A4008" s="625" t="s">
        <v>7690</v>
      </c>
      <c r="B4008" s="626" t="s">
        <v>1908</v>
      </c>
      <c r="C4008" s="638" t="s">
        <v>7695</v>
      </c>
      <c r="D4008" s="649" t="s">
        <v>6092</v>
      </c>
      <c r="E4008" s="717">
        <v>5000</v>
      </c>
      <c r="F4008" s="626" t="s">
        <v>7748</v>
      </c>
      <c r="G4008" s="648" t="s">
        <v>7749</v>
      </c>
      <c r="H4008" s="649" t="s">
        <v>6092</v>
      </c>
      <c r="I4008" s="648" t="s">
        <v>1993</v>
      </c>
      <c r="J4008" s="626" t="s">
        <v>7713</v>
      </c>
      <c r="K4008" s="639"/>
      <c r="L4008" s="640"/>
      <c r="M4008" s="638"/>
      <c r="N4008" s="641" t="s">
        <v>3928</v>
      </c>
      <c r="O4008" s="642">
        <v>6</v>
      </c>
      <c r="P4008" s="719">
        <f t="shared" si="44"/>
        <v>30000</v>
      </c>
    </row>
    <row r="4009" spans="1:16" s="619" customFormat="1" ht="48" x14ac:dyDescent="0.2">
      <c r="A4009" s="625" t="s">
        <v>7690</v>
      </c>
      <c r="B4009" s="626" t="s">
        <v>1908</v>
      </c>
      <c r="C4009" s="638" t="s">
        <v>7695</v>
      </c>
      <c r="D4009" s="649" t="s">
        <v>6227</v>
      </c>
      <c r="E4009" s="717">
        <v>4000</v>
      </c>
      <c r="F4009" s="626" t="s">
        <v>7750</v>
      </c>
      <c r="G4009" s="648" t="s">
        <v>7751</v>
      </c>
      <c r="H4009" s="649" t="s">
        <v>6227</v>
      </c>
      <c r="I4009" s="648" t="s">
        <v>1988</v>
      </c>
      <c r="J4009" s="626" t="s">
        <v>7713</v>
      </c>
      <c r="K4009" s="639"/>
      <c r="L4009" s="640"/>
      <c r="M4009" s="638"/>
      <c r="N4009" s="641" t="s">
        <v>3928</v>
      </c>
      <c r="O4009" s="642">
        <v>3</v>
      </c>
      <c r="P4009" s="719">
        <f t="shared" si="44"/>
        <v>12000</v>
      </c>
    </row>
    <row r="4010" spans="1:16" s="619" customFormat="1" ht="72" x14ac:dyDescent="0.2">
      <c r="A4010" s="625" t="s">
        <v>7690</v>
      </c>
      <c r="B4010" s="626" t="s">
        <v>1908</v>
      </c>
      <c r="C4010" s="638" t="s">
        <v>7695</v>
      </c>
      <c r="D4010" s="649" t="s">
        <v>6299</v>
      </c>
      <c r="E4010" s="717">
        <v>1200</v>
      </c>
      <c r="F4010" s="626" t="s">
        <v>8449</v>
      </c>
      <c r="G4010" s="648" t="s">
        <v>8450</v>
      </c>
      <c r="H4010" s="649" t="s">
        <v>6299</v>
      </c>
      <c r="I4010" s="648" t="s">
        <v>8402</v>
      </c>
      <c r="J4010" s="626" t="s">
        <v>7713</v>
      </c>
      <c r="K4010" s="639"/>
      <c r="L4010" s="640"/>
      <c r="M4010" s="638"/>
      <c r="N4010" s="641" t="s">
        <v>3928</v>
      </c>
      <c r="O4010" s="642">
        <v>2</v>
      </c>
      <c r="P4010" s="719">
        <f t="shared" si="44"/>
        <v>2400</v>
      </c>
    </row>
    <row r="4011" spans="1:16" s="619" customFormat="1" ht="36" x14ac:dyDescent="0.2">
      <c r="A4011" s="625" t="s">
        <v>7690</v>
      </c>
      <c r="B4011" s="626" t="s">
        <v>1908</v>
      </c>
      <c r="C4011" s="638" t="s">
        <v>7695</v>
      </c>
      <c r="D4011" s="649" t="s">
        <v>7740</v>
      </c>
      <c r="E4011" s="717">
        <v>4500</v>
      </c>
      <c r="F4011" s="626" t="s">
        <v>8451</v>
      </c>
      <c r="G4011" s="648" t="s">
        <v>8452</v>
      </c>
      <c r="H4011" s="649" t="s">
        <v>7740</v>
      </c>
      <c r="I4011" s="648" t="s">
        <v>8398</v>
      </c>
      <c r="J4011" s="626" t="s">
        <v>7713</v>
      </c>
      <c r="K4011" s="639"/>
      <c r="L4011" s="640"/>
      <c r="M4011" s="638"/>
      <c r="N4011" s="641" t="s">
        <v>3928</v>
      </c>
      <c r="O4011" s="642">
        <v>6</v>
      </c>
      <c r="P4011" s="719">
        <f t="shared" si="44"/>
        <v>27000</v>
      </c>
    </row>
    <row r="4012" spans="1:16" s="619" customFormat="1" ht="36" x14ac:dyDescent="0.2">
      <c r="A4012" s="625" t="s">
        <v>7690</v>
      </c>
      <c r="B4012" s="626" t="s">
        <v>1908</v>
      </c>
      <c r="C4012" s="638" t="s">
        <v>7695</v>
      </c>
      <c r="D4012" s="649" t="s">
        <v>6101</v>
      </c>
      <c r="E4012" s="717">
        <v>4000</v>
      </c>
      <c r="F4012" s="626" t="s">
        <v>7762</v>
      </c>
      <c r="G4012" s="648" t="s">
        <v>7763</v>
      </c>
      <c r="H4012" s="649" t="s">
        <v>6101</v>
      </c>
      <c r="I4012" s="648" t="s">
        <v>6101</v>
      </c>
      <c r="J4012" s="626" t="s">
        <v>7713</v>
      </c>
      <c r="K4012" s="639"/>
      <c r="L4012" s="640"/>
      <c r="M4012" s="638"/>
      <c r="N4012" s="641" t="s">
        <v>3928</v>
      </c>
      <c r="O4012" s="642">
        <v>6</v>
      </c>
      <c r="P4012" s="719">
        <f t="shared" si="44"/>
        <v>24000</v>
      </c>
    </row>
    <row r="4013" spans="1:16" s="619" customFormat="1" ht="24" x14ac:dyDescent="0.2">
      <c r="A4013" s="625" t="s">
        <v>7690</v>
      </c>
      <c r="B4013" s="626" t="s">
        <v>1908</v>
      </c>
      <c r="C4013" s="638" t="s">
        <v>7695</v>
      </c>
      <c r="D4013" s="649" t="s">
        <v>7740</v>
      </c>
      <c r="E4013" s="717">
        <v>4000</v>
      </c>
      <c r="F4013" s="626" t="s">
        <v>7779</v>
      </c>
      <c r="G4013" s="648" t="s">
        <v>7780</v>
      </c>
      <c r="H4013" s="649" t="s">
        <v>7740</v>
      </c>
      <c r="I4013" s="648" t="s">
        <v>8398</v>
      </c>
      <c r="J4013" s="626" t="s">
        <v>7713</v>
      </c>
      <c r="K4013" s="639"/>
      <c r="L4013" s="640"/>
      <c r="M4013" s="638"/>
      <c r="N4013" s="641" t="s">
        <v>3928</v>
      </c>
      <c r="O4013" s="642">
        <v>6</v>
      </c>
      <c r="P4013" s="719">
        <f t="shared" si="44"/>
        <v>24000</v>
      </c>
    </row>
    <row r="4014" spans="1:16" s="619" customFormat="1" ht="36" x14ac:dyDescent="0.2">
      <c r="A4014" s="625" t="s">
        <v>7690</v>
      </c>
      <c r="B4014" s="626" t="s">
        <v>1908</v>
      </c>
      <c r="C4014" s="638" t="s">
        <v>7695</v>
      </c>
      <c r="D4014" s="649" t="s">
        <v>2660</v>
      </c>
      <c r="E4014" s="717">
        <v>1200</v>
      </c>
      <c r="F4014" s="626" t="s">
        <v>8453</v>
      </c>
      <c r="G4014" s="648" t="s">
        <v>8454</v>
      </c>
      <c r="H4014" s="649" t="s">
        <v>2660</v>
      </c>
      <c r="I4014" s="648" t="s">
        <v>2660</v>
      </c>
      <c r="J4014" s="626" t="s">
        <v>7713</v>
      </c>
      <c r="K4014" s="639"/>
      <c r="L4014" s="640"/>
      <c r="M4014" s="638"/>
      <c r="N4014" s="641" t="s">
        <v>3928</v>
      </c>
      <c r="O4014" s="642">
        <v>4</v>
      </c>
      <c r="P4014" s="719">
        <f t="shared" si="44"/>
        <v>4800</v>
      </c>
    </row>
    <row r="4015" spans="1:16" s="619" customFormat="1" ht="48" x14ac:dyDescent="0.2">
      <c r="A4015" s="625" t="s">
        <v>7690</v>
      </c>
      <c r="B4015" s="626" t="s">
        <v>1908</v>
      </c>
      <c r="C4015" s="638" t="s">
        <v>7695</v>
      </c>
      <c r="D4015" s="649" t="s">
        <v>6092</v>
      </c>
      <c r="E4015" s="717">
        <v>3866.67</v>
      </c>
      <c r="F4015" s="626" t="s">
        <v>8455</v>
      </c>
      <c r="G4015" s="648" t="s">
        <v>8456</v>
      </c>
      <c r="H4015" s="649" t="s">
        <v>6092</v>
      </c>
      <c r="I4015" s="648" t="s">
        <v>1993</v>
      </c>
      <c r="J4015" s="626" t="s">
        <v>7713</v>
      </c>
      <c r="K4015" s="639"/>
      <c r="L4015" s="640"/>
      <c r="M4015" s="638"/>
      <c r="N4015" s="641" t="s">
        <v>3928</v>
      </c>
      <c r="O4015" s="642">
        <v>1</v>
      </c>
      <c r="P4015" s="719">
        <f t="shared" si="44"/>
        <v>3866.67</v>
      </c>
    </row>
    <row r="4016" spans="1:16" s="619" customFormat="1" ht="24" x14ac:dyDescent="0.2">
      <c r="A4016" s="625" t="s">
        <v>7690</v>
      </c>
      <c r="B4016" s="626" t="s">
        <v>1908</v>
      </c>
      <c r="C4016" s="638" t="s">
        <v>7695</v>
      </c>
      <c r="D4016" s="649" t="s">
        <v>6092</v>
      </c>
      <c r="E4016" s="717">
        <v>4500</v>
      </c>
      <c r="F4016" s="626" t="s">
        <v>8457</v>
      </c>
      <c r="G4016" s="648" t="s">
        <v>8458</v>
      </c>
      <c r="H4016" s="649" t="s">
        <v>6092</v>
      </c>
      <c r="I4016" s="648" t="s">
        <v>1993</v>
      </c>
      <c r="J4016" s="626" t="s">
        <v>7713</v>
      </c>
      <c r="K4016" s="639"/>
      <c r="L4016" s="640"/>
      <c r="M4016" s="638"/>
      <c r="N4016" s="641" t="s">
        <v>3928</v>
      </c>
      <c r="O4016" s="642">
        <v>3</v>
      </c>
      <c r="P4016" s="719">
        <f t="shared" ref="P4016:P4079" si="45">+E4016*O4016</f>
        <v>13500</v>
      </c>
    </row>
    <row r="4017" spans="1:16" s="619" customFormat="1" ht="36" x14ac:dyDescent="0.2">
      <c r="A4017" s="625" t="s">
        <v>7690</v>
      </c>
      <c r="B4017" s="626" t="s">
        <v>1908</v>
      </c>
      <c r="C4017" s="638" t="s">
        <v>7695</v>
      </c>
      <c r="D4017" s="649" t="s">
        <v>7740</v>
      </c>
      <c r="E4017" s="717">
        <v>4000</v>
      </c>
      <c r="F4017" s="626" t="s">
        <v>7797</v>
      </c>
      <c r="G4017" s="648" t="s">
        <v>8459</v>
      </c>
      <c r="H4017" s="649" t="s">
        <v>7740</v>
      </c>
      <c r="I4017" s="648" t="s">
        <v>8398</v>
      </c>
      <c r="J4017" s="626" t="s">
        <v>7713</v>
      </c>
      <c r="K4017" s="639"/>
      <c r="L4017" s="640"/>
      <c r="M4017" s="638"/>
      <c r="N4017" s="641" t="s">
        <v>3928</v>
      </c>
      <c r="O4017" s="642">
        <v>3</v>
      </c>
      <c r="P4017" s="719">
        <f t="shared" si="45"/>
        <v>12000</v>
      </c>
    </row>
    <row r="4018" spans="1:16" s="619" customFormat="1" ht="24" x14ac:dyDescent="0.2">
      <c r="A4018" s="625" t="s">
        <v>7690</v>
      </c>
      <c r="B4018" s="626" t="s">
        <v>1908</v>
      </c>
      <c r="C4018" s="638" t="s">
        <v>7695</v>
      </c>
      <c r="D4018" s="649" t="s">
        <v>2660</v>
      </c>
      <c r="E4018" s="717">
        <v>1500</v>
      </c>
      <c r="F4018" s="626" t="s">
        <v>8460</v>
      </c>
      <c r="G4018" s="648" t="s">
        <v>8461</v>
      </c>
      <c r="H4018" s="649" t="s">
        <v>2660</v>
      </c>
      <c r="I4018" s="648" t="s">
        <v>2660</v>
      </c>
      <c r="J4018" s="626" t="s">
        <v>7713</v>
      </c>
      <c r="K4018" s="639"/>
      <c r="L4018" s="640"/>
      <c r="M4018" s="638"/>
      <c r="N4018" s="641" t="s">
        <v>3928</v>
      </c>
      <c r="O4018" s="642">
        <v>5</v>
      </c>
      <c r="P4018" s="719">
        <f t="shared" si="45"/>
        <v>7500</v>
      </c>
    </row>
    <row r="4019" spans="1:16" s="619" customFormat="1" ht="36" x14ac:dyDescent="0.2">
      <c r="A4019" s="625" t="s">
        <v>7690</v>
      </c>
      <c r="B4019" s="626" t="s">
        <v>1908</v>
      </c>
      <c r="C4019" s="638" t="s">
        <v>7695</v>
      </c>
      <c r="D4019" s="649" t="s">
        <v>6092</v>
      </c>
      <c r="E4019" s="717">
        <v>4000</v>
      </c>
      <c r="F4019" s="626" t="s">
        <v>7809</v>
      </c>
      <c r="G4019" s="648" t="s">
        <v>7810</v>
      </c>
      <c r="H4019" s="649" t="s">
        <v>6092</v>
      </c>
      <c r="I4019" s="648" t="s">
        <v>1993</v>
      </c>
      <c r="J4019" s="626" t="s">
        <v>7713</v>
      </c>
      <c r="K4019" s="639"/>
      <c r="L4019" s="640"/>
      <c r="M4019" s="638"/>
      <c r="N4019" s="641" t="s">
        <v>3928</v>
      </c>
      <c r="O4019" s="642">
        <v>6</v>
      </c>
      <c r="P4019" s="719">
        <f t="shared" si="45"/>
        <v>24000</v>
      </c>
    </row>
    <row r="4020" spans="1:16" s="619" customFormat="1" ht="36" x14ac:dyDescent="0.2">
      <c r="A4020" s="625" t="s">
        <v>7690</v>
      </c>
      <c r="B4020" s="626" t="s">
        <v>1908</v>
      </c>
      <c r="C4020" s="638" t="s">
        <v>7695</v>
      </c>
      <c r="D4020" s="649" t="s">
        <v>6092</v>
      </c>
      <c r="E4020" s="717">
        <v>4000</v>
      </c>
      <c r="F4020" s="626" t="s">
        <v>7827</v>
      </c>
      <c r="G4020" s="648" t="s">
        <v>7828</v>
      </c>
      <c r="H4020" s="649" t="s">
        <v>6092</v>
      </c>
      <c r="I4020" s="648" t="s">
        <v>1993</v>
      </c>
      <c r="J4020" s="626" t="s">
        <v>7713</v>
      </c>
      <c r="K4020" s="639"/>
      <c r="L4020" s="640"/>
      <c r="M4020" s="638"/>
      <c r="N4020" s="641" t="s">
        <v>3928</v>
      </c>
      <c r="O4020" s="642">
        <v>6</v>
      </c>
      <c r="P4020" s="719">
        <f t="shared" si="45"/>
        <v>24000</v>
      </c>
    </row>
    <row r="4021" spans="1:16" s="619" customFormat="1" ht="36" x14ac:dyDescent="0.2">
      <c r="A4021" s="625" t="s">
        <v>7690</v>
      </c>
      <c r="B4021" s="626" t="s">
        <v>1908</v>
      </c>
      <c r="C4021" s="638" t="s">
        <v>7695</v>
      </c>
      <c r="D4021" s="649" t="s">
        <v>6092</v>
      </c>
      <c r="E4021" s="717">
        <v>7000</v>
      </c>
      <c r="F4021" s="626" t="s">
        <v>7829</v>
      </c>
      <c r="G4021" s="648" t="s">
        <v>7830</v>
      </c>
      <c r="H4021" s="649" t="s">
        <v>6092</v>
      </c>
      <c r="I4021" s="648" t="s">
        <v>1993</v>
      </c>
      <c r="J4021" s="626" t="s">
        <v>7713</v>
      </c>
      <c r="K4021" s="639"/>
      <c r="L4021" s="640"/>
      <c r="M4021" s="638"/>
      <c r="N4021" s="641" t="s">
        <v>3928</v>
      </c>
      <c r="O4021" s="642">
        <v>6</v>
      </c>
      <c r="P4021" s="719">
        <f t="shared" si="45"/>
        <v>42000</v>
      </c>
    </row>
    <row r="4022" spans="1:16" s="619" customFormat="1" ht="60" x14ac:dyDescent="0.2">
      <c r="A4022" s="625" t="s">
        <v>7690</v>
      </c>
      <c r="B4022" s="626" t="s">
        <v>1908</v>
      </c>
      <c r="C4022" s="638" t="s">
        <v>7695</v>
      </c>
      <c r="D4022" s="649" t="s">
        <v>6092</v>
      </c>
      <c r="E4022" s="717">
        <v>5000</v>
      </c>
      <c r="F4022" s="626" t="s">
        <v>6933</v>
      </c>
      <c r="G4022" s="648" t="s">
        <v>6934</v>
      </c>
      <c r="H4022" s="649" t="s">
        <v>6092</v>
      </c>
      <c r="I4022" s="648" t="s">
        <v>1993</v>
      </c>
      <c r="J4022" s="626" t="s">
        <v>7713</v>
      </c>
      <c r="K4022" s="639"/>
      <c r="L4022" s="640"/>
      <c r="M4022" s="638"/>
      <c r="N4022" s="641" t="s">
        <v>3928</v>
      </c>
      <c r="O4022" s="642">
        <v>6</v>
      </c>
      <c r="P4022" s="719">
        <f t="shared" si="45"/>
        <v>30000</v>
      </c>
    </row>
    <row r="4023" spans="1:16" s="619" customFormat="1" ht="36" x14ac:dyDescent="0.2">
      <c r="A4023" s="625" t="s">
        <v>7690</v>
      </c>
      <c r="B4023" s="626" t="s">
        <v>1908</v>
      </c>
      <c r="C4023" s="638" t="s">
        <v>7695</v>
      </c>
      <c r="D4023" s="649" t="s">
        <v>7740</v>
      </c>
      <c r="E4023" s="717">
        <v>1000</v>
      </c>
      <c r="F4023" s="626" t="s">
        <v>8462</v>
      </c>
      <c r="G4023" s="648" t="s">
        <v>8463</v>
      </c>
      <c r="H4023" s="649" t="s">
        <v>7740</v>
      </c>
      <c r="I4023" s="648" t="s">
        <v>8398</v>
      </c>
      <c r="J4023" s="626" t="s">
        <v>7713</v>
      </c>
      <c r="K4023" s="639"/>
      <c r="L4023" s="640"/>
      <c r="M4023" s="638"/>
      <c r="N4023" s="641" t="s">
        <v>3928</v>
      </c>
      <c r="O4023" s="642">
        <v>1</v>
      </c>
      <c r="P4023" s="719">
        <f t="shared" si="45"/>
        <v>1000</v>
      </c>
    </row>
    <row r="4024" spans="1:16" s="619" customFormat="1" ht="24" x14ac:dyDescent="0.2">
      <c r="A4024" s="625" t="s">
        <v>7690</v>
      </c>
      <c r="B4024" s="626" t="s">
        <v>1908</v>
      </c>
      <c r="C4024" s="638" t="s">
        <v>7695</v>
      </c>
      <c r="D4024" s="649" t="s">
        <v>2660</v>
      </c>
      <c r="E4024" s="717">
        <v>1600</v>
      </c>
      <c r="F4024" s="626" t="s">
        <v>7844</v>
      </c>
      <c r="G4024" s="648" t="s">
        <v>7845</v>
      </c>
      <c r="H4024" s="649" t="s">
        <v>2660</v>
      </c>
      <c r="I4024" s="648" t="s">
        <v>2660</v>
      </c>
      <c r="J4024" s="626" t="s">
        <v>7713</v>
      </c>
      <c r="K4024" s="639"/>
      <c r="L4024" s="640"/>
      <c r="M4024" s="638"/>
      <c r="N4024" s="641" t="s">
        <v>3928</v>
      </c>
      <c r="O4024" s="642">
        <v>6</v>
      </c>
      <c r="P4024" s="719">
        <f t="shared" si="45"/>
        <v>9600</v>
      </c>
    </row>
    <row r="4025" spans="1:16" s="619" customFormat="1" ht="36" x14ac:dyDescent="0.2">
      <c r="A4025" s="625" t="s">
        <v>7690</v>
      </c>
      <c r="B4025" s="626" t="s">
        <v>1908</v>
      </c>
      <c r="C4025" s="638" t="s">
        <v>7695</v>
      </c>
      <c r="D4025" s="649" t="s">
        <v>6092</v>
      </c>
      <c r="E4025" s="717">
        <v>4000</v>
      </c>
      <c r="F4025" s="626" t="s">
        <v>8464</v>
      </c>
      <c r="G4025" s="648" t="s">
        <v>8465</v>
      </c>
      <c r="H4025" s="649" t="s">
        <v>6092</v>
      </c>
      <c r="I4025" s="648" t="s">
        <v>1993</v>
      </c>
      <c r="J4025" s="626" t="s">
        <v>7713</v>
      </c>
      <c r="K4025" s="639"/>
      <c r="L4025" s="640"/>
      <c r="M4025" s="638"/>
      <c r="N4025" s="641" t="s">
        <v>3928</v>
      </c>
      <c r="O4025" s="642">
        <v>2</v>
      </c>
      <c r="P4025" s="719">
        <f t="shared" si="45"/>
        <v>8000</v>
      </c>
    </row>
    <row r="4026" spans="1:16" s="619" customFormat="1" ht="36" x14ac:dyDescent="0.2">
      <c r="A4026" s="625" t="s">
        <v>7690</v>
      </c>
      <c r="B4026" s="626" t="s">
        <v>1908</v>
      </c>
      <c r="C4026" s="638" t="s">
        <v>7695</v>
      </c>
      <c r="D4026" s="649" t="s">
        <v>7740</v>
      </c>
      <c r="E4026" s="717">
        <v>4500</v>
      </c>
      <c r="F4026" s="626" t="s">
        <v>7850</v>
      </c>
      <c r="G4026" s="648" t="s">
        <v>7851</v>
      </c>
      <c r="H4026" s="649" t="s">
        <v>7740</v>
      </c>
      <c r="I4026" s="648" t="s">
        <v>8398</v>
      </c>
      <c r="J4026" s="626" t="s">
        <v>7713</v>
      </c>
      <c r="K4026" s="639"/>
      <c r="L4026" s="640"/>
      <c r="M4026" s="638"/>
      <c r="N4026" s="641" t="s">
        <v>3928</v>
      </c>
      <c r="O4026" s="642">
        <v>6</v>
      </c>
      <c r="P4026" s="719">
        <f t="shared" si="45"/>
        <v>27000</v>
      </c>
    </row>
    <row r="4027" spans="1:16" s="619" customFormat="1" ht="24" x14ac:dyDescent="0.2">
      <c r="A4027" s="625" t="s">
        <v>7690</v>
      </c>
      <c r="B4027" s="626" t="s">
        <v>1908</v>
      </c>
      <c r="C4027" s="638" t="s">
        <v>7695</v>
      </c>
      <c r="D4027" s="649" t="s">
        <v>2660</v>
      </c>
      <c r="E4027" s="717">
        <v>1800</v>
      </c>
      <c r="F4027" s="626" t="s">
        <v>7852</v>
      </c>
      <c r="G4027" s="648" t="s">
        <v>7853</v>
      </c>
      <c r="H4027" s="649" t="s">
        <v>2660</v>
      </c>
      <c r="I4027" s="648" t="s">
        <v>2660</v>
      </c>
      <c r="J4027" s="626" t="s">
        <v>7713</v>
      </c>
      <c r="K4027" s="639"/>
      <c r="L4027" s="640"/>
      <c r="M4027" s="638"/>
      <c r="N4027" s="641" t="s">
        <v>3928</v>
      </c>
      <c r="O4027" s="642">
        <v>6</v>
      </c>
      <c r="P4027" s="719">
        <f t="shared" si="45"/>
        <v>10800</v>
      </c>
    </row>
    <row r="4028" spans="1:16" s="619" customFormat="1" ht="24" x14ac:dyDescent="0.2">
      <c r="A4028" s="625" t="s">
        <v>7690</v>
      </c>
      <c r="B4028" s="626" t="s">
        <v>1908</v>
      </c>
      <c r="C4028" s="638" t="s">
        <v>7695</v>
      </c>
      <c r="D4028" s="649" t="s">
        <v>7740</v>
      </c>
      <c r="E4028" s="717">
        <v>5500</v>
      </c>
      <c r="F4028" s="626" t="s">
        <v>7860</v>
      </c>
      <c r="G4028" s="648" t="s">
        <v>7861</v>
      </c>
      <c r="H4028" s="649" t="s">
        <v>7740</v>
      </c>
      <c r="I4028" s="648" t="s">
        <v>8398</v>
      </c>
      <c r="J4028" s="626" t="s">
        <v>7713</v>
      </c>
      <c r="K4028" s="639"/>
      <c r="L4028" s="640"/>
      <c r="M4028" s="638"/>
      <c r="N4028" s="641" t="s">
        <v>3928</v>
      </c>
      <c r="O4028" s="642">
        <v>6</v>
      </c>
      <c r="P4028" s="719">
        <f t="shared" si="45"/>
        <v>33000</v>
      </c>
    </row>
    <row r="4029" spans="1:16" s="619" customFormat="1" ht="24" x14ac:dyDescent="0.2">
      <c r="A4029" s="625" t="s">
        <v>7690</v>
      </c>
      <c r="B4029" s="626" t="s">
        <v>1908</v>
      </c>
      <c r="C4029" s="638" t="s">
        <v>7695</v>
      </c>
      <c r="D4029" s="649" t="s">
        <v>6092</v>
      </c>
      <c r="E4029" s="717">
        <v>4500</v>
      </c>
      <c r="F4029" s="626" t="s">
        <v>8466</v>
      </c>
      <c r="G4029" s="648" t="s">
        <v>8467</v>
      </c>
      <c r="H4029" s="649" t="s">
        <v>6092</v>
      </c>
      <c r="I4029" s="648" t="s">
        <v>2660</v>
      </c>
      <c r="J4029" s="626" t="s">
        <v>7713</v>
      </c>
      <c r="K4029" s="639"/>
      <c r="L4029" s="640"/>
      <c r="M4029" s="638"/>
      <c r="N4029" s="641" t="s">
        <v>3928</v>
      </c>
      <c r="O4029" s="642">
        <v>5</v>
      </c>
      <c r="P4029" s="719">
        <f t="shared" si="45"/>
        <v>22500</v>
      </c>
    </row>
    <row r="4030" spans="1:16" s="619" customFormat="1" ht="36" x14ac:dyDescent="0.2">
      <c r="A4030" s="625" t="s">
        <v>7690</v>
      </c>
      <c r="B4030" s="626" t="s">
        <v>1908</v>
      </c>
      <c r="C4030" s="638" t="s">
        <v>7695</v>
      </c>
      <c r="D4030" s="649" t="s">
        <v>6876</v>
      </c>
      <c r="E4030" s="717">
        <v>1500</v>
      </c>
      <c r="F4030" s="626" t="s">
        <v>7864</v>
      </c>
      <c r="G4030" s="648" t="s">
        <v>7865</v>
      </c>
      <c r="H4030" s="649" t="s">
        <v>6876</v>
      </c>
      <c r="I4030" s="648" t="s">
        <v>1919</v>
      </c>
      <c r="J4030" s="626" t="s">
        <v>7698</v>
      </c>
      <c r="K4030" s="639"/>
      <c r="L4030" s="640"/>
      <c r="M4030" s="638"/>
      <c r="N4030" s="641" t="s">
        <v>3928</v>
      </c>
      <c r="O4030" s="642">
        <v>6</v>
      </c>
      <c r="P4030" s="719">
        <f t="shared" si="45"/>
        <v>9000</v>
      </c>
    </row>
    <row r="4031" spans="1:16" s="619" customFormat="1" ht="36" x14ac:dyDescent="0.2">
      <c r="A4031" s="625" t="s">
        <v>7690</v>
      </c>
      <c r="B4031" s="626" t="s">
        <v>1908</v>
      </c>
      <c r="C4031" s="638" t="s">
        <v>7695</v>
      </c>
      <c r="D4031" s="649" t="s">
        <v>2660</v>
      </c>
      <c r="E4031" s="717">
        <v>1600</v>
      </c>
      <c r="F4031" s="626" t="s">
        <v>7875</v>
      </c>
      <c r="G4031" s="648" t="s">
        <v>7876</v>
      </c>
      <c r="H4031" s="649" t="s">
        <v>2660</v>
      </c>
      <c r="I4031" s="648" t="s">
        <v>2660</v>
      </c>
      <c r="J4031" s="626" t="s">
        <v>7713</v>
      </c>
      <c r="K4031" s="639"/>
      <c r="L4031" s="640"/>
      <c r="M4031" s="638"/>
      <c r="N4031" s="641" t="s">
        <v>3928</v>
      </c>
      <c r="O4031" s="642">
        <v>6</v>
      </c>
      <c r="P4031" s="719">
        <f t="shared" si="45"/>
        <v>9600</v>
      </c>
    </row>
    <row r="4032" spans="1:16" s="619" customFormat="1" ht="36" x14ac:dyDescent="0.2">
      <c r="A4032" s="625" t="s">
        <v>7690</v>
      </c>
      <c r="B4032" s="626" t="s">
        <v>1908</v>
      </c>
      <c r="C4032" s="638" t="s">
        <v>7695</v>
      </c>
      <c r="D4032" s="649" t="s">
        <v>7740</v>
      </c>
      <c r="E4032" s="717">
        <v>3300</v>
      </c>
      <c r="F4032" s="626" t="s">
        <v>7877</v>
      </c>
      <c r="G4032" s="648" t="s">
        <v>7878</v>
      </c>
      <c r="H4032" s="649" t="s">
        <v>7740</v>
      </c>
      <c r="I4032" s="648" t="s">
        <v>8398</v>
      </c>
      <c r="J4032" s="626" t="s">
        <v>7713</v>
      </c>
      <c r="K4032" s="639"/>
      <c r="L4032" s="640"/>
      <c r="M4032" s="638"/>
      <c r="N4032" s="641" t="s">
        <v>3928</v>
      </c>
      <c r="O4032" s="642">
        <v>6</v>
      </c>
      <c r="P4032" s="719">
        <f t="shared" si="45"/>
        <v>19800</v>
      </c>
    </row>
    <row r="4033" spans="1:16" s="619" customFormat="1" ht="24" x14ac:dyDescent="0.2">
      <c r="A4033" s="625" t="s">
        <v>7690</v>
      </c>
      <c r="B4033" s="626" t="s">
        <v>1908</v>
      </c>
      <c r="C4033" s="638" t="s">
        <v>7695</v>
      </c>
      <c r="D4033" s="649" t="s">
        <v>6092</v>
      </c>
      <c r="E4033" s="717">
        <v>3000</v>
      </c>
      <c r="F4033" s="626" t="s">
        <v>8468</v>
      </c>
      <c r="G4033" s="648" t="s">
        <v>8469</v>
      </c>
      <c r="H4033" s="649" t="s">
        <v>6092</v>
      </c>
      <c r="I4033" s="648" t="s">
        <v>1993</v>
      </c>
      <c r="J4033" s="626" t="s">
        <v>7713</v>
      </c>
      <c r="K4033" s="639"/>
      <c r="L4033" s="640"/>
      <c r="M4033" s="638"/>
      <c r="N4033" s="641" t="s">
        <v>3928</v>
      </c>
      <c r="O4033" s="642">
        <v>3</v>
      </c>
      <c r="P4033" s="719">
        <f t="shared" si="45"/>
        <v>9000</v>
      </c>
    </row>
    <row r="4034" spans="1:16" s="619" customFormat="1" ht="36" x14ac:dyDescent="0.2">
      <c r="A4034" s="625" t="s">
        <v>7690</v>
      </c>
      <c r="B4034" s="626" t="s">
        <v>1908</v>
      </c>
      <c r="C4034" s="638" t="s">
        <v>7695</v>
      </c>
      <c r="D4034" s="649" t="s">
        <v>6092</v>
      </c>
      <c r="E4034" s="717">
        <v>4000</v>
      </c>
      <c r="F4034" s="626" t="s">
        <v>7895</v>
      </c>
      <c r="G4034" s="648" t="s">
        <v>7896</v>
      </c>
      <c r="H4034" s="649" t="s">
        <v>6092</v>
      </c>
      <c r="I4034" s="648" t="s">
        <v>1993</v>
      </c>
      <c r="J4034" s="626" t="s">
        <v>7713</v>
      </c>
      <c r="K4034" s="639"/>
      <c r="L4034" s="640"/>
      <c r="M4034" s="638"/>
      <c r="N4034" s="641" t="s">
        <v>3928</v>
      </c>
      <c r="O4034" s="642">
        <v>6</v>
      </c>
      <c r="P4034" s="719">
        <f t="shared" si="45"/>
        <v>24000</v>
      </c>
    </row>
    <row r="4035" spans="1:16" s="619" customFormat="1" ht="24" x14ac:dyDescent="0.2">
      <c r="A4035" s="625" t="s">
        <v>7690</v>
      </c>
      <c r="B4035" s="626" t="s">
        <v>1908</v>
      </c>
      <c r="C4035" s="638" t="s">
        <v>7695</v>
      </c>
      <c r="D4035" s="649" t="s">
        <v>6092</v>
      </c>
      <c r="E4035" s="717">
        <v>4000</v>
      </c>
      <c r="F4035" s="626" t="s">
        <v>7899</v>
      </c>
      <c r="G4035" s="648" t="s">
        <v>7900</v>
      </c>
      <c r="H4035" s="649" t="s">
        <v>6092</v>
      </c>
      <c r="I4035" s="648" t="s">
        <v>1993</v>
      </c>
      <c r="J4035" s="626" t="s">
        <v>7713</v>
      </c>
      <c r="K4035" s="639"/>
      <c r="L4035" s="640"/>
      <c r="M4035" s="638"/>
      <c r="N4035" s="641" t="s">
        <v>3928</v>
      </c>
      <c r="O4035" s="642">
        <v>6</v>
      </c>
      <c r="P4035" s="719">
        <f t="shared" si="45"/>
        <v>24000</v>
      </c>
    </row>
    <row r="4036" spans="1:16" s="619" customFormat="1" ht="36" x14ac:dyDescent="0.2">
      <c r="A4036" s="625" t="s">
        <v>7690</v>
      </c>
      <c r="B4036" s="626" t="s">
        <v>1908</v>
      </c>
      <c r="C4036" s="638" t="s">
        <v>7695</v>
      </c>
      <c r="D4036" s="649" t="s">
        <v>7740</v>
      </c>
      <c r="E4036" s="717">
        <v>5000</v>
      </c>
      <c r="F4036" s="626" t="s">
        <v>7907</v>
      </c>
      <c r="G4036" s="648" t="s">
        <v>7908</v>
      </c>
      <c r="H4036" s="649" t="s">
        <v>7740</v>
      </c>
      <c r="I4036" s="648" t="s">
        <v>8398</v>
      </c>
      <c r="J4036" s="626" t="s">
        <v>7713</v>
      </c>
      <c r="K4036" s="639"/>
      <c r="L4036" s="640"/>
      <c r="M4036" s="638"/>
      <c r="N4036" s="641" t="s">
        <v>3928</v>
      </c>
      <c r="O4036" s="642">
        <v>6</v>
      </c>
      <c r="P4036" s="719">
        <f t="shared" si="45"/>
        <v>30000</v>
      </c>
    </row>
    <row r="4037" spans="1:16" s="619" customFormat="1" ht="24" x14ac:dyDescent="0.2">
      <c r="A4037" s="625" t="s">
        <v>7690</v>
      </c>
      <c r="B4037" s="626" t="s">
        <v>1908</v>
      </c>
      <c r="C4037" s="638" t="s">
        <v>7695</v>
      </c>
      <c r="D4037" s="649" t="s">
        <v>6092</v>
      </c>
      <c r="E4037" s="717">
        <v>4500</v>
      </c>
      <c r="F4037" s="626" t="s">
        <v>7917</v>
      </c>
      <c r="G4037" s="648" t="s">
        <v>7918</v>
      </c>
      <c r="H4037" s="649" t="s">
        <v>6092</v>
      </c>
      <c r="I4037" s="648" t="s">
        <v>1993</v>
      </c>
      <c r="J4037" s="626" t="s">
        <v>7713</v>
      </c>
      <c r="K4037" s="639"/>
      <c r="L4037" s="640"/>
      <c r="M4037" s="638"/>
      <c r="N4037" s="641" t="s">
        <v>3928</v>
      </c>
      <c r="O4037" s="642">
        <v>6</v>
      </c>
      <c r="P4037" s="719">
        <f t="shared" si="45"/>
        <v>27000</v>
      </c>
    </row>
    <row r="4038" spans="1:16" s="619" customFormat="1" ht="36" x14ac:dyDescent="0.2">
      <c r="A4038" s="625" t="s">
        <v>7690</v>
      </c>
      <c r="B4038" s="626" t="s">
        <v>1908</v>
      </c>
      <c r="C4038" s="638" t="s">
        <v>7695</v>
      </c>
      <c r="D4038" s="649" t="s">
        <v>6092</v>
      </c>
      <c r="E4038" s="717">
        <v>2000</v>
      </c>
      <c r="F4038" s="626" t="s">
        <v>8470</v>
      </c>
      <c r="G4038" s="648" t="s">
        <v>8471</v>
      </c>
      <c r="H4038" s="649" t="s">
        <v>6092</v>
      </c>
      <c r="I4038" s="648" t="s">
        <v>1993</v>
      </c>
      <c r="J4038" s="626" t="s">
        <v>7713</v>
      </c>
      <c r="K4038" s="639"/>
      <c r="L4038" s="640"/>
      <c r="M4038" s="638"/>
      <c r="N4038" s="641" t="s">
        <v>3928</v>
      </c>
      <c r="O4038" s="642">
        <v>2</v>
      </c>
      <c r="P4038" s="719">
        <f t="shared" si="45"/>
        <v>4000</v>
      </c>
    </row>
    <row r="4039" spans="1:16" s="619" customFormat="1" ht="36" x14ac:dyDescent="0.2">
      <c r="A4039" s="625" t="s">
        <v>7690</v>
      </c>
      <c r="B4039" s="626" t="s">
        <v>1908</v>
      </c>
      <c r="C4039" s="638" t="s">
        <v>7695</v>
      </c>
      <c r="D4039" s="649" t="s">
        <v>6092</v>
      </c>
      <c r="E4039" s="717">
        <v>3300</v>
      </c>
      <c r="F4039" s="626" t="s">
        <v>8472</v>
      </c>
      <c r="G4039" s="648" t="s">
        <v>8473</v>
      </c>
      <c r="H4039" s="649" t="s">
        <v>6092</v>
      </c>
      <c r="I4039" s="648" t="s">
        <v>1993</v>
      </c>
      <c r="J4039" s="626" t="s">
        <v>7713</v>
      </c>
      <c r="K4039" s="639"/>
      <c r="L4039" s="640"/>
      <c r="M4039" s="638"/>
      <c r="N4039" s="641" t="s">
        <v>3928</v>
      </c>
      <c r="O4039" s="642">
        <v>3</v>
      </c>
      <c r="P4039" s="719">
        <f t="shared" si="45"/>
        <v>9900</v>
      </c>
    </row>
    <row r="4040" spans="1:16" s="619" customFormat="1" ht="36" x14ac:dyDescent="0.2">
      <c r="A4040" s="625" t="s">
        <v>7690</v>
      </c>
      <c r="B4040" s="626" t="s">
        <v>1908</v>
      </c>
      <c r="C4040" s="638" t="s">
        <v>7695</v>
      </c>
      <c r="D4040" s="649" t="s">
        <v>6182</v>
      </c>
      <c r="E4040" s="717">
        <v>8000</v>
      </c>
      <c r="F4040" s="626" t="s">
        <v>7948</v>
      </c>
      <c r="G4040" s="648" t="s">
        <v>7949</v>
      </c>
      <c r="H4040" s="649" t="s">
        <v>6182</v>
      </c>
      <c r="I4040" s="648" t="s">
        <v>6182</v>
      </c>
      <c r="J4040" s="626" t="s">
        <v>7713</v>
      </c>
      <c r="K4040" s="639"/>
      <c r="L4040" s="640"/>
      <c r="M4040" s="638"/>
      <c r="N4040" s="641" t="s">
        <v>3928</v>
      </c>
      <c r="O4040" s="642">
        <v>6</v>
      </c>
      <c r="P4040" s="719">
        <f t="shared" si="45"/>
        <v>48000</v>
      </c>
    </row>
    <row r="4041" spans="1:16" s="619" customFormat="1" ht="24" x14ac:dyDescent="0.2">
      <c r="A4041" s="625" t="s">
        <v>7690</v>
      </c>
      <c r="B4041" s="626" t="s">
        <v>1908</v>
      </c>
      <c r="C4041" s="638" t="s">
        <v>7695</v>
      </c>
      <c r="D4041" s="649" t="s">
        <v>6092</v>
      </c>
      <c r="E4041" s="717">
        <v>4500</v>
      </c>
      <c r="F4041" s="626" t="s">
        <v>7950</v>
      </c>
      <c r="G4041" s="648" t="s">
        <v>7951</v>
      </c>
      <c r="H4041" s="649" t="s">
        <v>6092</v>
      </c>
      <c r="I4041" s="648" t="s">
        <v>1993</v>
      </c>
      <c r="J4041" s="626" t="s">
        <v>7713</v>
      </c>
      <c r="K4041" s="639"/>
      <c r="L4041" s="640"/>
      <c r="M4041" s="638"/>
      <c r="N4041" s="641" t="s">
        <v>3928</v>
      </c>
      <c r="O4041" s="642">
        <v>4</v>
      </c>
      <c r="P4041" s="719">
        <f t="shared" si="45"/>
        <v>18000</v>
      </c>
    </row>
    <row r="4042" spans="1:16" s="619" customFormat="1" ht="24" x14ac:dyDescent="0.2">
      <c r="A4042" s="625" t="s">
        <v>7690</v>
      </c>
      <c r="B4042" s="626" t="s">
        <v>1908</v>
      </c>
      <c r="C4042" s="638" t="s">
        <v>7695</v>
      </c>
      <c r="D4042" s="649" t="s">
        <v>6092</v>
      </c>
      <c r="E4042" s="717">
        <v>3000</v>
      </c>
      <c r="F4042" s="626" t="s">
        <v>7956</v>
      </c>
      <c r="G4042" s="648" t="s">
        <v>7957</v>
      </c>
      <c r="H4042" s="649" t="s">
        <v>6092</v>
      </c>
      <c r="I4042" s="648" t="s">
        <v>1993</v>
      </c>
      <c r="J4042" s="626" t="s">
        <v>7713</v>
      </c>
      <c r="K4042" s="639"/>
      <c r="L4042" s="640"/>
      <c r="M4042" s="638"/>
      <c r="N4042" s="641" t="s">
        <v>3928</v>
      </c>
      <c r="O4042" s="642">
        <v>6</v>
      </c>
      <c r="P4042" s="719">
        <f t="shared" si="45"/>
        <v>18000</v>
      </c>
    </row>
    <row r="4043" spans="1:16" s="619" customFormat="1" ht="36" x14ac:dyDescent="0.2">
      <c r="A4043" s="625" t="s">
        <v>7690</v>
      </c>
      <c r="B4043" s="626" t="s">
        <v>1908</v>
      </c>
      <c r="C4043" s="638" t="s">
        <v>7695</v>
      </c>
      <c r="D4043" s="649" t="s">
        <v>7740</v>
      </c>
      <c r="E4043" s="717">
        <v>4000</v>
      </c>
      <c r="F4043" s="626" t="s">
        <v>7970</v>
      </c>
      <c r="G4043" s="648" t="s">
        <v>7971</v>
      </c>
      <c r="H4043" s="649" t="s">
        <v>7740</v>
      </c>
      <c r="I4043" s="648" t="s">
        <v>8398</v>
      </c>
      <c r="J4043" s="626" t="s">
        <v>7713</v>
      </c>
      <c r="K4043" s="639"/>
      <c r="L4043" s="640"/>
      <c r="M4043" s="638"/>
      <c r="N4043" s="641" t="s">
        <v>3928</v>
      </c>
      <c r="O4043" s="642">
        <v>6</v>
      </c>
      <c r="P4043" s="719">
        <f t="shared" si="45"/>
        <v>24000</v>
      </c>
    </row>
    <row r="4044" spans="1:16" s="619" customFormat="1" ht="36" x14ac:dyDescent="0.2">
      <c r="A4044" s="625" t="s">
        <v>7690</v>
      </c>
      <c r="B4044" s="626" t="s">
        <v>1908</v>
      </c>
      <c r="C4044" s="638" t="s">
        <v>7695</v>
      </c>
      <c r="D4044" s="649" t="s">
        <v>2660</v>
      </c>
      <c r="E4044" s="717">
        <v>1500</v>
      </c>
      <c r="F4044" s="626" t="s">
        <v>7980</v>
      </c>
      <c r="G4044" s="648" t="s">
        <v>7981</v>
      </c>
      <c r="H4044" s="649" t="s">
        <v>2660</v>
      </c>
      <c r="I4044" s="648" t="s">
        <v>2660</v>
      </c>
      <c r="J4044" s="626" t="s">
        <v>7713</v>
      </c>
      <c r="K4044" s="639"/>
      <c r="L4044" s="640"/>
      <c r="M4044" s="638"/>
      <c r="N4044" s="641" t="s">
        <v>3928</v>
      </c>
      <c r="O4044" s="642">
        <v>6</v>
      </c>
      <c r="P4044" s="719">
        <f t="shared" si="45"/>
        <v>9000</v>
      </c>
    </row>
    <row r="4045" spans="1:16" s="619" customFormat="1" ht="36" x14ac:dyDescent="0.2">
      <c r="A4045" s="625" t="s">
        <v>7690</v>
      </c>
      <c r="B4045" s="626" t="s">
        <v>1908</v>
      </c>
      <c r="C4045" s="638" t="s">
        <v>7695</v>
      </c>
      <c r="D4045" s="649" t="s">
        <v>2660</v>
      </c>
      <c r="E4045" s="717">
        <v>1100</v>
      </c>
      <c r="F4045" s="626" t="s">
        <v>8474</v>
      </c>
      <c r="G4045" s="648" t="s">
        <v>8475</v>
      </c>
      <c r="H4045" s="649" t="s">
        <v>2660</v>
      </c>
      <c r="I4045" s="648" t="s">
        <v>2660</v>
      </c>
      <c r="J4045" s="626" t="s">
        <v>7713</v>
      </c>
      <c r="K4045" s="639"/>
      <c r="L4045" s="640"/>
      <c r="M4045" s="638"/>
      <c r="N4045" s="641" t="s">
        <v>3928</v>
      </c>
      <c r="O4045" s="642">
        <v>3</v>
      </c>
      <c r="P4045" s="719">
        <f t="shared" si="45"/>
        <v>3300</v>
      </c>
    </row>
    <row r="4046" spans="1:16" s="619" customFormat="1" ht="24" x14ac:dyDescent="0.2">
      <c r="A4046" s="625" t="s">
        <v>7690</v>
      </c>
      <c r="B4046" s="626" t="s">
        <v>1908</v>
      </c>
      <c r="C4046" s="638" t="s">
        <v>7695</v>
      </c>
      <c r="D4046" s="649" t="s">
        <v>6092</v>
      </c>
      <c r="E4046" s="717">
        <v>4200</v>
      </c>
      <c r="F4046" s="626" t="s">
        <v>8476</v>
      </c>
      <c r="G4046" s="648" t="s">
        <v>8477</v>
      </c>
      <c r="H4046" s="649" t="s">
        <v>6092</v>
      </c>
      <c r="I4046" s="648" t="s">
        <v>1993</v>
      </c>
      <c r="J4046" s="626" t="s">
        <v>7713</v>
      </c>
      <c r="K4046" s="639"/>
      <c r="L4046" s="640"/>
      <c r="M4046" s="638"/>
      <c r="N4046" s="641" t="s">
        <v>3928</v>
      </c>
      <c r="O4046" s="642">
        <v>3</v>
      </c>
      <c r="P4046" s="719">
        <f t="shared" si="45"/>
        <v>12600</v>
      </c>
    </row>
    <row r="4047" spans="1:16" s="619" customFormat="1" ht="24" x14ac:dyDescent="0.2">
      <c r="A4047" s="625" t="s">
        <v>7690</v>
      </c>
      <c r="B4047" s="626" t="s">
        <v>1908</v>
      </c>
      <c r="C4047" s="638" t="s">
        <v>7695</v>
      </c>
      <c r="D4047" s="649" t="s">
        <v>6092</v>
      </c>
      <c r="E4047" s="717">
        <v>4000</v>
      </c>
      <c r="F4047" s="626" t="s">
        <v>8478</v>
      </c>
      <c r="G4047" s="648" t="s">
        <v>8479</v>
      </c>
      <c r="H4047" s="649" t="s">
        <v>6092</v>
      </c>
      <c r="I4047" s="648" t="s">
        <v>1993</v>
      </c>
      <c r="J4047" s="626" t="s">
        <v>7713</v>
      </c>
      <c r="K4047" s="639"/>
      <c r="L4047" s="640"/>
      <c r="M4047" s="638"/>
      <c r="N4047" s="641" t="s">
        <v>3928</v>
      </c>
      <c r="O4047" s="642">
        <v>6</v>
      </c>
      <c r="P4047" s="719">
        <f t="shared" si="45"/>
        <v>24000</v>
      </c>
    </row>
    <row r="4048" spans="1:16" s="619" customFormat="1" ht="36" x14ac:dyDescent="0.2">
      <c r="A4048" s="625" t="s">
        <v>7690</v>
      </c>
      <c r="B4048" s="626" t="s">
        <v>1908</v>
      </c>
      <c r="C4048" s="638" t="s">
        <v>7695</v>
      </c>
      <c r="D4048" s="649" t="s">
        <v>6158</v>
      </c>
      <c r="E4048" s="717">
        <v>1000</v>
      </c>
      <c r="F4048" s="626" t="s">
        <v>8480</v>
      </c>
      <c r="G4048" s="648" t="s">
        <v>8481</v>
      </c>
      <c r="H4048" s="649" t="s">
        <v>6158</v>
      </c>
      <c r="I4048" s="648" t="s">
        <v>1919</v>
      </c>
      <c r="J4048" s="626" t="s">
        <v>7698</v>
      </c>
      <c r="K4048" s="639"/>
      <c r="L4048" s="640"/>
      <c r="M4048" s="638"/>
      <c r="N4048" s="641" t="s">
        <v>3928</v>
      </c>
      <c r="O4048" s="642">
        <v>3</v>
      </c>
      <c r="P4048" s="719">
        <f t="shared" si="45"/>
        <v>3000</v>
      </c>
    </row>
    <row r="4049" spans="1:16" s="619" customFormat="1" ht="36" x14ac:dyDescent="0.2">
      <c r="A4049" s="625" t="s">
        <v>7690</v>
      </c>
      <c r="B4049" s="626" t="s">
        <v>1908</v>
      </c>
      <c r="C4049" s="638" t="s">
        <v>7695</v>
      </c>
      <c r="D4049" s="649" t="s">
        <v>6299</v>
      </c>
      <c r="E4049" s="717">
        <v>1100</v>
      </c>
      <c r="F4049" s="626" t="s">
        <v>8482</v>
      </c>
      <c r="G4049" s="648" t="s">
        <v>8483</v>
      </c>
      <c r="H4049" s="649" t="s">
        <v>6299</v>
      </c>
      <c r="I4049" s="648" t="s">
        <v>8484</v>
      </c>
      <c r="J4049" s="626" t="s">
        <v>7713</v>
      </c>
      <c r="K4049" s="639"/>
      <c r="L4049" s="640"/>
      <c r="M4049" s="638"/>
      <c r="N4049" s="641" t="s">
        <v>3928</v>
      </c>
      <c r="O4049" s="642">
        <v>1</v>
      </c>
      <c r="P4049" s="719">
        <f t="shared" si="45"/>
        <v>1100</v>
      </c>
    </row>
    <row r="4050" spans="1:16" s="619" customFormat="1" ht="48" x14ac:dyDescent="0.2">
      <c r="A4050" s="625" t="s">
        <v>7690</v>
      </c>
      <c r="B4050" s="626" t="s">
        <v>1908</v>
      </c>
      <c r="C4050" s="638" t="s">
        <v>7695</v>
      </c>
      <c r="D4050" s="649" t="s">
        <v>6179</v>
      </c>
      <c r="E4050" s="717">
        <v>8000</v>
      </c>
      <c r="F4050" s="626" t="s">
        <v>8000</v>
      </c>
      <c r="G4050" s="648" t="s">
        <v>8001</v>
      </c>
      <c r="H4050" s="649" t="s">
        <v>6179</v>
      </c>
      <c r="I4050" s="648" t="s">
        <v>6182</v>
      </c>
      <c r="J4050" s="626" t="s">
        <v>7713</v>
      </c>
      <c r="K4050" s="639"/>
      <c r="L4050" s="640"/>
      <c r="M4050" s="638"/>
      <c r="N4050" s="641" t="s">
        <v>3928</v>
      </c>
      <c r="O4050" s="642">
        <v>6</v>
      </c>
      <c r="P4050" s="719">
        <f t="shared" si="45"/>
        <v>48000</v>
      </c>
    </row>
    <row r="4051" spans="1:16" s="619" customFormat="1" ht="48" x14ac:dyDescent="0.2">
      <c r="A4051" s="625" t="s">
        <v>7690</v>
      </c>
      <c r="B4051" s="626" t="s">
        <v>1908</v>
      </c>
      <c r="C4051" s="638" t="s">
        <v>7695</v>
      </c>
      <c r="D4051" s="649" t="s">
        <v>6092</v>
      </c>
      <c r="E4051" s="717">
        <v>4200</v>
      </c>
      <c r="F4051" s="626" t="s">
        <v>8485</v>
      </c>
      <c r="G4051" s="648" t="s">
        <v>8486</v>
      </c>
      <c r="H4051" s="649" t="s">
        <v>6092</v>
      </c>
      <c r="I4051" s="648" t="s">
        <v>1993</v>
      </c>
      <c r="J4051" s="626" t="s">
        <v>7713</v>
      </c>
      <c r="K4051" s="639"/>
      <c r="L4051" s="640"/>
      <c r="M4051" s="638"/>
      <c r="N4051" s="641" t="s">
        <v>3928</v>
      </c>
      <c r="O4051" s="642">
        <v>1</v>
      </c>
      <c r="P4051" s="719">
        <f t="shared" si="45"/>
        <v>4200</v>
      </c>
    </row>
    <row r="4052" spans="1:16" s="619" customFormat="1" ht="24" x14ac:dyDescent="0.2">
      <c r="A4052" s="625" t="s">
        <v>7690</v>
      </c>
      <c r="B4052" s="626" t="s">
        <v>1908</v>
      </c>
      <c r="C4052" s="638" t="s">
        <v>7695</v>
      </c>
      <c r="D4052" s="649" t="s">
        <v>2660</v>
      </c>
      <c r="E4052" s="717">
        <v>1500</v>
      </c>
      <c r="F4052" s="626" t="s">
        <v>8487</v>
      </c>
      <c r="G4052" s="648" t="s">
        <v>8488</v>
      </c>
      <c r="H4052" s="649" t="s">
        <v>2660</v>
      </c>
      <c r="I4052" s="648" t="s">
        <v>2660</v>
      </c>
      <c r="J4052" s="626" t="s">
        <v>7713</v>
      </c>
      <c r="K4052" s="639"/>
      <c r="L4052" s="640"/>
      <c r="M4052" s="638"/>
      <c r="N4052" s="641" t="s">
        <v>3928</v>
      </c>
      <c r="O4052" s="642">
        <v>5</v>
      </c>
      <c r="P4052" s="719">
        <f t="shared" si="45"/>
        <v>7500</v>
      </c>
    </row>
    <row r="4053" spans="1:16" s="619" customFormat="1" ht="36" x14ac:dyDescent="0.2">
      <c r="A4053" s="625" t="s">
        <v>7690</v>
      </c>
      <c r="B4053" s="626" t="s">
        <v>1908</v>
      </c>
      <c r="C4053" s="638" t="s">
        <v>7695</v>
      </c>
      <c r="D4053" s="649" t="s">
        <v>2660</v>
      </c>
      <c r="E4053" s="717">
        <v>1500</v>
      </c>
      <c r="F4053" s="626" t="s">
        <v>6985</v>
      </c>
      <c r="G4053" s="648" t="s">
        <v>6986</v>
      </c>
      <c r="H4053" s="649" t="s">
        <v>2660</v>
      </c>
      <c r="I4053" s="648" t="s">
        <v>2660</v>
      </c>
      <c r="J4053" s="626" t="s">
        <v>7713</v>
      </c>
      <c r="K4053" s="639"/>
      <c r="L4053" s="640"/>
      <c r="M4053" s="638"/>
      <c r="N4053" s="641" t="s">
        <v>3928</v>
      </c>
      <c r="O4053" s="642">
        <v>6</v>
      </c>
      <c r="P4053" s="719">
        <f t="shared" si="45"/>
        <v>9000</v>
      </c>
    </row>
    <row r="4054" spans="1:16" s="619" customFormat="1" ht="24" x14ac:dyDescent="0.2">
      <c r="A4054" s="625" t="s">
        <v>7690</v>
      </c>
      <c r="B4054" s="626" t="s">
        <v>1908</v>
      </c>
      <c r="C4054" s="638" t="s">
        <v>7695</v>
      </c>
      <c r="D4054" s="649" t="s">
        <v>7626</v>
      </c>
      <c r="E4054" s="717">
        <v>1500</v>
      </c>
      <c r="F4054" s="626" t="s">
        <v>8489</v>
      </c>
      <c r="G4054" s="648" t="s">
        <v>8490</v>
      </c>
      <c r="H4054" s="649" t="s">
        <v>7626</v>
      </c>
      <c r="I4054" s="648" t="s">
        <v>7626</v>
      </c>
      <c r="J4054" s="626" t="s">
        <v>7713</v>
      </c>
      <c r="K4054" s="639"/>
      <c r="L4054" s="640"/>
      <c r="M4054" s="638"/>
      <c r="N4054" s="641" t="s">
        <v>3928</v>
      </c>
      <c r="O4054" s="642">
        <v>6</v>
      </c>
      <c r="P4054" s="719">
        <f t="shared" si="45"/>
        <v>9000</v>
      </c>
    </row>
    <row r="4055" spans="1:16" s="619" customFormat="1" ht="36" x14ac:dyDescent="0.2">
      <c r="A4055" s="625" t="s">
        <v>7690</v>
      </c>
      <c r="B4055" s="626" t="s">
        <v>1908</v>
      </c>
      <c r="C4055" s="638" t="s">
        <v>7695</v>
      </c>
      <c r="D4055" s="649" t="s">
        <v>6182</v>
      </c>
      <c r="E4055" s="717">
        <v>6933.33</v>
      </c>
      <c r="F4055" s="626" t="s">
        <v>8491</v>
      </c>
      <c r="G4055" s="648" t="s">
        <v>8492</v>
      </c>
      <c r="H4055" s="649" t="s">
        <v>6182</v>
      </c>
      <c r="I4055" s="648" t="s">
        <v>6182</v>
      </c>
      <c r="J4055" s="626" t="s">
        <v>7713</v>
      </c>
      <c r="K4055" s="639"/>
      <c r="L4055" s="640"/>
      <c r="M4055" s="638"/>
      <c r="N4055" s="641" t="s">
        <v>3928</v>
      </c>
      <c r="O4055" s="642">
        <v>1</v>
      </c>
      <c r="P4055" s="719">
        <f t="shared" si="45"/>
        <v>6933.33</v>
      </c>
    </row>
    <row r="4056" spans="1:16" s="619" customFormat="1" ht="24" x14ac:dyDescent="0.2">
      <c r="A4056" s="625" t="s">
        <v>7690</v>
      </c>
      <c r="B4056" s="626" t="s">
        <v>1908</v>
      </c>
      <c r="C4056" s="638" t="s">
        <v>7695</v>
      </c>
      <c r="D4056" s="649" t="s">
        <v>6092</v>
      </c>
      <c r="E4056" s="717">
        <v>4500</v>
      </c>
      <c r="F4056" s="626" t="s">
        <v>8493</v>
      </c>
      <c r="G4056" s="648" t="s">
        <v>8494</v>
      </c>
      <c r="H4056" s="649" t="s">
        <v>6092</v>
      </c>
      <c r="I4056" s="648" t="s">
        <v>1993</v>
      </c>
      <c r="J4056" s="626" t="s">
        <v>7713</v>
      </c>
      <c r="K4056" s="639"/>
      <c r="L4056" s="640"/>
      <c r="M4056" s="638"/>
      <c r="N4056" s="641" t="s">
        <v>3928</v>
      </c>
      <c r="O4056" s="642">
        <v>1</v>
      </c>
      <c r="P4056" s="719">
        <f t="shared" si="45"/>
        <v>4500</v>
      </c>
    </row>
    <row r="4057" spans="1:16" s="619" customFormat="1" ht="36" x14ac:dyDescent="0.2">
      <c r="A4057" s="625" t="s">
        <v>7690</v>
      </c>
      <c r="B4057" s="626" t="s">
        <v>1908</v>
      </c>
      <c r="C4057" s="638" t="s">
        <v>7695</v>
      </c>
      <c r="D4057" s="649" t="s">
        <v>7740</v>
      </c>
      <c r="E4057" s="717">
        <v>4000</v>
      </c>
      <c r="F4057" s="626" t="s">
        <v>8495</v>
      </c>
      <c r="G4057" s="648" t="s">
        <v>8496</v>
      </c>
      <c r="H4057" s="649" t="s">
        <v>7740</v>
      </c>
      <c r="I4057" s="648" t="s">
        <v>8398</v>
      </c>
      <c r="J4057" s="626" t="s">
        <v>7713</v>
      </c>
      <c r="K4057" s="639"/>
      <c r="L4057" s="640"/>
      <c r="M4057" s="638"/>
      <c r="N4057" s="641" t="s">
        <v>3928</v>
      </c>
      <c r="O4057" s="642">
        <v>4</v>
      </c>
      <c r="P4057" s="719">
        <f t="shared" si="45"/>
        <v>16000</v>
      </c>
    </row>
    <row r="4058" spans="1:16" s="619" customFormat="1" ht="24" x14ac:dyDescent="0.2">
      <c r="A4058" s="625" t="s">
        <v>7690</v>
      </c>
      <c r="B4058" s="626" t="s">
        <v>1908</v>
      </c>
      <c r="C4058" s="638" t="s">
        <v>7695</v>
      </c>
      <c r="D4058" s="649" t="s">
        <v>6299</v>
      </c>
      <c r="E4058" s="717">
        <v>1500</v>
      </c>
      <c r="F4058" s="626" t="s">
        <v>8022</v>
      </c>
      <c r="G4058" s="648" t="s">
        <v>8023</v>
      </c>
      <c r="H4058" s="649" t="s">
        <v>6299</v>
      </c>
      <c r="I4058" s="648" t="s">
        <v>8497</v>
      </c>
      <c r="J4058" s="626" t="s">
        <v>7713</v>
      </c>
      <c r="K4058" s="639"/>
      <c r="L4058" s="640"/>
      <c r="M4058" s="638"/>
      <c r="N4058" s="641" t="s">
        <v>3928</v>
      </c>
      <c r="O4058" s="642">
        <v>5</v>
      </c>
      <c r="P4058" s="719">
        <f t="shared" si="45"/>
        <v>7500</v>
      </c>
    </row>
    <row r="4059" spans="1:16" s="619" customFormat="1" ht="36" x14ac:dyDescent="0.2">
      <c r="A4059" s="625" t="s">
        <v>7690</v>
      </c>
      <c r="B4059" s="626" t="s">
        <v>1908</v>
      </c>
      <c r="C4059" s="638" t="s">
        <v>7695</v>
      </c>
      <c r="D4059" s="649" t="s">
        <v>6092</v>
      </c>
      <c r="E4059" s="717">
        <v>4000</v>
      </c>
      <c r="F4059" s="626" t="s">
        <v>8026</v>
      </c>
      <c r="G4059" s="648" t="s">
        <v>8027</v>
      </c>
      <c r="H4059" s="649" t="s">
        <v>6092</v>
      </c>
      <c r="I4059" s="648" t="s">
        <v>1993</v>
      </c>
      <c r="J4059" s="626" t="s">
        <v>7713</v>
      </c>
      <c r="K4059" s="639"/>
      <c r="L4059" s="640"/>
      <c r="M4059" s="638"/>
      <c r="N4059" s="641" t="s">
        <v>3928</v>
      </c>
      <c r="O4059" s="642">
        <v>6</v>
      </c>
      <c r="P4059" s="719">
        <f t="shared" si="45"/>
        <v>24000</v>
      </c>
    </row>
    <row r="4060" spans="1:16" s="619" customFormat="1" ht="36" x14ac:dyDescent="0.2">
      <c r="A4060" s="625" t="s">
        <v>7690</v>
      </c>
      <c r="B4060" s="626" t="s">
        <v>1908</v>
      </c>
      <c r="C4060" s="638" t="s">
        <v>7695</v>
      </c>
      <c r="D4060" s="649" t="s">
        <v>2660</v>
      </c>
      <c r="E4060" s="717">
        <v>1600</v>
      </c>
      <c r="F4060" s="626" t="s">
        <v>8498</v>
      </c>
      <c r="G4060" s="648" t="s">
        <v>8499</v>
      </c>
      <c r="H4060" s="649" t="s">
        <v>2660</v>
      </c>
      <c r="I4060" s="648" t="s">
        <v>2660</v>
      </c>
      <c r="J4060" s="626" t="s">
        <v>7713</v>
      </c>
      <c r="K4060" s="639"/>
      <c r="L4060" s="640"/>
      <c r="M4060" s="638"/>
      <c r="N4060" s="641" t="s">
        <v>3928</v>
      </c>
      <c r="O4060" s="642">
        <v>5</v>
      </c>
      <c r="P4060" s="719">
        <f t="shared" si="45"/>
        <v>8000</v>
      </c>
    </row>
    <row r="4061" spans="1:16" s="619" customFormat="1" ht="24" x14ac:dyDescent="0.2">
      <c r="A4061" s="625" t="s">
        <v>7690</v>
      </c>
      <c r="B4061" s="626" t="s">
        <v>1908</v>
      </c>
      <c r="C4061" s="638" t="s">
        <v>7695</v>
      </c>
      <c r="D4061" s="649" t="s">
        <v>2660</v>
      </c>
      <c r="E4061" s="717">
        <v>1200</v>
      </c>
      <c r="F4061" s="626" t="s">
        <v>8500</v>
      </c>
      <c r="G4061" s="648" t="s">
        <v>8501</v>
      </c>
      <c r="H4061" s="649" t="s">
        <v>2660</v>
      </c>
      <c r="I4061" s="648" t="s">
        <v>2660</v>
      </c>
      <c r="J4061" s="626" t="s">
        <v>7713</v>
      </c>
      <c r="K4061" s="639"/>
      <c r="L4061" s="640"/>
      <c r="M4061" s="638"/>
      <c r="N4061" s="641" t="s">
        <v>3928</v>
      </c>
      <c r="O4061" s="642">
        <v>2</v>
      </c>
      <c r="P4061" s="719">
        <f t="shared" si="45"/>
        <v>2400</v>
      </c>
    </row>
    <row r="4062" spans="1:16" s="619" customFormat="1" ht="24" x14ac:dyDescent="0.2">
      <c r="A4062" s="625" t="s">
        <v>7690</v>
      </c>
      <c r="B4062" s="626" t="s">
        <v>1908</v>
      </c>
      <c r="C4062" s="638" t="s">
        <v>7695</v>
      </c>
      <c r="D4062" s="649" t="s">
        <v>2660</v>
      </c>
      <c r="E4062" s="717">
        <v>1400</v>
      </c>
      <c r="F4062" s="626" t="s">
        <v>8502</v>
      </c>
      <c r="G4062" s="648" t="s">
        <v>8503</v>
      </c>
      <c r="H4062" s="649" t="s">
        <v>2660</v>
      </c>
      <c r="I4062" s="648" t="s">
        <v>2660</v>
      </c>
      <c r="J4062" s="626" t="s">
        <v>7713</v>
      </c>
      <c r="K4062" s="639"/>
      <c r="L4062" s="640"/>
      <c r="M4062" s="638"/>
      <c r="N4062" s="641" t="s">
        <v>3928</v>
      </c>
      <c r="O4062" s="642">
        <v>5</v>
      </c>
      <c r="P4062" s="719">
        <f t="shared" si="45"/>
        <v>7000</v>
      </c>
    </row>
    <row r="4063" spans="1:16" s="619" customFormat="1" ht="36" x14ac:dyDescent="0.2">
      <c r="A4063" s="625" t="s">
        <v>7690</v>
      </c>
      <c r="B4063" s="626" t="s">
        <v>1908</v>
      </c>
      <c r="C4063" s="638" t="s">
        <v>7695</v>
      </c>
      <c r="D4063" s="649" t="s">
        <v>6092</v>
      </c>
      <c r="E4063" s="717">
        <v>4000</v>
      </c>
      <c r="F4063" s="626" t="s">
        <v>8504</v>
      </c>
      <c r="G4063" s="648" t="s">
        <v>8505</v>
      </c>
      <c r="H4063" s="649" t="s">
        <v>6092</v>
      </c>
      <c r="I4063" s="648" t="s">
        <v>1993</v>
      </c>
      <c r="J4063" s="626" t="s">
        <v>7713</v>
      </c>
      <c r="K4063" s="639"/>
      <c r="L4063" s="640"/>
      <c r="M4063" s="638"/>
      <c r="N4063" s="641" t="s">
        <v>3928</v>
      </c>
      <c r="O4063" s="642">
        <v>4</v>
      </c>
      <c r="P4063" s="719">
        <f t="shared" si="45"/>
        <v>16000</v>
      </c>
    </row>
    <row r="4064" spans="1:16" s="619" customFormat="1" ht="48" x14ac:dyDescent="0.2">
      <c r="A4064" s="625" t="s">
        <v>7690</v>
      </c>
      <c r="B4064" s="626" t="s">
        <v>1908</v>
      </c>
      <c r="C4064" s="638" t="s">
        <v>7695</v>
      </c>
      <c r="D4064" s="649" t="s">
        <v>6876</v>
      </c>
      <c r="E4064" s="717">
        <v>1500</v>
      </c>
      <c r="F4064" s="626" t="s">
        <v>8044</v>
      </c>
      <c r="G4064" s="648" t="s">
        <v>8045</v>
      </c>
      <c r="H4064" s="649" t="s">
        <v>6876</v>
      </c>
      <c r="I4064" s="648" t="s">
        <v>1919</v>
      </c>
      <c r="J4064" s="626" t="s">
        <v>7698</v>
      </c>
      <c r="K4064" s="639"/>
      <c r="L4064" s="640"/>
      <c r="M4064" s="638"/>
      <c r="N4064" s="641" t="s">
        <v>3928</v>
      </c>
      <c r="O4064" s="642">
        <v>6</v>
      </c>
      <c r="P4064" s="719">
        <f t="shared" si="45"/>
        <v>9000</v>
      </c>
    </row>
    <row r="4065" spans="1:16" s="619" customFormat="1" ht="36" x14ac:dyDescent="0.2">
      <c r="A4065" s="625" t="s">
        <v>7690</v>
      </c>
      <c r="B4065" s="626" t="s">
        <v>1908</v>
      </c>
      <c r="C4065" s="638" t="s">
        <v>7695</v>
      </c>
      <c r="D4065" s="649" t="s">
        <v>2660</v>
      </c>
      <c r="E4065" s="717">
        <v>1500</v>
      </c>
      <c r="F4065" s="626" t="s">
        <v>6993</v>
      </c>
      <c r="G4065" s="648" t="s">
        <v>6994</v>
      </c>
      <c r="H4065" s="649" t="s">
        <v>2660</v>
      </c>
      <c r="I4065" s="648" t="s">
        <v>2660</v>
      </c>
      <c r="J4065" s="626" t="s">
        <v>7713</v>
      </c>
      <c r="K4065" s="639"/>
      <c r="L4065" s="640"/>
      <c r="M4065" s="638"/>
      <c r="N4065" s="641" t="s">
        <v>3928</v>
      </c>
      <c r="O4065" s="642">
        <v>6</v>
      </c>
      <c r="P4065" s="719">
        <f t="shared" si="45"/>
        <v>9000</v>
      </c>
    </row>
    <row r="4066" spans="1:16" s="619" customFormat="1" ht="24" x14ac:dyDescent="0.2">
      <c r="A4066" s="625" t="s">
        <v>7690</v>
      </c>
      <c r="B4066" s="626" t="s">
        <v>1908</v>
      </c>
      <c r="C4066" s="638" t="s">
        <v>7695</v>
      </c>
      <c r="D4066" s="649" t="s">
        <v>2660</v>
      </c>
      <c r="E4066" s="717">
        <v>1500</v>
      </c>
      <c r="F4066" s="626" t="s">
        <v>8506</v>
      </c>
      <c r="G4066" s="648" t="s">
        <v>8507</v>
      </c>
      <c r="H4066" s="649" t="s">
        <v>2660</v>
      </c>
      <c r="I4066" s="648" t="s">
        <v>2660</v>
      </c>
      <c r="J4066" s="626" t="s">
        <v>7713</v>
      </c>
      <c r="K4066" s="639"/>
      <c r="L4066" s="640"/>
      <c r="M4066" s="638"/>
      <c r="N4066" s="641" t="s">
        <v>3928</v>
      </c>
      <c r="O4066" s="642">
        <v>6</v>
      </c>
      <c r="P4066" s="719">
        <f t="shared" si="45"/>
        <v>9000</v>
      </c>
    </row>
    <row r="4067" spans="1:16" s="619" customFormat="1" ht="48" x14ac:dyDescent="0.2">
      <c r="A4067" s="625" t="s">
        <v>7690</v>
      </c>
      <c r="B4067" s="626" t="s">
        <v>1908</v>
      </c>
      <c r="C4067" s="638" t="s">
        <v>7695</v>
      </c>
      <c r="D4067" s="649" t="s">
        <v>6182</v>
      </c>
      <c r="E4067" s="717">
        <v>8000</v>
      </c>
      <c r="F4067" s="626" t="s">
        <v>6947</v>
      </c>
      <c r="G4067" s="648" t="s">
        <v>6948</v>
      </c>
      <c r="H4067" s="649" t="s">
        <v>6182</v>
      </c>
      <c r="I4067" s="648" t="s">
        <v>6182</v>
      </c>
      <c r="J4067" s="626" t="s">
        <v>7713</v>
      </c>
      <c r="K4067" s="639"/>
      <c r="L4067" s="640"/>
      <c r="M4067" s="638"/>
      <c r="N4067" s="641" t="s">
        <v>3928</v>
      </c>
      <c r="O4067" s="642">
        <v>6</v>
      </c>
      <c r="P4067" s="719">
        <f t="shared" si="45"/>
        <v>48000</v>
      </c>
    </row>
    <row r="4068" spans="1:16" s="619" customFormat="1" ht="24" x14ac:dyDescent="0.2">
      <c r="A4068" s="625" t="s">
        <v>7690</v>
      </c>
      <c r="B4068" s="626" t="s">
        <v>1908</v>
      </c>
      <c r="C4068" s="638" t="s">
        <v>7695</v>
      </c>
      <c r="D4068" s="649" t="s">
        <v>6092</v>
      </c>
      <c r="E4068" s="717">
        <v>5000</v>
      </c>
      <c r="F4068" s="626" t="s">
        <v>8067</v>
      </c>
      <c r="G4068" s="648" t="s">
        <v>8068</v>
      </c>
      <c r="H4068" s="649" t="s">
        <v>6092</v>
      </c>
      <c r="I4068" s="648" t="s">
        <v>1993</v>
      </c>
      <c r="J4068" s="626" t="s">
        <v>7713</v>
      </c>
      <c r="K4068" s="639"/>
      <c r="L4068" s="640"/>
      <c r="M4068" s="638"/>
      <c r="N4068" s="641" t="s">
        <v>3928</v>
      </c>
      <c r="O4068" s="642">
        <v>6</v>
      </c>
      <c r="P4068" s="719">
        <f t="shared" si="45"/>
        <v>30000</v>
      </c>
    </row>
    <row r="4069" spans="1:16" s="619" customFormat="1" ht="36" x14ac:dyDescent="0.2">
      <c r="A4069" s="625" t="s">
        <v>7690</v>
      </c>
      <c r="B4069" s="626" t="s">
        <v>1908</v>
      </c>
      <c r="C4069" s="638" t="s">
        <v>7695</v>
      </c>
      <c r="D4069" s="649" t="s">
        <v>7740</v>
      </c>
      <c r="E4069" s="717">
        <v>4800</v>
      </c>
      <c r="F4069" s="626" t="s">
        <v>8508</v>
      </c>
      <c r="G4069" s="648" t="s">
        <v>8509</v>
      </c>
      <c r="H4069" s="649" t="s">
        <v>7740</v>
      </c>
      <c r="I4069" s="648" t="s">
        <v>8398</v>
      </c>
      <c r="J4069" s="626" t="s">
        <v>7713</v>
      </c>
      <c r="K4069" s="639"/>
      <c r="L4069" s="640"/>
      <c r="M4069" s="638"/>
      <c r="N4069" s="641" t="s">
        <v>3928</v>
      </c>
      <c r="O4069" s="642">
        <v>2</v>
      </c>
      <c r="P4069" s="719">
        <f t="shared" si="45"/>
        <v>9600</v>
      </c>
    </row>
    <row r="4070" spans="1:16" s="619" customFormat="1" ht="36" x14ac:dyDescent="0.2">
      <c r="A4070" s="625" t="s">
        <v>7690</v>
      </c>
      <c r="B4070" s="626" t="s">
        <v>1908</v>
      </c>
      <c r="C4070" s="638" t="s">
        <v>7695</v>
      </c>
      <c r="D4070" s="649" t="s">
        <v>6179</v>
      </c>
      <c r="E4070" s="717">
        <v>8000</v>
      </c>
      <c r="F4070" s="626" t="s">
        <v>8071</v>
      </c>
      <c r="G4070" s="648" t="s">
        <v>8072</v>
      </c>
      <c r="H4070" s="649" t="s">
        <v>6179</v>
      </c>
      <c r="I4070" s="648" t="s">
        <v>6182</v>
      </c>
      <c r="J4070" s="626" t="s">
        <v>7713</v>
      </c>
      <c r="K4070" s="639"/>
      <c r="L4070" s="640"/>
      <c r="M4070" s="638"/>
      <c r="N4070" s="641" t="s">
        <v>3928</v>
      </c>
      <c r="O4070" s="642">
        <v>6</v>
      </c>
      <c r="P4070" s="719">
        <f t="shared" si="45"/>
        <v>48000</v>
      </c>
    </row>
    <row r="4071" spans="1:16" s="619" customFormat="1" ht="36" x14ac:dyDescent="0.2">
      <c r="A4071" s="625" t="s">
        <v>7690</v>
      </c>
      <c r="B4071" s="626" t="s">
        <v>1908</v>
      </c>
      <c r="C4071" s="638" t="s">
        <v>7695</v>
      </c>
      <c r="D4071" s="649" t="s">
        <v>6092</v>
      </c>
      <c r="E4071" s="717">
        <v>2933.33</v>
      </c>
      <c r="F4071" s="626" t="s">
        <v>8510</v>
      </c>
      <c r="G4071" s="648" t="s">
        <v>8511</v>
      </c>
      <c r="H4071" s="649" t="s">
        <v>6092</v>
      </c>
      <c r="I4071" s="648" t="s">
        <v>1993</v>
      </c>
      <c r="J4071" s="626" t="s">
        <v>7713</v>
      </c>
      <c r="K4071" s="639"/>
      <c r="L4071" s="640"/>
      <c r="M4071" s="638"/>
      <c r="N4071" s="641" t="s">
        <v>3928</v>
      </c>
      <c r="O4071" s="642">
        <v>1</v>
      </c>
      <c r="P4071" s="719">
        <f t="shared" si="45"/>
        <v>2933.33</v>
      </c>
    </row>
    <row r="4072" spans="1:16" s="619" customFormat="1" ht="36" x14ac:dyDescent="0.2">
      <c r="A4072" s="625" t="s">
        <v>7690</v>
      </c>
      <c r="B4072" s="626" t="s">
        <v>1908</v>
      </c>
      <c r="C4072" s="638" t="s">
        <v>7695</v>
      </c>
      <c r="D4072" s="649" t="s">
        <v>7740</v>
      </c>
      <c r="E4072" s="717">
        <v>5000</v>
      </c>
      <c r="F4072" s="626" t="s">
        <v>8512</v>
      </c>
      <c r="G4072" s="648" t="s">
        <v>8513</v>
      </c>
      <c r="H4072" s="649" t="s">
        <v>7740</v>
      </c>
      <c r="I4072" s="648" t="s">
        <v>8398</v>
      </c>
      <c r="J4072" s="626" t="s">
        <v>7713</v>
      </c>
      <c r="K4072" s="639"/>
      <c r="L4072" s="640"/>
      <c r="M4072" s="638"/>
      <c r="N4072" s="641" t="s">
        <v>3928</v>
      </c>
      <c r="O4072" s="642">
        <v>2</v>
      </c>
      <c r="P4072" s="719">
        <f t="shared" si="45"/>
        <v>10000</v>
      </c>
    </row>
    <row r="4073" spans="1:16" s="619" customFormat="1" ht="36" x14ac:dyDescent="0.2">
      <c r="A4073" s="625" t="s">
        <v>7690</v>
      </c>
      <c r="B4073" s="626" t="s">
        <v>1908</v>
      </c>
      <c r="C4073" s="638" t="s">
        <v>7695</v>
      </c>
      <c r="D4073" s="649" t="s">
        <v>6299</v>
      </c>
      <c r="E4073" s="717">
        <v>1500</v>
      </c>
      <c r="F4073" s="626" t="s">
        <v>8514</v>
      </c>
      <c r="G4073" s="648" t="s">
        <v>8515</v>
      </c>
      <c r="H4073" s="649" t="s">
        <v>6299</v>
      </c>
      <c r="I4073" s="648" t="s">
        <v>8171</v>
      </c>
      <c r="J4073" s="626" t="s">
        <v>7713</v>
      </c>
      <c r="K4073" s="639"/>
      <c r="L4073" s="640"/>
      <c r="M4073" s="638"/>
      <c r="N4073" s="641" t="s">
        <v>3928</v>
      </c>
      <c r="O4073" s="642">
        <v>3</v>
      </c>
      <c r="P4073" s="719">
        <f t="shared" si="45"/>
        <v>4500</v>
      </c>
    </row>
    <row r="4074" spans="1:16" s="619" customFormat="1" ht="36" x14ac:dyDescent="0.2">
      <c r="A4074" s="625" t="s">
        <v>7690</v>
      </c>
      <c r="B4074" s="626" t="s">
        <v>1908</v>
      </c>
      <c r="C4074" s="638" t="s">
        <v>7695</v>
      </c>
      <c r="D4074" s="649" t="s">
        <v>2660</v>
      </c>
      <c r="E4074" s="717">
        <v>2000</v>
      </c>
      <c r="F4074" s="626" t="s">
        <v>8087</v>
      </c>
      <c r="G4074" s="648" t="s">
        <v>8088</v>
      </c>
      <c r="H4074" s="649" t="s">
        <v>2660</v>
      </c>
      <c r="I4074" s="648" t="s">
        <v>2660</v>
      </c>
      <c r="J4074" s="626" t="s">
        <v>7713</v>
      </c>
      <c r="K4074" s="639"/>
      <c r="L4074" s="640"/>
      <c r="M4074" s="638"/>
      <c r="N4074" s="641" t="s">
        <v>3928</v>
      </c>
      <c r="O4074" s="642">
        <v>6</v>
      </c>
      <c r="P4074" s="719">
        <f t="shared" si="45"/>
        <v>12000</v>
      </c>
    </row>
    <row r="4075" spans="1:16" s="619" customFormat="1" ht="36" x14ac:dyDescent="0.2">
      <c r="A4075" s="625" t="s">
        <v>7690</v>
      </c>
      <c r="B4075" s="626" t="s">
        <v>1908</v>
      </c>
      <c r="C4075" s="638" t="s">
        <v>7695</v>
      </c>
      <c r="D4075" s="649" t="s">
        <v>7740</v>
      </c>
      <c r="E4075" s="717">
        <v>4500</v>
      </c>
      <c r="F4075" s="626" t="s">
        <v>8089</v>
      </c>
      <c r="G4075" s="648" t="s">
        <v>8090</v>
      </c>
      <c r="H4075" s="649" t="s">
        <v>7740</v>
      </c>
      <c r="I4075" s="648" t="s">
        <v>8398</v>
      </c>
      <c r="J4075" s="626" t="s">
        <v>7713</v>
      </c>
      <c r="K4075" s="639"/>
      <c r="L4075" s="640"/>
      <c r="M4075" s="638"/>
      <c r="N4075" s="641" t="s">
        <v>3928</v>
      </c>
      <c r="O4075" s="642">
        <v>6</v>
      </c>
      <c r="P4075" s="719">
        <f t="shared" si="45"/>
        <v>27000</v>
      </c>
    </row>
    <row r="4076" spans="1:16" s="619" customFormat="1" ht="36" x14ac:dyDescent="0.2">
      <c r="A4076" s="625" t="s">
        <v>7690</v>
      </c>
      <c r="B4076" s="626" t="s">
        <v>1908</v>
      </c>
      <c r="C4076" s="638" t="s">
        <v>7695</v>
      </c>
      <c r="D4076" s="649" t="s">
        <v>7740</v>
      </c>
      <c r="E4076" s="717">
        <v>5000</v>
      </c>
      <c r="F4076" s="626" t="s">
        <v>8516</v>
      </c>
      <c r="G4076" s="648" t="s">
        <v>8517</v>
      </c>
      <c r="H4076" s="649" t="s">
        <v>7740</v>
      </c>
      <c r="I4076" s="648" t="s">
        <v>8398</v>
      </c>
      <c r="J4076" s="626" t="s">
        <v>7713</v>
      </c>
      <c r="K4076" s="639"/>
      <c r="L4076" s="640"/>
      <c r="M4076" s="638"/>
      <c r="N4076" s="641" t="s">
        <v>3928</v>
      </c>
      <c r="O4076" s="642">
        <v>5</v>
      </c>
      <c r="P4076" s="719">
        <f t="shared" si="45"/>
        <v>25000</v>
      </c>
    </row>
    <row r="4077" spans="1:16" s="619" customFormat="1" ht="36" x14ac:dyDescent="0.2">
      <c r="A4077" s="625" t="s">
        <v>7690</v>
      </c>
      <c r="B4077" s="626" t="s">
        <v>1908</v>
      </c>
      <c r="C4077" s="638" t="s">
        <v>7695</v>
      </c>
      <c r="D4077" s="649" t="s">
        <v>6182</v>
      </c>
      <c r="E4077" s="717">
        <v>8000</v>
      </c>
      <c r="F4077" s="626" t="s">
        <v>8518</v>
      </c>
      <c r="G4077" s="648" t="s">
        <v>8519</v>
      </c>
      <c r="H4077" s="649" t="s">
        <v>6182</v>
      </c>
      <c r="I4077" s="648" t="s">
        <v>6182</v>
      </c>
      <c r="J4077" s="626" t="s">
        <v>7713</v>
      </c>
      <c r="K4077" s="639"/>
      <c r="L4077" s="640"/>
      <c r="M4077" s="638"/>
      <c r="N4077" s="641" t="s">
        <v>3928</v>
      </c>
      <c r="O4077" s="642">
        <v>3</v>
      </c>
      <c r="P4077" s="719">
        <f t="shared" si="45"/>
        <v>24000</v>
      </c>
    </row>
    <row r="4078" spans="1:16" s="619" customFormat="1" ht="36" x14ac:dyDescent="0.2">
      <c r="A4078" s="625" t="s">
        <v>7690</v>
      </c>
      <c r="B4078" s="626" t="s">
        <v>1908</v>
      </c>
      <c r="C4078" s="638" t="s">
        <v>7695</v>
      </c>
      <c r="D4078" s="649" t="s">
        <v>7740</v>
      </c>
      <c r="E4078" s="717">
        <v>4500</v>
      </c>
      <c r="F4078" s="626" t="s">
        <v>8091</v>
      </c>
      <c r="G4078" s="648" t="s">
        <v>8092</v>
      </c>
      <c r="H4078" s="649" t="s">
        <v>7740</v>
      </c>
      <c r="I4078" s="648" t="s">
        <v>8398</v>
      </c>
      <c r="J4078" s="626" t="s">
        <v>7713</v>
      </c>
      <c r="K4078" s="639"/>
      <c r="L4078" s="640"/>
      <c r="M4078" s="638"/>
      <c r="N4078" s="641" t="s">
        <v>3928</v>
      </c>
      <c r="O4078" s="642">
        <v>6</v>
      </c>
      <c r="P4078" s="719">
        <f t="shared" si="45"/>
        <v>27000</v>
      </c>
    </row>
    <row r="4079" spans="1:16" s="619" customFormat="1" ht="24" x14ac:dyDescent="0.2">
      <c r="A4079" s="625" t="s">
        <v>7690</v>
      </c>
      <c r="B4079" s="626" t="s">
        <v>1908</v>
      </c>
      <c r="C4079" s="638" t="s">
        <v>7695</v>
      </c>
      <c r="D4079" s="649" t="s">
        <v>6876</v>
      </c>
      <c r="E4079" s="717">
        <v>1500</v>
      </c>
      <c r="F4079" s="626" t="s">
        <v>8093</v>
      </c>
      <c r="G4079" s="648" t="s">
        <v>8094</v>
      </c>
      <c r="H4079" s="649" t="s">
        <v>6876</v>
      </c>
      <c r="I4079" s="648" t="s">
        <v>1919</v>
      </c>
      <c r="J4079" s="626" t="s">
        <v>7698</v>
      </c>
      <c r="K4079" s="639"/>
      <c r="L4079" s="640"/>
      <c r="M4079" s="638"/>
      <c r="N4079" s="641" t="s">
        <v>3928</v>
      </c>
      <c r="O4079" s="642">
        <v>6</v>
      </c>
      <c r="P4079" s="719">
        <f t="shared" si="45"/>
        <v>9000</v>
      </c>
    </row>
    <row r="4080" spans="1:16" s="619" customFormat="1" ht="24" x14ac:dyDescent="0.2">
      <c r="A4080" s="625" t="s">
        <v>7690</v>
      </c>
      <c r="B4080" s="626" t="s">
        <v>1908</v>
      </c>
      <c r="C4080" s="638" t="s">
        <v>7695</v>
      </c>
      <c r="D4080" s="649" t="s">
        <v>2660</v>
      </c>
      <c r="E4080" s="717">
        <v>2000</v>
      </c>
      <c r="F4080" s="626" t="s">
        <v>8106</v>
      </c>
      <c r="G4080" s="648" t="s">
        <v>8107</v>
      </c>
      <c r="H4080" s="649" t="s">
        <v>2660</v>
      </c>
      <c r="I4080" s="648" t="s">
        <v>2660</v>
      </c>
      <c r="J4080" s="626" t="s">
        <v>7713</v>
      </c>
      <c r="K4080" s="639"/>
      <c r="L4080" s="640"/>
      <c r="M4080" s="638"/>
      <c r="N4080" s="641" t="s">
        <v>3928</v>
      </c>
      <c r="O4080" s="642">
        <v>6</v>
      </c>
      <c r="P4080" s="719">
        <f t="shared" ref="P4080:P4136" si="46">+E4080*O4080</f>
        <v>12000</v>
      </c>
    </row>
    <row r="4081" spans="1:16" s="619" customFormat="1" ht="48" x14ac:dyDescent="0.2">
      <c r="A4081" s="625" t="s">
        <v>7690</v>
      </c>
      <c r="B4081" s="626" t="s">
        <v>1908</v>
      </c>
      <c r="C4081" s="638" t="s">
        <v>7695</v>
      </c>
      <c r="D4081" s="649" t="s">
        <v>2660</v>
      </c>
      <c r="E4081" s="717">
        <v>1500</v>
      </c>
      <c r="F4081" s="626" t="s">
        <v>8520</v>
      </c>
      <c r="G4081" s="648" t="s">
        <v>8521</v>
      </c>
      <c r="H4081" s="649" t="s">
        <v>2660</v>
      </c>
      <c r="I4081" s="648" t="s">
        <v>2660</v>
      </c>
      <c r="J4081" s="626" t="s">
        <v>7713</v>
      </c>
      <c r="K4081" s="639"/>
      <c r="L4081" s="640"/>
      <c r="M4081" s="638"/>
      <c r="N4081" s="641" t="s">
        <v>3928</v>
      </c>
      <c r="O4081" s="642">
        <v>6</v>
      </c>
      <c r="P4081" s="719">
        <f t="shared" si="46"/>
        <v>9000</v>
      </c>
    </row>
    <row r="4082" spans="1:16" s="619" customFormat="1" ht="36" x14ac:dyDescent="0.2">
      <c r="A4082" s="625" t="s">
        <v>7690</v>
      </c>
      <c r="B4082" s="626" t="s">
        <v>1908</v>
      </c>
      <c r="C4082" s="638" t="s">
        <v>7695</v>
      </c>
      <c r="D4082" s="649" t="s">
        <v>7740</v>
      </c>
      <c r="E4082" s="717">
        <v>4000</v>
      </c>
      <c r="F4082" s="626" t="s">
        <v>8522</v>
      </c>
      <c r="G4082" s="648" t="s">
        <v>8523</v>
      </c>
      <c r="H4082" s="649" t="s">
        <v>7740</v>
      </c>
      <c r="I4082" s="648" t="s">
        <v>8398</v>
      </c>
      <c r="J4082" s="626" t="s">
        <v>7713</v>
      </c>
      <c r="K4082" s="639"/>
      <c r="L4082" s="640"/>
      <c r="M4082" s="638"/>
      <c r="N4082" s="641" t="s">
        <v>3928</v>
      </c>
      <c r="O4082" s="642">
        <v>4</v>
      </c>
      <c r="P4082" s="719">
        <f t="shared" si="46"/>
        <v>16000</v>
      </c>
    </row>
    <row r="4083" spans="1:16" s="619" customFormat="1" ht="24" x14ac:dyDescent="0.2">
      <c r="A4083" s="625" t="s">
        <v>7690</v>
      </c>
      <c r="B4083" s="626" t="s">
        <v>1908</v>
      </c>
      <c r="C4083" s="638" t="s">
        <v>7695</v>
      </c>
      <c r="D4083" s="649" t="s">
        <v>7626</v>
      </c>
      <c r="E4083" s="717">
        <v>1500</v>
      </c>
      <c r="F4083" s="626" t="s">
        <v>8524</v>
      </c>
      <c r="G4083" s="648" t="s">
        <v>8525</v>
      </c>
      <c r="H4083" s="649" t="s">
        <v>7626</v>
      </c>
      <c r="I4083" s="648" t="s">
        <v>7626</v>
      </c>
      <c r="J4083" s="626" t="s">
        <v>7713</v>
      </c>
      <c r="K4083" s="639"/>
      <c r="L4083" s="640"/>
      <c r="M4083" s="638"/>
      <c r="N4083" s="641" t="s">
        <v>3928</v>
      </c>
      <c r="O4083" s="642">
        <v>3</v>
      </c>
      <c r="P4083" s="719">
        <f t="shared" si="46"/>
        <v>4500</v>
      </c>
    </row>
    <row r="4084" spans="1:16" s="619" customFormat="1" ht="24" x14ac:dyDescent="0.2">
      <c r="A4084" s="625" t="s">
        <v>7690</v>
      </c>
      <c r="B4084" s="626" t="s">
        <v>1908</v>
      </c>
      <c r="C4084" s="638" t="s">
        <v>7695</v>
      </c>
      <c r="D4084" s="649" t="s">
        <v>7740</v>
      </c>
      <c r="E4084" s="717">
        <v>5000</v>
      </c>
      <c r="F4084" s="626" t="s">
        <v>8526</v>
      </c>
      <c r="G4084" s="648" t="s">
        <v>8527</v>
      </c>
      <c r="H4084" s="649" t="s">
        <v>7740</v>
      </c>
      <c r="I4084" s="648" t="s">
        <v>8398</v>
      </c>
      <c r="J4084" s="626" t="s">
        <v>7713</v>
      </c>
      <c r="K4084" s="639"/>
      <c r="L4084" s="640"/>
      <c r="M4084" s="638"/>
      <c r="N4084" s="641" t="s">
        <v>3928</v>
      </c>
      <c r="O4084" s="642">
        <v>5</v>
      </c>
      <c r="P4084" s="719">
        <f t="shared" si="46"/>
        <v>25000</v>
      </c>
    </row>
    <row r="4085" spans="1:16" s="619" customFormat="1" ht="24" x14ac:dyDescent="0.2">
      <c r="A4085" s="625" t="s">
        <v>7690</v>
      </c>
      <c r="B4085" s="626" t="s">
        <v>1908</v>
      </c>
      <c r="C4085" s="638" t="s">
        <v>7695</v>
      </c>
      <c r="D4085" s="649" t="s">
        <v>2660</v>
      </c>
      <c r="E4085" s="717">
        <v>1500</v>
      </c>
      <c r="F4085" s="626" t="s">
        <v>8134</v>
      </c>
      <c r="G4085" s="648" t="s">
        <v>8135</v>
      </c>
      <c r="H4085" s="649" t="s">
        <v>2660</v>
      </c>
      <c r="I4085" s="648" t="s">
        <v>2660</v>
      </c>
      <c r="J4085" s="626" t="s">
        <v>7713</v>
      </c>
      <c r="K4085" s="639"/>
      <c r="L4085" s="640"/>
      <c r="M4085" s="638"/>
      <c r="N4085" s="641" t="s">
        <v>3928</v>
      </c>
      <c r="O4085" s="642">
        <v>6</v>
      </c>
      <c r="P4085" s="719">
        <f t="shared" si="46"/>
        <v>9000</v>
      </c>
    </row>
    <row r="4086" spans="1:16" s="619" customFormat="1" ht="48" x14ac:dyDescent="0.2">
      <c r="A4086" s="625" t="s">
        <v>7690</v>
      </c>
      <c r="B4086" s="626" t="s">
        <v>1908</v>
      </c>
      <c r="C4086" s="638" t="s">
        <v>7695</v>
      </c>
      <c r="D4086" s="649" t="s">
        <v>6092</v>
      </c>
      <c r="E4086" s="717">
        <v>5000</v>
      </c>
      <c r="F4086" s="626" t="s">
        <v>8142</v>
      </c>
      <c r="G4086" s="648" t="s">
        <v>8143</v>
      </c>
      <c r="H4086" s="649" t="s">
        <v>6092</v>
      </c>
      <c r="I4086" s="648" t="s">
        <v>1993</v>
      </c>
      <c r="J4086" s="626" t="s">
        <v>7713</v>
      </c>
      <c r="K4086" s="639"/>
      <c r="L4086" s="640"/>
      <c r="M4086" s="638"/>
      <c r="N4086" s="641" t="s">
        <v>3928</v>
      </c>
      <c r="O4086" s="642">
        <v>6</v>
      </c>
      <c r="P4086" s="719">
        <f t="shared" si="46"/>
        <v>30000</v>
      </c>
    </row>
    <row r="4087" spans="1:16" s="619" customFormat="1" ht="24" x14ac:dyDescent="0.2">
      <c r="A4087" s="625" t="s">
        <v>7690</v>
      </c>
      <c r="B4087" s="626" t="s">
        <v>1908</v>
      </c>
      <c r="C4087" s="638" t="s">
        <v>7695</v>
      </c>
      <c r="D4087" s="649" t="s">
        <v>2660</v>
      </c>
      <c r="E4087" s="717">
        <v>1200</v>
      </c>
      <c r="F4087" s="626" t="s">
        <v>8528</v>
      </c>
      <c r="G4087" s="648" t="s">
        <v>8529</v>
      </c>
      <c r="H4087" s="649" t="s">
        <v>2660</v>
      </c>
      <c r="I4087" s="648" t="s">
        <v>2660</v>
      </c>
      <c r="J4087" s="626" t="s">
        <v>7713</v>
      </c>
      <c r="K4087" s="639"/>
      <c r="L4087" s="640"/>
      <c r="M4087" s="638"/>
      <c r="N4087" s="641" t="s">
        <v>3928</v>
      </c>
      <c r="O4087" s="642">
        <v>5</v>
      </c>
      <c r="P4087" s="719">
        <f t="shared" si="46"/>
        <v>6000</v>
      </c>
    </row>
    <row r="4088" spans="1:16" s="619" customFormat="1" ht="36" x14ac:dyDescent="0.2">
      <c r="A4088" s="625" t="s">
        <v>7690</v>
      </c>
      <c r="B4088" s="626" t="s">
        <v>1908</v>
      </c>
      <c r="C4088" s="638" t="s">
        <v>7695</v>
      </c>
      <c r="D4088" s="649" t="s">
        <v>6179</v>
      </c>
      <c r="E4088" s="717">
        <v>8000</v>
      </c>
      <c r="F4088" s="626" t="s">
        <v>8530</v>
      </c>
      <c r="G4088" s="648" t="s">
        <v>8531</v>
      </c>
      <c r="H4088" s="649" t="s">
        <v>6179</v>
      </c>
      <c r="I4088" s="648" t="s">
        <v>6182</v>
      </c>
      <c r="J4088" s="626" t="s">
        <v>7713</v>
      </c>
      <c r="K4088" s="639"/>
      <c r="L4088" s="640"/>
      <c r="M4088" s="638"/>
      <c r="N4088" s="641" t="s">
        <v>3928</v>
      </c>
      <c r="O4088" s="642">
        <v>6</v>
      </c>
      <c r="P4088" s="719">
        <f t="shared" si="46"/>
        <v>48000</v>
      </c>
    </row>
    <row r="4089" spans="1:16" s="619" customFormat="1" ht="36" x14ac:dyDescent="0.2">
      <c r="A4089" s="625" t="s">
        <v>7690</v>
      </c>
      <c r="B4089" s="626" t="s">
        <v>1908</v>
      </c>
      <c r="C4089" s="638" t="s">
        <v>7695</v>
      </c>
      <c r="D4089" s="649" t="s">
        <v>6182</v>
      </c>
      <c r="E4089" s="717">
        <v>13000</v>
      </c>
      <c r="F4089" s="626" t="s">
        <v>8150</v>
      </c>
      <c r="G4089" s="648" t="s">
        <v>8151</v>
      </c>
      <c r="H4089" s="649" t="s">
        <v>6182</v>
      </c>
      <c r="I4089" s="648" t="s">
        <v>6182</v>
      </c>
      <c r="J4089" s="626" t="s">
        <v>7713</v>
      </c>
      <c r="K4089" s="639"/>
      <c r="L4089" s="640"/>
      <c r="M4089" s="638"/>
      <c r="N4089" s="641" t="s">
        <v>3928</v>
      </c>
      <c r="O4089" s="642">
        <v>6</v>
      </c>
      <c r="P4089" s="719">
        <f t="shared" si="46"/>
        <v>78000</v>
      </c>
    </row>
    <row r="4090" spans="1:16" s="619" customFormat="1" ht="24" x14ac:dyDescent="0.2">
      <c r="A4090" s="625" t="s">
        <v>7690</v>
      </c>
      <c r="B4090" s="626" t="s">
        <v>1908</v>
      </c>
      <c r="C4090" s="638" t="s">
        <v>7695</v>
      </c>
      <c r="D4090" s="649" t="s">
        <v>6158</v>
      </c>
      <c r="E4090" s="717">
        <v>2000</v>
      </c>
      <c r="F4090" s="626" t="s">
        <v>8158</v>
      </c>
      <c r="G4090" s="648" t="s">
        <v>8159</v>
      </c>
      <c r="H4090" s="649" t="s">
        <v>6158</v>
      </c>
      <c r="I4090" s="648" t="s">
        <v>1919</v>
      </c>
      <c r="J4090" s="626" t="s">
        <v>7698</v>
      </c>
      <c r="K4090" s="639"/>
      <c r="L4090" s="640"/>
      <c r="M4090" s="638"/>
      <c r="N4090" s="641" t="s">
        <v>3928</v>
      </c>
      <c r="O4090" s="642">
        <v>6</v>
      </c>
      <c r="P4090" s="719">
        <f t="shared" si="46"/>
        <v>12000</v>
      </c>
    </row>
    <row r="4091" spans="1:16" s="619" customFormat="1" ht="36" x14ac:dyDescent="0.2">
      <c r="A4091" s="625" t="s">
        <v>7690</v>
      </c>
      <c r="B4091" s="626" t="s">
        <v>1908</v>
      </c>
      <c r="C4091" s="638" t="s">
        <v>7695</v>
      </c>
      <c r="D4091" s="649" t="s">
        <v>7740</v>
      </c>
      <c r="E4091" s="717">
        <v>4000</v>
      </c>
      <c r="F4091" s="626" t="s">
        <v>8532</v>
      </c>
      <c r="G4091" s="648" t="s">
        <v>8533</v>
      </c>
      <c r="H4091" s="649" t="s">
        <v>7740</v>
      </c>
      <c r="I4091" s="648" t="s">
        <v>8398</v>
      </c>
      <c r="J4091" s="626" t="s">
        <v>7713</v>
      </c>
      <c r="K4091" s="639"/>
      <c r="L4091" s="640"/>
      <c r="M4091" s="638"/>
      <c r="N4091" s="641" t="s">
        <v>3928</v>
      </c>
      <c r="O4091" s="642">
        <v>5</v>
      </c>
      <c r="P4091" s="719">
        <f t="shared" si="46"/>
        <v>20000</v>
      </c>
    </row>
    <row r="4092" spans="1:16" s="619" customFormat="1" ht="36" x14ac:dyDescent="0.2">
      <c r="A4092" s="625" t="s">
        <v>7690</v>
      </c>
      <c r="B4092" s="626" t="s">
        <v>1908</v>
      </c>
      <c r="C4092" s="638" t="s">
        <v>7695</v>
      </c>
      <c r="D4092" s="649" t="s">
        <v>6149</v>
      </c>
      <c r="E4092" s="717">
        <v>4000</v>
      </c>
      <c r="F4092" s="626" t="s">
        <v>8534</v>
      </c>
      <c r="G4092" s="648" t="s">
        <v>8535</v>
      </c>
      <c r="H4092" s="649" t="s">
        <v>6149</v>
      </c>
      <c r="I4092" s="648" t="s">
        <v>8399</v>
      </c>
      <c r="J4092" s="626" t="s">
        <v>7713</v>
      </c>
      <c r="K4092" s="639"/>
      <c r="L4092" s="640"/>
      <c r="M4092" s="638"/>
      <c r="N4092" s="641" t="s">
        <v>3928</v>
      </c>
      <c r="O4092" s="642">
        <v>3</v>
      </c>
      <c r="P4092" s="719">
        <f t="shared" si="46"/>
        <v>12000</v>
      </c>
    </row>
    <row r="4093" spans="1:16" s="619" customFormat="1" ht="36" x14ac:dyDescent="0.2">
      <c r="A4093" s="625" t="s">
        <v>7690</v>
      </c>
      <c r="B4093" s="626" t="s">
        <v>1908</v>
      </c>
      <c r="C4093" s="638" t="s">
        <v>7695</v>
      </c>
      <c r="D4093" s="649" t="s">
        <v>6092</v>
      </c>
      <c r="E4093" s="717">
        <v>5000</v>
      </c>
      <c r="F4093" s="626" t="s">
        <v>8536</v>
      </c>
      <c r="G4093" s="648" t="s">
        <v>8537</v>
      </c>
      <c r="H4093" s="649" t="s">
        <v>6092</v>
      </c>
      <c r="I4093" s="648" t="s">
        <v>1993</v>
      </c>
      <c r="J4093" s="626" t="s">
        <v>7713</v>
      </c>
      <c r="K4093" s="639"/>
      <c r="L4093" s="640"/>
      <c r="M4093" s="638"/>
      <c r="N4093" s="641" t="s">
        <v>3928</v>
      </c>
      <c r="O4093" s="642">
        <v>6</v>
      </c>
      <c r="P4093" s="719">
        <f t="shared" si="46"/>
        <v>30000</v>
      </c>
    </row>
    <row r="4094" spans="1:16" s="619" customFormat="1" ht="36" x14ac:dyDescent="0.2">
      <c r="A4094" s="625" t="s">
        <v>7690</v>
      </c>
      <c r="B4094" s="626" t="s">
        <v>1908</v>
      </c>
      <c r="C4094" s="638" t="s">
        <v>7695</v>
      </c>
      <c r="D4094" s="649" t="s">
        <v>6876</v>
      </c>
      <c r="E4094" s="717">
        <v>1500</v>
      </c>
      <c r="F4094" s="626" t="s">
        <v>8160</v>
      </c>
      <c r="G4094" s="648" t="s">
        <v>8161</v>
      </c>
      <c r="H4094" s="649" t="s">
        <v>6876</v>
      </c>
      <c r="I4094" s="648" t="s">
        <v>1919</v>
      </c>
      <c r="J4094" s="626" t="s">
        <v>7698</v>
      </c>
      <c r="K4094" s="639"/>
      <c r="L4094" s="640"/>
      <c r="M4094" s="638"/>
      <c r="N4094" s="641" t="s">
        <v>3928</v>
      </c>
      <c r="O4094" s="642">
        <v>6</v>
      </c>
      <c r="P4094" s="719">
        <f t="shared" si="46"/>
        <v>9000</v>
      </c>
    </row>
    <row r="4095" spans="1:16" s="619" customFormat="1" ht="48" x14ac:dyDescent="0.2">
      <c r="A4095" s="625" t="s">
        <v>7690</v>
      </c>
      <c r="B4095" s="626" t="s">
        <v>1908</v>
      </c>
      <c r="C4095" s="638" t="s">
        <v>7695</v>
      </c>
      <c r="D4095" s="649" t="s">
        <v>2660</v>
      </c>
      <c r="E4095" s="717">
        <v>1100</v>
      </c>
      <c r="F4095" s="626" t="s">
        <v>8538</v>
      </c>
      <c r="G4095" s="648" t="s">
        <v>8539</v>
      </c>
      <c r="H4095" s="649" t="s">
        <v>2660</v>
      </c>
      <c r="I4095" s="648" t="s">
        <v>2660</v>
      </c>
      <c r="J4095" s="626" t="s">
        <v>7713</v>
      </c>
      <c r="K4095" s="639"/>
      <c r="L4095" s="640"/>
      <c r="M4095" s="638"/>
      <c r="N4095" s="641" t="s">
        <v>3928</v>
      </c>
      <c r="O4095" s="642">
        <v>3</v>
      </c>
      <c r="P4095" s="719">
        <f t="shared" si="46"/>
        <v>3300</v>
      </c>
    </row>
    <row r="4096" spans="1:16" s="619" customFormat="1" ht="36" x14ac:dyDescent="0.2">
      <c r="A4096" s="625" t="s">
        <v>7690</v>
      </c>
      <c r="B4096" s="626" t="s">
        <v>1908</v>
      </c>
      <c r="C4096" s="638" t="s">
        <v>7695</v>
      </c>
      <c r="D4096" s="649" t="s">
        <v>6299</v>
      </c>
      <c r="E4096" s="717">
        <v>1226.67</v>
      </c>
      <c r="F4096" s="626" t="s">
        <v>8540</v>
      </c>
      <c r="G4096" s="648" t="s">
        <v>8541</v>
      </c>
      <c r="H4096" s="649" t="s">
        <v>6299</v>
      </c>
      <c r="I4096" s="648" t="s">
        <v>8171</v>
      </c>
      <c r="J4096" s="626" t="s">
        <v>7713</v>
      </c>
      <c r="K4096" s="639"/>
      <c r="L4096" s="640"/>
      <c r="M4096" s="638"/>
      <c r="N4096" s="641" t="s">
        <v>3928</v>
      </c>
      <c r="O4096" s="642">
        <v>1</v>
      </c>
      <c r="P4096" s="719">
        <f t="shared" si="46"/>
        <v>1226.67</v>
      </c>
    </row>
    <row r="4097" spans="1:16" s="619" customFormat="1" ht="48" x14ac:dyDescent="0.2">
      <c r="A4097" s="625" t="s">
        <v>7690</v>
      </c>
      <c r="B4097" s="626" t="s">
        <v>1908</v>
      </c>
      <c r="C4097" s="638" t="s">
        <v>7695</v>
      </c>
      <c r="D4097" s="649" t="s">
        <v>2660</v>
      </c>
      <c r="E4097" s="717">
        <v>1500</v>
      </c>
      <c r="F4097" s="626" t="s">
        <v>8542</v>
      </c>
      <c r="G4097" s="648" t="s">
        <v>8543</v>
      </c>
      <c r="H4097" s="649" t="s">
        <v>2660</v>
      </c>
      <c r="I4097" s="648" t="s">
        <v>2660</v>
      </c>
      <c r="J4097" s="626" t="s">
        <v>7713</v>
      </c>
      <c r="K4097" s="639"/>
      <c r="L4097" s="640"/>
      <c r="M4097" s="638"/>
      <c r="N4097" s="641" t="s">
        <v>3928</v>
      </c>
      <c r="O4097" s="642">
        <v>4</v>
      </c>
      <c r="P4097" s="719">
        <f t="shared" si="46"/>
        <v>6000</v>
      </c>
    </row>
    <row r="4098" spans="1:16" s="619" customFormat="1" ht="36" x14ac:dyDescent="0.2">
      <c r="A4098" s="625" t="s">
        <v>7690</v>
      </c>
      <c r="B4098" s="626" t="s">
        <v>1908</v>
      </c>
      <c r="C4098" s="638" t="s">
        <v>7695</v>
      </c>
      <c r="D4098" s="649" t="s">
        <v>6092</v>
      </c>
      <c r="E4098" s="717">
        <v>5000</v>
      </c>
      <c r="F4098" s="626" t="s">
        <v>8172</v>
      </c>
      <c r="G4098" s="648" t="s">
        <v>8173</v>
      </c>
      <c r="H4098" s="649" t="s">
        <v>6092</v>
      </c>
      <c r="I4098" s="648" t="s">
        <v>1993</v>
      </c>
      <c r="J4098" s="626" t="s">
        <v>7713</v>
      </c>
      <c r="K4098" s="639"/>
      <c r="L4098" s="640"/>
      <c r="M4098" s="638"/>
      <c r="N4098" s="641" t="s">
        <v>3928</v>
      </c>
      <c r="O4098" s="642">
        <v>6</v>
      </c>
      <c r="P4098" s="719">
        <f t="shared" si="46"/>
        <v>30000</v>
      </c>
    </row>
    <row r="4099" spans="1:16" s="619" customFormat="1" ht="24" x14ac:dyDescent="0.2">
      <c r="A4099" s="625" t="s">
        <v>7690</v>
      </c>
      <c r="B4099" s="626" t="s">
        <v>1908</v>
      </c>
      <c r="C4099" s="638" t="s">
        <v>7695</v>
      </c>
      <c r="D4099" s="649" t="s">
        <v>6092</v>
      </c>
      <c r="E4099" s="717">
        <v>4000</v>
      </c>
      <c r="F4099" s="626" t="s">
        <v>8174</v>
      </c>
      <c r="G4099" s="648" t="s">
        <v>8175</v>
      </c>
      <c r="H4099" s="649" t="s">
        <v>6092</v>
      </c>
      <c r="I4099" s="648" t="s">
        <v>1993</v>
      </c>
      <c r="J4099" s="626" t="s">
        <v>7713</v>
      </c>
      <c r="K4099" s="639"/>
      <c r="L4099" s="640"/>
      <c r="M4099" s="638"/>
      <c r="N4099" s="641" t="s">
        <v>3928</v>
      </c>
      <c r="O4099" s="642">
        <v>6</v>
      </c>
      <c r="P4099" s="719">
        <f t="shared" si="46"/>
        <v>24000</v>
      </c>
    </row>
    <row r="4100" spans="1:16" s="619" customFormat="1" ht="24" x14ac:dyDescent="0.2">
      <c r="A4100" s="625" t="s">
        <v>7690</v>
      </c>
      <c r="B4100" s="626" t="s">
        <v>1908</v>
      </c>
      <c r="C4100" s="638" t="s">
        <v>7695</v>
      </c>
      <c r="D4100" s="649" t="s">
        <v>2660</v>
      </c>
      <c r="E4100" s="717">
        <v>1200</v>
      </c>
      <c r="F4100" s="626" t="s">
        <v>8544</v>
      </c>
      <c r="G4100" s="648" t="s">
        <v>8545</v>
      </c>
      <c r="H4100" s="649" t="s">
        <v>2660</v>
      </c>
      <c r="I4100" s="648" t="s">
        <v>2660</v>
      </c>
      <c r="J4100" s="626" t="s">
        <v>7713</v>
      </c>
      <c r="K4100" s="639"/>
      <c r="L4100" s="640"/>
      <c r="M4100" s="638"/>
      <c r="N4100" s="641" t="s">
        <v>3928</v>
      </c>
      <c r="O4100" s="642">
        <v>2</v>
      </c>
      <c r="P4100" s="719">
        <f t="shared" si="46"/>
        <v>2400</v>
      </c>
    </row>
    <row r="4101" spans="1:16" s="619" customFormat="1" ht="48" x14ac:dyDescent="0.2">
      <c r="A4101" s="625" t="s">
        <v>7690</v>
      </c>
      <c r="B4101" s="626" t="s">
        <v>1908</v>
      </c>
      <c r="C4101" s="638" t="s">
        <v>7695</v>
      </c>
      <c r="D4101" s="649" t="s">
        <v>6092</v>
      </c>
      <c r="E4101" s="717">
        <v>5500</v>
      </c>
      <c r="F4101" s="626" t="s">
        <v>8546</v>
      </c>
      <c r="G4101" s="648" t="s">
        <v>8547</v>
      </c>
      <c r="H4101" s="649" t="s">
        <v>6092</v>
      </c>
      <c r="I4101" s="648" t="s">
        <v>1993</v>
      </c>
      <c r="J4101" s="626" t="s">
        <v>7713</v>
      </c>
      <c r="K4101" s="639"/>
      <c r="L4101" s="640"/>
      <c r="M4101" s="638"/>
      <c r="N4101" s="641" t="s">
        <v>3928</v>
      </c>
      <c r="O4101" s="642">
        <v>6</v>
      </c>
      <c r="P4101" s="719">
        <f t="shared" si="46"/>
        <v>33000</v>
      </c>
    </row>
    <row r="4102" spans="1:16" s="619" customFormat="1" ht="36" x14ac:dyDescent="0.2">
      <c r="A4102" s="625" t="s">
        <v>7690</v>
      </c>
      <c r="B4102" s="626" t="s">
        <v>1908</v>
      </c>
      <c r="C4102" s="638" t="s">
        <v>7695</v>
      </c>
      <c r="D4102" s="649" t="s">
        <v>7626</v>
      </c>
      <c r="E4102" s="717">
        <v>1400</v>
      </c>
      <c r="F4102" s="626" t="s">
        <v>8180</v>
      </c>
      <c r="G4102" s="648" t="s">
        <v>8181</v>
      </c>
      <c r="H4102" s="649" t="s">
        <v>7626</v>
      </c>
      <c r="I4102" s="648" t="s">
        <v>7626</v>
      </c>
      <c r="J4102" s="626" t="s">
        <v>7713</v>
      </c>
      <c r="K4102" s="639"/>
      <c r="L4102" s="640"/>
      <c r="M4102" s="638"/>
      <c r="N4102" s="641" t="s">
        <v>3928</v>
      </c>
      <c r="O4102" s="642">
        <v>6</v>
      </c>
      <c r="P4102" s="719">
        <f t="shared" si="46"/>
        <v>8400</v>
      </c>
    </row>
    <row r="4103" spans="1:16" s="619" customFormat="1" ht="36" x14ac:dyDescent="0.2">
      <c r="A4103" s="625" t="s">
        <v>7690</v>
      </c>
      <c r="B4103" s="626" t="s">
        <v>1908</v>
      </c>
      <c r="C4103" s="638" t="s">
        <v>7695</v>
      </c>
      <c r="D4103" s="649" t="s">
        <v>7740</v>
      </c>
      <c r="E4103" s="717">
        <v>5500</v>
      </c>
      <c r="F4103" s="626" t="s">
        <v>8196</v>
      </c>
      <c r="G4103" s="648" t="s">
        <v>8197</v>
      </c>
      <c r="H4103" s="649" t="s">
        <v>7740</v>
      </c>
      <c r="I4103" s="648" t="s">
        <v>8398</v>
      </c>
      <c r="J4103" s="626" t="s">
        <v>7713</v>
      </c>
      <c r="K4103" s="639"/>
      <c r="L4103" s="640"/>
      <c r="M4103" s="638"/>
      <c r="N4103" s="641" t="s">
        <v>3928</v>
      </c>
      <c r="O4103" s="642">
        <v>6</v>
      </c>
      <c r="P4103" s="719">
        <f t="shared" si="46"/>
        <v>33000</v>
      </c>
    </row>
    <row r="4104" spans="1:16" s="619" customFormat="1" ht="48" x14ac:dyDescent="0.2">
      <c r="A4104" s="625" t="s">
        <v>7690</v>
      </c>
      <c r="B4104" s="626" t="s">
        <v>1908</v>
      </c>
      <c r="C4104" s="638" t="s">
        <v>7695</v>
      </c>
      <c r="D4104" s="649" t="s">
        <v>6182</v>
      </c>
      <c r="E4104" s="717">
        <v>8000</v>
      </c>
      <c r="F4104" s="626" t="s">
        <v>8200</v>
      </c>
      <c r="G4104" s="648" t="s">
        <v>8201</v>
      </c>
      <c r="H4104" s="649" t="s">
        <v>6182</v>
      </c>
      <c r="I4104" s="648" t="s">
        <v>6182</v>
      </c>
      <c r="J4104" s="626" t="s">
        <v>7713</v>
      </c>
      <c r="K4104" s="639"/>
      <c r="L4104" s="640"/>
      <c r="M4104" s="638"/>
      <c r="N4104" s="641" t="s">
        <v>3928</v>
      </c>
      <c r="O4104" s="642">
        <v>1</v>
      </c>
      <c r="P4104" s="719">
        <f t="shared" si="46"/>
        <v>8000</v>
      </c>
    </row>
    <row r="4105" spans="1:16" s="619" customFormat="1" ht="24" x14ac:dyDescent="0.2">
      <c r="A4105" s="625" t="s">
        <v>7690</v>
      </c>
      <c r="B4105" s="626" t="s">
        <v>1908</v>
      </c>
      <c r="C4105" s="638" t="s">
        <v>7695</v>
      </c>
      <c r="D4105" s="649" t="s">
        <v>7740</v>
      </c>
      <c r="E4105" s="717">
        <v>4000</v>
      </c>
      <c r="F4105" s="626" t="s">
        <v>8210</v>
      </c>
      <c r="G4105" s="648" t="s">
        <v>8211</v>
      </c>
      <c r="H4105" s="649" t="s">
        <v>7740</v>
      </c>
      <c r="I4105" s="648" t="s">
        <v>8398</v>
      </c>
      <c r="J4105" s="626" t="s">
        <v>7713</v>
      </c>
      <c r="K4105" s="639"/>
      <c r="L4105" s="640"/>
      <c r="M4105" s="638"/>
      <c r="N4105" s="641" t="s">
        <v>3928</v>
      </c>
      <c r="O4105" s="642">
        <v>6</v>
      </c>
      <c r="P4105" s="719">
        <f t="shared" si="46"/>
        <v>24000</v>
      </c>
    </row>
    <row r="4106" spans="1:16" s="619" customFormat="1" ht="36" x14ac:dyDescent="0.2">
      <c r="A4106" s="625" t="s">
        <v>7690</v>
      </c>
      <c r="B4106" s="626" t="s">
        <v>1908</v>
      </c>
      <c r="C4106" s="638" t="s">
        <v>7695</v>
      </c>
      <c r="D4106" s="649" t="s">
        <v>6227</v>
      </c>
      <c r="E4106" s="717">
        <v>4000</v>
      </c>
      <c r="F4106" s="626" t="s">
        <v>6512</v>
      </c>
      <c r="G4106" s="648" t="s">
        <v>6513</v>
      </c>
      <c r="H4106" s="649" t="s">
        <v>6227</v>
      </c>
      <c r="I4106" s="648" t="s">
        <v>1988</v>
      </c>
      <c r="J4106" s="626" t="s">
        <v>7713</v>
      </c>
      <c r="K4106" s="639"/>
      <c r="L4106" s="640"/>
      <c r="M4106" s="638"/>
      <c r="N4106" s="641" t="s">
        <v>3928</v>
      </c>
      <c r="O4106" s="642">
        <v>3</v>
      </c>
      <c r="P4106" s="719">
        <f t="shared" si="46"/>
        <v>12000</v>
      </c>
    </row>
    <row r="4107" spans="1:16" s="619" customFormat="1" ht="24" x14ac:dyDescent="0.2">
      <c r="A4107" s="625" t="s">
        <v>7690</v>
      </c>
      <c r="B4107" s="626" t="s">
        <v>1908</v>
      </c>
      <c r="C4107" s="638" t="s">
        <v>7695</v>
      </c>
      <c r="D4107" s="649" t="s">
        <v>6092</v>
      </c>
      <c r="E4107" s="717">
        <v>4000</v>
      </c>
      <c r="F4107" s="626" t="s">
        <v>8548</v>
      </c>
      <c r="G4107" s="648" t="s">
        <v>8549</v>
      </c>
      <c r="H4107" s="649" t="s">
        <v>6092</v>
      </c>
      <c r="I4107" s="648" t="s">
        <v>1993</v>
      </c>
      <c r="J4107" s="626" t="s">
        <v>7713</v>
      </c>
      <c r="K4107" s="639"/>
      <c r="L4107" s="640"/>
      <c r="M4107" s="638"/>
      <c r="N4107" s="641" t="s">
        <v>3928</v>
      </c>
      <c r="O4107" s="642">
        <v>1</v>
      </c>
      <c r="P4107" s="719">
        <f t="shared" si="46"/>
        <v>4000</v>
      </c>
    </row>
    <row r="4108" spans="1:16" s="619" customFormat="1" ht="36" x14ac:dyDescent="0.2">
      <c r="A4108" s="625" t="s">
        <v>7690</v>
      </c>
      <c r="B4108" s="626" t="s">
        <v>1908</v>
      </c>
      <c r="C4108" s="638" t="s">
        <v>7695</v>
      </c>
      <c r="D4108" s="649" t="s">
        <v>6876</v>
      </c>
      <c r="E4108" s="717">
        <v>1500</v>
      </c>
      <c r="F4108" s="626" t="s">
        <v>8229</v>
      </c>
      <c r="G4108" s="648" t="s">
        <v>8230</v>
      </c>
      <c r="H4108" s="649" t="s">
        <v>6876</v>
      </c>
      <c r="I4108" s="648" t="s">
        <v>1919</v>
      </c>
      <c r="J4108" s="626" t="s">
        <v>7698</v>
      </c>
      <c r="K4108" s="639"/>
      <c r="L4108" s="640"/>
      <c r="M4108" s="638"/>
      <c r="N4108" s="641" t="s">
        <v>3928</v>
      </c>
      <c r="O4108" s="642">
        <v>6</v>
      </c>
      <c r="P4108" s="719">
        <f t="shared" si="46"/>
        <v>9000</v>
      </c>
    </row>
    <row r="4109" spans="1:16" s="619" customFormat="1" ht="48" x14ac:dyDescent="0.2">
      <c r="A4109" s="625" t="s">
        <v>7690</v>
      </c>
      <c r="B4109" s="626" t="s">
        <v>1908</v>
      </c>
      <c r="C4109" s="638" t="s">
        <v>7695</v>
      </c>
      <c r="D4109" s="649" t="s">
        <v>6149</v>
      </c>
      <c r="E4109" s="717">
        <v>3300</v>
      </c>
      <c r="F4109" s="626" t="s">
        <v>8550</v>
      </c>
      <c r="G4109" s="648" t="s">
        <v>8551</v>
      </c>
      <c r="H4109" s="649" t="s">
        <v>6149</v>
      </c>
      <c r="I4109" s="648" t="s">
        <v>8399</v>
      </c>
      <c r="J4109" s="626" t="s">
        <v>7713</v>
      </c>
      <c r="K4109" s="639"/>
      <c r="L4109" s="640"/>
      <c r="M4109" s="638"/>
      <c r="N4109" s="641" t="s">
        <v>3928</v>
      </c>
      <c r="O4109" s="642">
        <v>5</v>
      </c>
      <c r="P4109" s="719">
        <f t="shared" si="46"/>
        <v>16500</v>
      </c>
    </row>
    <row r="4110" spans="1:16" s="619" customFormat="1" ht="24" x14ac:dyDescent="0.2">
      <c r="A4110" s="625" t="s">
        <v>7690</v>
      </c>
      <c r="B4110" s="626" t="s">
        <v>1908</v>
      </c>
      <c r="C4110" s="638" t="s">
        <v>7695</v>
      </c>
      <c r="D4110" s="649" t="s">
        <v>6026</v>
      </c>
      <c r="E4110" s="717">
        <v>1500</v>
      </c>
      <c r="F4110" s="626" t="s">
        <v>8552</v>
      </c>
      <c r="G4110" s="648" t="s">
        <v>8553</v>
      </c>
      <c r="H4110" s="649" t="s">
        <v>6026</v>
      </c>
      <c r="I4110" s="648" t="s">
        <v>1919</v>
      </c>
      <c r="J4110" s="626" t="s">
        <v>7698</v>
      </c>
      <c r="K4110" s="639"/>
      <c r="L4110" s="640"/>
      <c r="M4110" s="638"/>
      <c r="N4110" s="641" t="s">
        <v>3928</v>
      </c>
      <c r="O4110" s="642">
        <v>1</v>
      </c>
      <c r="P4110" s="719">
        <f t="shared" si="46"/>
        <v>1500</v>
      </c>
    </row>
    <row r="4111" spans="1:16" s="619" customFormat="1" ht="36" x14ac:dyDescent="0.2">
      <c r="A4111" s="625" t="s">
        <v>7690</v>
      </c>
      <c r="B4111" s="626" t="s">
        <v>1908</v>
      </c>
      <c r="C4111" s="638" t="s">
        <v>7695</v>
      </c>
      <c r="D4111" s="649" t="s">
        <v>6149</v>
      </c>
      <c r="E4111" s="717">
        <v>2800</v>
      </c>
      <c r="F4111" s="626" t="s">
        <v>8241</v>
      </c>
      <c r="G4111" s="648" t="s">
        <v>8242</v>
      </c>
      <c r="H4111" s="649" t="s">
        <v>6149</v>
      </c>
      <c r="I4111" s="648" t="s">
        <v>8399</v>
      </c>
      <c r="J4111" s="626" t="s">
        <v>7713</v>
      </c>
      <c r="K4111" s="639"/>
      <c r="L4111" s="640"/>
      <c r="M4111" s="638"/>
      <c r="N4111" s="641" t="s">
        <v>3928</v>
      </c>
      <c r="O4111" s="642">
        <v>4</v>
      </c>
      <c r="P4111" s="719">
        <f t="shared" si="46"/>
        <v>11200</v>
      </c>
    </row>
    <row r="4112" spans="1:16" s="619" customFormat="1" ht="24" x14ac:dyDescent="0.2">
      <c r="A4112" s="625" t="s">
        <v>7690</v>
      </c>
      <c r="B4112" s="626" t="s">
        <v>1908</v>
      </c>
      <c r="C4112" s="638" t="s">
        <v>7695</v>
      </c>
      <c r="D4112" s="649" t="s">
        <v>2660</v>
      </c>
      <c r="E4112" s="717">
        <v>1440</v>
      </c>
      <c r="F4112" s="626" t="s">
        <v>8250</v>
      </c>
      <c r="G4112" s="648" t="s">
        <v>8251</v>
      </c>
      <c r="H4112" s="649" t="s">
        <v>2660</v>
      </c>
      <c r="I4112" s="648" t="s">
        <v>2660</v>
      </c>
      <c r="J4112" s="626" t="s">
        <v>7713</v>
      </c>
      <c r="K4112" s="639"/>
      <c r="L4112" s="640"/>
      <c r="M4112" s="638"/>
      <c r="N4112" s="641" t="s">
        <v>3928</v>
      </c>
      <c r="O4112" s="642">
        <v>1</v>
      </c>
      <c r="P4112" s="719">
        <f t="shared" si="46"/>
        <v>1440</v>
      </c>
    </row>
    <row r="4113" spans="1:16" s="619" customFormat="1" ht="24" x14ac:dyDescent="0.2">
      <c r="A4113" s="625" t="s">
        <v>7690</v>
      </c>
      <c r="B4113" s="626" t="s">
        <v>1908</v>
      </c>
      <c r="C4113" s="638" t="s">
        <v>7695</v>
      </c>
      <c r="D4113" s="649" t="s">
        <v>6101</v>
      </c>
      <c r="E4113" s="717">
        <v>5000</v>
      </c>
      <c r="F4113" s="626" t="s">
        <v>8254</v>
      </c>
      <c r="G4113" s="648" t="s">
        <v>8255</v>
      </c>
      <c r="H4113" s="649" t="s">
        <v>6101</v>
      </c>
      <c r="I4113" s="648" t="s">
        <v>6101</v>
      </c>
      <c r="J4113" s="626" t="s">
        <v>7713</v>
      </c>
      <c r="K4113" s="639"/>
      <c r="L4113" s="640"/>
      <c r="M4113" s="638"/>
      <c r="N4113" s="641" t="s">
        <v>3928</v>
      </c>
      <c r="O4113" s="642">
        <v>6</v>
      </c>
      <c r="P4113" s="719">
        <f t="shared" si="46"/>
        <v>30000</v>
      </c>
    </row>
    <row r="4114" spans="1:16" s="619" customFormat="1" ht="24" x14ac:dyDescent="0.2">
      <c r="A4114" s="625" t="s">
        <v>7690</v>
      </c>
      <c r="B4114" s="626" t="s">
        <v>1908</v>
      </c>
      <c r="C4114" s="638" t="s">
        <v>7695</v>
      </c>
      <c r="D4114" s="649" t="s">
        <v>6876</v>
      </c>
      <c r="E4114" s="717">
        <v>1500</v>
      </c>
      <c r="F4114" s="626" t="s">
        <v>7007</v>
      </c>
      <c r="G4114" s="648" t="s">
        <v>7008</v>
      </c>
      <c r="H4114" s="649" t="s">
        <v>6876</v>
      </c>
      <c r="I4114" s="648" t="s">
        <v>1919</v>
      </c>
      <c r="J4114" s="626" t="s">
        <v>7698</v>
      </c>
      <c r="K4114" s="639"/>
      <c r="L4114" s="640"/>
      <c r="M4114" s="638"/>
      <c r="N4114" s="641" t="s">
        <v>3928</v>
      </c>
      <c r="O4114" s="642">
        <v>6</v>
      </c>
      <c r="P4114" s="719">
        <f t="shared" si="46"/>
        <v>9000</v>
      </c>
    </row>
    <row r="4115" spans="1:16" s="619" customFormat="1" ht="36" x14ac:dyDescent="0.2">
      <c r="A4115" s="625" t="s">
        <v>7690</v>
      </c>
      <c r="B4115" s="626" t="s">
        <v>1908</v>
      </c>
      <c r="C4115" s="638" t="s">
        <v>7695</v>
      </c>
      <c r="D4115" s="649" t="s">
        <v>6149</v>
      </c>
      <c r="E4115" s="717">
        <v>4500</v>
      </c>
      <c r="F4115" s="626" t="s">
        <v>8260</v>
      </c>
      <c r="G4115" s="648" t="s">
        <v>8261</v>
      </c>
      <c r="H4115" s="649" t="s">
        <v>6149</v>
      </c>
      <c r="I4115" s="648" t="s">
        <v>8399</v>
      </c>
      <c r="J4115" s="626" t="s">
        <v>7713</v>
      </c>
      <c r="K4115" s="639"/>
      <c r="L4115" s="640"/>
      <c r="M4115" s="638"/>
      <c r="N4115" s="641" t="s">
        <v>3928</v>
      </c>
      <c r="O4115" s="642">
        <v>6</v>
      </c>
      <c r="P4115" s="719">
        <f t="shared" si="46"/>
        <v>27000</v>
      </c>
    </row>
    <row r="4116" spans="1:16" s="619" customFormat="1" ht="24" x14ac:dyDescent="0.2">
      <c r="A4116" s="625" t="s">
        <v>7690</v>
      </c>
      <c r="B4116" s="626" t="s">
        <v>1908</v>
      </c>
      <c r="C4116" s="638" t="s">
        <v>7695</v>
      </c>
      <c r="D4116" s="649" t="s">
        <v>6227</v>
      </c>
      <c r="E4116" s="717">
        <v>4000</v>
      </c>
      <c r="F4116" s="626" t="s">
        <v>8264</v>
      </c>
      <c r="G4116" s="648" t="s">
        <v>8265</v>
      </c>
      <c r="H4116" s="649" t="s">
        <v>6227</v>
      </c>
      <c r="I4116" s="648" t="s">
        <v>1988</v>
      </c>
      <c r="J4116" s="626" t="s">
        <v>7713</v>
      </c>
      <c r="K4116" s="639"/>
      <c r="L4116" s="640"/>
      <c r="M4116" s="638"/>
      <c r="N4116" s="641" t="s">
        <v>3928</v>
      </c>
      <c r="O4116" s="642">
        <v>6</v>
      </c>
      <c r="P4116" s="719">
        <f t="shared" si="46"/>
        <v>24000</v>
      </c>
    </row>
    <row r="4117" spans="1:16" s="619" customFormat="1" ht="48" x14ac:dyDescent="0.2">
      <c r="A4117" s="625" t="s">
        <v>7690</v>
      </c>
      <c r="B4117" s="626" t="s">
        <v>1908</v>
      </c>
      <c r="C4117" s="638" t="s">
        <v>7695</v>
      </c>
      <c r="D4117" s="649" t="s">
        <v>6092</v>
      </c>
      <c r="E4117" s="717">
        <v>4800</v>
      </c>
      <c r="F4117" s="626" t="s">
        <v>8268</v>
      </c>
      <c r="G4117" s="648" t="s">
        <v>8269</v>
      </c>
      <c r="H4117" s="649" t="s">
        <v>6092</v>
      </c>
      <c r="I4117" s="648" t="s">
        <v>1993</v>
      </c>
      <c r="J4117" s="626" t="s">
        <v>7713</v>
      </c>
      <c r="K4117" s="639"/>
      <c r="L4117" s="640"/>
      <c r="M4117" s="638"/>
      <c r="N4117" s="641" t="s">
        <v>3928</v>
      </c>
      <c r="O4117" s="642">
        <v>6</v>
      </c>
      <c r="P4117" s="719">
        <f t="shared" si="46"/>
        <v>28800</v>
      </c>
    </row>
    <row r="4118" spans="1:16" s="619" customFormat="1" ht="24" x14ac:dyDescent="0.2">
      <c r="A4118" s="625" t="s">
        <v>7690</v>
      </c>
      <c r="B4118" s="626" t="s">
        <v>1908</v>
      </c>
      <c r="C4118" s="638" t="s">
        <v>7695</v>
      </c>
      <c r="D4118" s="649" t="s">
        <v>2660</v>
      </c>
      <c r="E4118" s="717">
        <v>1200</v>
      </c>
      <c r="F4118" s="626" t="s">
        <v>8554</v>
      </c>
      <c r="G4118" s="648" t="s">
        <v>8555</v>
      </c>
      <c r="H4118" s="649" t="s">
        <v>2660</v>
      </c>
      <c r="I4118" s="648" t="s">
        <v>2660</v>
      </c>
      <c r="J4118" s="626" t="s">
        <v>7713</v>
      </c>
      <c r="K4118" s="639"/>
      <c r="L4118" s="640"/>
      <c r="M4118" s="638"/>
      <c r="N4118" s="641" t="s">
        <v>3928</v>
      </c>
      <c r="O4118" s="642">
        <v>5</v>
      </c>
      <c r="P4118" s="719">
        <f t="shared" si="46"/>
        <v>6000</v>
      </c>
    </row>
    <row r="4119" spans="1:16" s="619" customFormat="1" ht="36" x14ac:dyDescent="0.2">
      <c r="A4119" s="625" t="s">
        <v>7690</v>
      </c>
      <c r="B4119" s="626" t="s">
        <v>1908</v>
      </c>
      <c r="C4119" s="638" t="s">
        <v>7695</v>
      </c>
      <c r="D4119" s="649" t="s">
        <v>2660</v>
      </c>
      <c r="E4119" s="717">
        <v>1600</v>
      </c>
      <c r="F4119" s="626" t="s">
        <v>8278</v>
      </c>
      <c r="G4119" s="648" t="s">
        <v>8279</v>
      </c>
      <c r="H4119" s="649" t="s">
        <v>2660</v>
      </c>
      <c r="I4119" s="648" t="s">
        <v>2660</v>
      </c>
      <c r="J4119" s="626" t="s">
        <v>7713</v>
      </c>
      <c r="K4119" s="639"/>
      <c r="L4119" s="640"/>
      <c r="M4119" s="638"/>
      <c r="N4119" s="641" t="s">
        <v>3928</v>
      </c>
      <c r="O4119" s="642">
        <v>6</v>
      </c>
      <c r="P4119" s="719">
        <f t="shared" si="46"/>
        <v>9600</v>
      </c>
    </row>
    <row r="4120" spans="1:16" s="619" customFormat="1" ht="48" x14ac:dyDescent="0.2">
      <c r="A4120" s="625" t="s">
        <v>7690</v>
      </c>
      <c r="B4120" s="626" t="s">
        <v>1908</v>
      </c>
      <c r="C4120" s="638" t="s">
        <v>7695</v>
      </c>
      <c r="D4120" s="649" t="s">
        <v>6548</v>
      </c>
      <c r="E4120" s="717">
        <v>3500</v>
      </c>
      <c r="F4120" s="626" t="s">
        <v>8556</v>
      </c>
      <c r="G4120" s="648" t="s">
        <v>8557</v>
      </c>
      <c r="H4120" s="649" t="s">
        <v>6548</v>
      </c>
      <c r="I4120" s="648" t="s">
        <v>2660</v>
      </c>
      <c r="J4120" s="626" t="s">
        <v>7713</v>
      </c>
      <c r="K4120" s="639"/>
      <c r="L4120" s="640"/>
      <c r="M4120" s="638"/>
      <c r="N4120" s="641" t="s">
        <v>3928</v>
      </c>
      <c r="O4120" s="642">
        <v>2</v>
      </c>
      <c r="P4120" s="719">
        <f t="shared" si="46"/>
        <v>7000</v>
      </c>
    </row>
    <row r="4121" spans="1:16" s="619" customFormat="1" ht="24" x14ac:dyDescent="0.2">
      <c r="A4121" s="625" t="s">
        <v>7690</v>
      </c>
      <c r="B4121" s="626" t="s">
        <v>1908</v>
      </c>
      <c r="C4121" s="638" t="s">
        <v>7695</v>
      </c>
      <c r="D4121" s="649" t="s">
        <v>6092</v>
      </c>
      <c r="E4121" s="717">
        <v>5500</v>
      </c>
      <c r="F4121" s="626" t="s">
        <v>8282</v>
      </c>
      <c r="G4121" s="648" t="s">
        <v>8283</v>
      </c>
      <c r="H4121" s="649" t="s">
        <v>6092</v>
      </c>
      <c r="I4121" s="648" t="s">
        <v>1993</v>
      </c>
      <c r="J4121" s="626" t="s">
        <v>7713</v>
      </c>
      <c r="K4121" s="639"/>
      <c r="L4121" s="640"/>
      <c r="M4121" s="638"/>
      <c r="N4121" s="641" t="s">
        <v>3928</v>
      </c>
      <c r="O4121" s="642">
        <v>6</v>
      </c>
      <c r="P4121" s="719">
        <f t="shared" si="46"/>
        <v>33000</v>
      </c>
    </row>
    <row r="4122" spans="1:16" s="619" customFormat="1" ht="36" x14ac:dyDescent="0.2">
      <c r="A4122" s="625" t="s">
        <v>7690</v>
      </c>
      <c r="B4122" s="626" t="s">
        <v>1908</v>
      </c>
      <c r="C4122" s="638" t="s">
        <v>7695</v>
      </c>
      <c r="D4122" s="649" t="s">
        <v>2660</v>
      </c>
      <c r="E4122" s="717">
        <v>1500</v>
      </c>
      <c r="F4122" s="626" t="s">
        <v>8288</v>
      </c>
      <c r="G4122" s="648" t="s">
        <v>8289</v>
      </c>
      <c r="H4122" s="649" t="s">
        <v>2660</v>
      </c>
      <c r="I4122" s="648" t="s">
        <v>2660</v>
      </c>
      <c r="J4122" s="626" t="s">
        <v>7713</v>
      </c>
      <c r="K4122" s="639"/>
      <c r="L4122" s="640"/>
      <c r="M4122" s="638"/>
      <c r="N4122" s="641" t="s">
        <v>3928</v>
      </c>
      <c r="O4122" s="642">
        <v>2</v>
      </c>
      <c r="P4122" s="719">
        <f t="shared" si="46"/>
        <v>3000</v>
      </c>
    </row>
    <row r="4123" spans="1:16" s="619" customFormat="1" ht="24" x14ac:dyDescent="0.2">
      <c r="A4123" s="625" t="s">
        <v>7690</v>
      </c>
      <c r="B4123" s="626" t="s">
        <v>1908</v>
      </c>
      <c r="C4123" s="638" t="s">
        <v>7695</v>
      </c>
      <c r="D4123" s="649" t="s">
        <v>6092</v>
      </c>
      <c r="E4123" s="717">
        <v>5000</v>
      </c>
      <c r="F4123" s="626" t="s">
        <v>8292</v>
      </c>
      <c r="G4123" s="648" t="s">
        <v>8293</v>
      </c>
      <c r="H4123" s="649" t="s">
        <v>6092</v>
      </c>
      <c r="I4123" s="648" t="s">
        <v>1993</v>
      </c>
      <c r="J4123" s="626" t="s">
        <v>7713</v>
      </c>
      <c r="K4123" s="639"/>
      <c r="L4123" s="640"/>
      <c r="M4123" s="638"/>
      <c r="N4123" s="641" t="s">
        <v>3928</v>
      </c>
      <c r="O4123" s="642">
        <v>6</v>
      </c>
      <c r="P4123" s="719">
        <f t="shared" si="46"/>
        <v>30000</v>
      </c>
    </row>
    <row r="4124" spans="1:16" s="619" customFormat="1" ht="36" x14ac:dyDescent="0.2">
      <c r="A4124" s="625" t="s">
        <v>7690</v>
      </c>
      <c r="B4124" s="626" t="s">
        <v>1908</v>
      </c>
      <c r="C4124" s="638" t="s">
        <v>7695</v>
      </c>
      <c r="D4124" s="649" t="s">
        <v>6092</v>
      </c>
      <c r="E4124" s="717">
        <v>5000</v>
      </c>
      <c r="F4124" s="626" t="s">
        <v>8296</v>
      </c>
      <c r="G4124" s="648" t="s">
        <v>8297</v>
      </c>
      <c r="H4124" s="649" t="s">
        <v>6092</v>
      </c>
      <c r="I4124" s="648" t="s">
        <v>1993</v>
      </c>
      <c r="J4124" s="626" t="s">
        <v>7713</v>
      </c>
      <c r="K4124" s="639"/>
      <c r="L4124" s="640"/>
      <c r="M4124" s="638"/>
      <c r="N4124" s="641" t="s">
        <v>3928</v>
      </c>
      <c r="O4124" s="642">
        <v>6</v>
      </c>
      <c r="P4124" s="719">
        <f t="shared" si="46"/>
        <v>30000</v>
      </c>
    </row>
    <row r="4125" spans="1:16" s="619" customFormat="1" ht="24" x14ac:dyDescent="0.2">
      <c r="A4125" s="625" t="s">
        <v>7690</v>
      </c>
      <c r="B4125" s="626" t="s">
        <v>1908</v>
      </c>
      <c r="C4125" s="638" t="s">
        <v>7695</v>
      </c>
      <c r="D4125" s="649" t="s">
        <v>2660</v>
      </c>
      <c r="E4125" s="717">
        <v>1500</v>
      </c>
      <c r="F4125" s="626" t="s">
        <v>8558</v>
      </c>
      <c r="G4125" s="648" t="s">
        <v>8559</v>
      </c>
      <c r="H4125" s="649" t="s">
        <v>2660</v>
      </c>
      <c r="I4125" s="648" t="s">
        <v>2660</v>
      </c>
      <c r="J4125" s="626" t="s">
        <v>7713</v>
      </c>
      <c r="K4125" s="639"/>
      <c r="L4125" s="640"/>
      <c r="M4125" s="638"/>
      <c r="N4125" s="641" t="s">
        <v>3928</v>
      </c>
      <c r="O4125" s="642">
        <v>4</v>
      </c>
      <c r="P4125" s="719">
        <f t="shared" si="46"/>
        <v>6000</v>
      </c>
    </row>
    <row r="4126" spans="1:16" s="619" customFormat="1" ht="36" x14ac:dyDescent="0.2">
      <c r="A4126" s="625" t="s">
        <v>7690</v>
      </c>
      <c r="B4126" s="626" t="s">
        <v>1908</v>
      </c>
      <c r="C4126" s="638" t="s">
        <v>7695</v>
      </c>
      <c r="D4126" s="649" t="s">
        <v>2660</v>
      </c>
      <c r="E4126" s="717">
        <v>1500</v>
      </c>
      <c r="F4126" s="626" t="s">
        <v>8298</v>
      </c>
      <c r="G4126" s="648" t="s">
        <v>8299</v>
      </c>
      <c r="H4126" s="649" t="s">
        <v>2660</v>
      </c>
      <c r="I4126" s="648" t="s">
        <v>2660</v>
      </c>
      <c r="J4126" s="626" t="s">
        <v>7713</v>
      </c>
      <c r="K4126" s="639"/>
      <c r="L4126" s="640"/>
      <c r="M4126" s="638"/>
      <c r="N4126" s="641" t="s">
        <v>3928</v>
      </c>
      <c r="O4126" s="642">
        <v>6</v>
      </c>
      <c r="P4126" s="719">
        <f t="shared" si="46"/>
        <v>9000</v>
      </c>
    </row>
    <row r="4127" spans="1:16" s="619" customFormat="1" ht="36" x14ac:dyDescent="0.2">
      <c r="A4127" s="625" t="s">
        <v>7690</v>
      </c>
      <c r="B4127" s="626" t="s">
        <v>1908</v>
      </c>
      <c r="C4127" s="638" t="s">
        <v>7695</v>
      </c>
      <c r="D4127" s="649" t="s">
        <v>6182</v>
      </c>
      <c r="E4127" s="717">
        <v>8000</v>
      </c>
      <c r="F4127" s="626" t="s">
        <v>8560</v>
      </c>
      <c r="G4127" s="648" t="s">
        <v>8561</v>
      </c>
      <c r="H4127" s="649" t="s">
        <v>6182</v>
      </c>
      <c r="I4127" s="648" t="s">
        <v>6182</v>
      </c>
      <c r="J4127" s="626" t="s">
        <v>7713</v>
      </c>
      <c r="K4127" s="639"/>
      <c r="L4127" s="640"/>
      <c r="M4127" s="638"/>
      <c r="N4127" s="641" t="s">
        <v>3928</v>
      </c>
      <c r="O4127" s="642">
        <v>3</v>
      </c>
      <c r="P4127" s="719">
        <f t="shared" si="46"/>
        <v>24000</v>
      </c>
    </row>
    <row r="4128" spans="1:16" s="619" customFormat="1" ht="24" x14ac:dyDescent="0.2">
      <c r="A4128" s="625" t="s">
        <v>7690</v>
      </c>
      <c r="B4128" s="626" t="s">
        <v>1908</v>
      </c>
      <c r="C4128" s="638" t="s">
        <v>7695</v>
      </c>
      <c r="D4128" s="649" t="s">
        <v>2660</v>
      </c>
      <c r="E4128" s="717">
        <v>1500</v>
      </c>
      <c r="F4128" s="626" t="s">
        <v>8302</v>
      </c>
      <c r="G4128" s="648" t="s">
        <v>8303</v>
      </c>
      <c r="H4128" s="649" t="s">
        <v>2660</v>
      </c>
      <c r="I4128" s="648" t="s">
        <v>2660</v>
      </c>
      <c r="J4128" s="626" t="s">
        <v>7713</v>
      </c>
      <c r="K4128" s="639"/>
      <c r="L4128" s="640"/>
      <c r="M4128" s="638"/>
      <c r="N4128" s="641" t="s">
        <v>3928</v>
      </c>
      <c r="O4128" s="642">
        <v>6</v>
      </c>
      <c r="P4128" s="719">
        <f t="shared" si="46"/>
        <v>9000</v>
      </c>
    </row>
    <row r="4129" spans="1:16" s="619" customFormat="1" ht="36" x14ac:dyDescent="0.2">
      <c r="A4129" s="625" t="s">
        <v>7690</v>
      </c>
      <c r="B4129" s="626" t="s">
        <v>1908</v>
      </c>
      <c r="C4129" s="638" t="s">
        <v>7695</v>
      </c>
      <c r="D4129" s="649" t="s">
        <v>6092</v>
      </c>
      <c r="E4129" s="717">
        <v>1600</v>
      </c>
      <c r="F4129" s="626" t="s">
        <v>8562</v>
      </c>
      <c r="G4129" s="648" t="s">
        <v>8563</v>
      </c>
      <c r="H4129" s="649" t="s">
        <v>6092</v>
      </c>
      <c r="I4129" s="648" t="s">
        <v>1993</v>
      </c>
      <c r="J4129" s="626" t="s">
        <v>7713</v>
      </c>
      <c r="K4129" s="639"/>
      <c r="L4129" s="640"/>
      <c r="M4129" s="638"/>
      <c r="N4129" s="641" t="s">
        <v>3928</v>
      </c>
      <c r="O4129" s="642">
        <v>1</v>
      </c>
      <c r="P4129" s="719">
        <f t="shared" si="46"/>
        <v>1600</v>
      </c>
    </row>
    <row r="4130" spans="1:16" s="619" customFormat="1" ht="24" x14ac:dyDescent="0.2">
      <c r="A4130" s="625" t="s">
        <v>7690</v>
      </c>
      <c r="B4130" s="626" t="s">
        <v>1908</v>
      </c>
      <c r="C4130" s="638" t="s">
        <v>7695</v>
      </c>
      <c r="D4130" s="649" t="s">
        <v>6092</v>
      </c>
      <c r="E4130" s="717">
        <v>4000</v>
      </c>
      <c r="F4130" s="626" t="s">
        <v>8314</v>
      </c>
      <c r="G4130" s="648" t="s">
        <v>8315</v>
      </c>
      <c r="H4130" s="649" t="s">
        <v>6092</v>
      </c>
      <c r="I4130" s="648" t="s">
        <v>1993</v>
      </c>
      <c r="J4130" s="626" t="s">
        <v>7713</v>
      </c>
      <c r="K4130" s="639"/>
      <c r="L4130" s="640"/>
      <c r="M4130" s="638"/>
      <c r="N4130" s="641" t="s">
        <v>3928</v>
      </c>
      <c r="O4130" s="642">
        <v>6</v>
      </c>
      <c r="P4130" s="719">
        <f t="shared" si="46"/>
        <v>24000</v>
      </c>
    </row>
    <row r="4131" spans="1:16" s="619" customFormat="1" ht="36" x14ac:dyDescent="0.2">
      <c r="A4131" s="625" t="s">
        <v>7690</v>
      </c>
      <c r="B4131" s="626" t="s">
        <v>1908</v>
      </c>
      <c r="C4131" s="638" t="s">
        <v>7695</v>
      </c>
      <c r="D4131" s="649" t="s">
        <v>7740</v>
      </c>
      <c r="E4131" s="717">
        <v>4000</v>
      </c>
      <c r="F4131" s="626" t="s">
        <v>8328</v>
      </c>
      <c r="G4131" s="648" t="s">
        <v>8329</v>
      </c>
      <c r="H4131" s="649" t="s">
        <v>7740</v>
      </c>
      <c r="I4131" s="648" t="s">
        <v>8398</v>
      </c>
      <c r="J4131" s="626" t="s">
        <v>7713</v>
      </c>
      <c r="K4131" s="639"/>
      <c r="L4131" s="640"/>
      <c r="M4131" s="638"/>
      <c r="N4131" s="641" t="s">
        <v>3928</v>
      </c>
      <c r="O4131" s="642">
        <v>6</v>
      </c>
      <c r="P4131" s="719">
        <f t="shared" si="46"/>
        <v>24000</v>
      </c>
    </row>
    <row r="4132" spans="1:16" s="619" customFormat="1" ht="36" x14ac:dyDescent="0.2">
      <c r="A4132" s="625" t="s">
        <v>7690</v>
      </c>
      <c r="B4132" s="626" t="s">
        <v>1908</v>
      </c>
      <c r="C4132" s="638" t="s">
        <v>7695</v>
      </c>
      <c r="D4132" s="649" t="s">
        <v>6179</v>
      </c>
      <c r="E4132" s="717">
        <v>8000</v>
      </c>
      <c r="F4132" s="626" t="s">
        <v>8348</v>
      </c>
      <c r="G4132" s="648" t="s">
        <v>8349</v>
      </c>
      <c r="H4132" s="649" t="s">
        <v>6179</v>
      </c>
      <c r="I4132" s="648" t="s">
        <v>6182</v>
      </c>
      <c r="J4132" s="626" t="s">
        <v>7713</v>
      </c>
      <c r="K4132" s="639"/>
      <c r="L4132" s="640"/>
      <c r="M4132" s="638"/>
      <c r="N4132" s="641" t="s">
        <v>3928</v>
      </c>
      <c r="O4132" s="642">
        <v>6</v>
      </c>
      <c r="P4132" s="719">
        <f t="shared" si="46"/>
        <v>48000</v>
      </c>
    </row>
    <row r="4133" spans="1:16" s="619" customFormat="1" ht="24" x14ac:dyDescent="0.2">
      <c r="A4133" s="625" t="s">
        <v>7690</v>
      </c>
      <c r="B4133" s="626" t="s">
        <v>1908</v>
      </c>
      <c r="C4133" s="638" t="s">
        <v>7695</v>
      </c>
      <c r="D4133" s="649" t="s">
        <v>6092</v>
      </c>
      <c r="E4133" s="717">
        <v>2666.67</v>
      </c>
      <c r="F4133" s="626" t="s">
        <v>8564</v>
      </c>
      <c r="G4133" s="648" t="s">
        <v>8565</v>
      </c>
      <c r="H4133" s="649" t="s">
        <v>6092</v>
      </c>
      <c r="I4133" s="648" t="s">
        <v>1993</v>
      </c>
      <c r="J4133" s="626" t="s">
        <v>7713</v>
      </c>
      <c r="K4133" s="639"/>
      <c r="L4133" s="640"/>
      <c r="M4133" s="638"/>
      <c r="N4133" s="641" t="s">
        <v>3928</v>
      </c>
      <c r="O4133" s="642">
        <v>1</v>
      </c>
      <c r="P4133" s="719">
        <f t="shared" si="46"/>
        <v>2666.67</v>
      </c>
    </row>
    <row r="4134" spans="1:16" s="619" customFormat="1" ht="24" x14ac:dyDescent="0.2">
      <c r="A4134" s="625" t="s">
        <v>7690</v>
      </c>
      <c r="B4134" s="626" t="s">
        <v>1908</v>
      </c>
      <c r="C4134" s="638" t="s">
        <v>7695</v>
      </c>
      <c r="D4134" s="649" t="s">
        <v>2660</v>
      </c>
      <c r="E4134" s="717">
        <v>1500</v>
      </c>
      <c r="F4134" s="626" t="s">
        <v>8358</v>
      </c>
      <c r="G4134" s="648" t="s">
        <v>8359</v>
      </c>
      <c r="H4134" s="649" t="s">
        <v>2660</v>
      </c>
      <c r="I4134" s="648" t="s">
        <v>2660</v>
      </c>
      <c r="J4134" s="626" t="s">
        <v>7713</v>
      </c>
      <c r="K4134" s="639"/>
      <c r="L4134" s="640"/>
      <c r="M4134" s="638"/>
      <c r="N4134" s="641" t="s">
        <v>3928</v>
      </c>
      <c r="O4134" s="642">
        <v>6</v>
      </c>
      <c r="P4134" s="719">
        <f t="shared" si="46"/>
        <v>9000</v>
      </c>
    </row>
    <row r="4135" spans="1:16" s="619" customFormat="1" ht="24" x14ac:dyDescent="0.2">
      <c r="A4135" s="625" t="s">
        <v>7690</v>
      </c>
      <c r="B4135" s="626" t="s">
        <v>1908</v>
      </c>
      <c r="C4135" s="638" t="s">
        <v>7695</v>
      </c>
      <c r="D4135" s="649" t="s">
        <v>2660</v>
      </c>
      <c r="E4135" s="717">
        <v>1500</v>
      </c>
      <c r="F4135" s="626" t="s">
        <v>8368</v>
      </c>
      <c r="G4135" s="648" t="s">
        <v>8369</v>
      </c>
      <c r="H4135" s="649" t="s">
        <v>2660</v>
      </c>
      <c r="I4135" s="648" t="s">
        <v>2660</v>
      </c>
      <c r="J4135" s="626" t="s">
        <v>7713</v>
      </c>
      <c r="K4135" s="639"/>
      <c r="L4135" s="640"/>
      <c r="M4135" s="638"/>
      <c r="N4135" s="641" t="s">
        <v>3928</v>
      </c>
      <c r="O4135" s="642">
        <v>6</v>
      </c>
      <c r="P4135" s="719">
        <f t="shared" si="46"/>
        <v>9000</v>
      </c>
    </row>
    <row r="4136" spans="1:16" s="619" customFormat="1" ht="24" x14ac:dyDescent="0.2">
      <c r="A4136" s="625" t="s">
        <v>7690</v>
      </c>
      <c r="B4136" s="626" t="s">
        <v>1908</v>
      </c>
      <c r="C4136" s="638" t="s">
        <v>7695</v>
      </c>
      <c r="D4136" s="649" t="s">
        <v>2660</v>
      </c>
      <c r="E4136" s="717">
        <v>1500</v>
      </c>
      <c r="F4136" s="626" t="s">
        <v>8566</v>
      </c>
      <c r="G4136" s="648" t="s">
        <v>8567</v>
      </c>
      <c r="H4136" s="649" t="s">
        <v>2660</v>
      </c>
      <c r="I4136" s="648" t="s">
        <v>2660</v>
      </c>
      <c r="J4136" s="626" t="s">
        <v>7713</v>
      </c>
      <c r="K4136" s="639"/>
      <c r="L4136" s="640"/>
      <c r="M4136" s="638"/>
      <c r="N4136" s="641" t="s">
        <v>3928</v>
      </c>
      <c r="O4136" s="642">
        <v>4</v>
      </c>
      <c r="P4136" s="719">
        <f t="shared" si="46"/>
        <v>6000</v>
      </c>
    </row>
    <row r="4137" spans="1:16" s="619" customFormat="1" ht="24" x14ac:dyDescent="0.2">
      <c r="A4137" s="625" t="s">
        <v>7690</v>
      </c>
      <c r="B4137" s="692" t="s">
        <v>1908</v>
      </c>
      <c r="C4137" s="638" t="s">
        <v>8568</v>
      </c>
      <c r="D4137" s="692" t="s">
        <v>8569</v>
      </c>
      <c r="E4137" s="717">
        <f>M4137/L4137</f>
        <v>1500</v>
      </c>
      <c r="F4137" s="626">
        <v>43950809</v>
      </c>
      <c r="G4137" s="720" t="s">
        <v>8570</v>
      </c>
      <c r="H4137" s="649" t="s">
        <v>5780</v>
      </c>
      <c r="I4137" s="648" t="s">
        <v>8571</v>
      </c>
      <c r="J4137" s="626" t="s">
        <v>8572</v>
      </c>
      <c r="K4137" s="721" t="s">
        <v>26</v>
      </c>
      <c r="L4137" s="722">
        <v>3</v>
      </c>
      <c r="M4137" s="717">
        <v>4500</v>
      </c>
      <c r="N4137" s="654"/>
      <c r="O4137" s="653"/>
      <c r="P4137" s="654"/>
    </row>
    <row r="4138" spans="1:16" s="619" customFormat="1" ht="36" x14ac:dyDescent="0.2">
      <c r="A4138" s="625" t="s">
        <v>7690</v>
      </c>
      <c r="B4138" s="692" t="s">
        <v>1908</v>
      </c>
      <c r="C4138" s="638" t="s">
        <v>8568</v>
      </c>
      <c r="D4138" s="692" t="s">
        <v>8569</v>
      </c>
      <c r="E4138" s="717">
        <f t="shared" ref="E4138:E4184" si="47">M4138/L4138</f>
        <v>1500</v>
      </c>
      <c r="F4138" s="626">
        <v>40865986</v>
      </c>
      <c r="G4138" s="720" t="s">
        <v>8573</v>
      </c>
      <c r="H4138" s="649" t="s">
        <v>5780</v>
      </c>
      <c r="I4138" s="648" t="s">
        <v>8571</v>
      </c>
      <c r="J4138" s="626" t="s">
        <v>8572</v>
      </c>
      <c r="K4138" s="721" t="s">
        <v>26</v>
      </c>
      <c r="L4138" s="722">
        <v>3</v>
      </c>
      <c r="M4138" s="717">
        <v>4500</v>
      </c>
      <c r="N4138" s="654"/>
      <c r="O4138" s="653"/>
      <c r="P4138" s="654"/>
    </row>
    <row r="4139" spans="1:16" s="619" customFormat="1" ht="36" x14ac:dyDescent="0.2">
      <c r="A4139" s="625" t="s">
        <v>7690</v>
      </c>
      <c r="B4139" s="692" t="s">
        <v>1908</v>
      </c>
      <c r="C4139" s="638" t="s">
        <v>8568</v>
      </c>
      <c r="D4139" s="692" t="s">
        <v>8569</v>
      </c>
      <c r="E4139" s="717">
        <f t="shared" si="47"/>
        <v>1500</v>
      </c>
      <c r="F4139" s="626">
        <v>76321538</v>
      </c>
      <c r="G4139" s="720" t="s">
        <v>8574</v>
      </c>
      <c r="H4139" s="649" t="s">
        <v>5780</v>
      </c>
      <c r="I4139" s="648" t="s">
        <v>8571</v>
      </c>
      <c r="J4139" s="626" t="s">
        <v>8572</v>
      </c>
      <c r="K4139" s="721" t="s">
        <v>25</v>
      </c>
      <c r="L4139" s="722">
        <v>2</v>
      </c>
      <c r="M4139" s="717">
        <v>3000</v>
      </c>
      <c r="N4139" s="654"/>
      <c r="O4139" s="653"/>
      <c r="P4139" s="654"/>
    </row>
    <row r="4140" spans="1:16" s="619" customFormat="1" ht="24" x14ac:dyDescent="0.2">
      <c r="A4140" s="625" t="s">
        <v>7690</v>
      </c>
      <c r="B4140" s="692" t="s">
        <v>1908</v>
      </c>
      <c r="C4140" s="638" t="s">
        <v>8568</v>
      </c>
      <c r="D4140" s="692" t="s">
        <v>8569</v>
      </c>
      <c r="E4140" s="717">
        <f t="shared" si="47"/>
        <v>1500</v>
      </c>
      <c r="F4140" s="626">
        <v>40833675</v>
      </c>
      <c r="G4140" s="720" t="s">
        <v>8575</v>
      </c>
      <c r="H4140" s="649" t="s">
        <v>5780</v>
      </c>
      <c r="I4140" s="648" t="s">
        <v>8571</v>
      </c>
      <c r="J4140" s="626" t="s">
        <v>8572</v>
      </c>
      <c r="K4140" s="721" t="s">
        <v>26</v>
      </c>
      <c r="L4140" s="722">
        <v>3</v>
      </c>
      <c r="M4140" s="717">
        <v>4500</v>
      </c>
      <c r="N4140" s="654"/>
      <c r="O4140" s="653"/>
      <c r="P4140" s="654"/>
    </row>
    <row r="4141" spans="1:16" s="619" customFormat="1" ht="24" x14ac:dyDescent="0.2">
      <c r="A4141" s="625" t="s">
        <v>7690</v>
      </c>
      <c r="B4141" s="692" t="s">
        <v>1908</v>
      </c>
      <c r="C4141" s="638" t="s">
        <v>8568</v>
      </c>
      <c r="D4141" s="692" t="s">
        <v>8569</v>
      </c>
      <c r="E4141" s="717">
        <f t="shared" si="47"/>
        <v>1500</v>
      </c>
      <c r="F4141" s="626">
        <v>74949850</v>
      </c>
      <c r="G4141" s="720" t="s">
        <v>8576</v>
      </c>
      <c r="H4141" s="649" t="s">
        <v>5780</v>
      </c>
      <c r="I4141" s="648" t="s">
        <v>8571</v>
      </c>
      <c r="J4141" s="626" t="s">
        <v>8572</v>
      </c>
      <c r="K4141" s="721" t="s">
        <v>26</v>
      </c>
      <c r="L4141" s="722">
        <v>3</v>
      </c>
      <c r="M4141" s="717">
        <v>4500</v>
      </c>
      <c r="N4141" s="654"/>
      <c r="O4141" s="653"/>
      <c r="P4141" s="654"/>
    </row>
    <row r="4142" spans="1:16" s="619" customFormat="1" ht="24" x14ac:dyDescent="0.2">
      <c r="A4142" s="625" t="s">
        <v>7690</v>
      </c>
      <c r="B4142" s="692" t="s">
        <v>2032</v>
      </c>
      <c r="C4142" s="638" t="s">
        <v>8568</v>
      </c>
      <c r="D4142" s="692" t="s">
        <v>8577</v>
      </c>
      <c r="E4142" s="717">
        <f t="shared" si="47"/>
        <v>600</v>
      </c>
      <c r="F4142" s="626">
        <v>43090409</v>
      </c>
      <c r="G4142" s="720" t="s">
        <v>8578</v>
      </c>
      <c r="H4142" s="649" t="s">
        <v>5337</v>
      </c>
      <c r="I4142" s="648" t="s">
        <v>8571</v>
      </c>
      <c r="J4142" s="626" t="s">
        <v>8572</v>
      </c>
      <c r="K4142" s="721" t="s">
        <v>25</v>
      </c>
      <c r="L4142" s="722">
        <v>1</v>
      </c>
      <c r="M4142" s="717">
        <v>600</v>
      </c>
      <c r="N4142" s="654"/>
      <c r="O4142" s="653"/>
      <c r="P4142" s="654"/>
    </row>
    <row r="4143" spans="1:16" s="619" customFormat="1" ht="36" x14ac:dyDescent="0.2">
      <c r="A4143" s="625" t="s">
        <v>7690</v>
      </c>
      <c r="B4143" s="692" t="s">
        <v>1908</v>
      </c>
      <c r="C4143" s="638" t="s">
        <v>8568</v>
      </c>
      <c r="D4143" s="692" t="s">
        <v>8579</v>
      </c>
      <c r="E4143" s="717">
        <f t="shared" si="47"/>
        <v>5000</v>
      </c>
      <c r="F4143" s="626">
        <v>43985578</v>
      </c>
      <c r="G4143" s="720" t="s">
        <v>8580</v>
      </c>
      <c r="H4143" s="649" t="s">
        <v>8581</v>
      </c>
      <c r="I4143" s="648" t="s">
        <v>6182</v>
      </c>
      <c r="J4143" s="626" t="s">
        <v>3523</v>
      </c>
      <c r="K4143" s="721" t="s">
        <v>25</v>
      </c>
      <c r="L4143" s="722">
        <v>1</v>
      </c>
      <c r="M4143" s="717">
        <v>5000</v>
      </c>
      <c r="N4143" s="654"/>
      <c r="O4143" s="653"/>
      <c r="P4143" s="654"/>
    </row>
    <row r="4144" spans="1:16" s="619" customFormat="1" ht="24" x14ac:dyDescent="0.2">
      <c r="A4144" s="625" t="s">
        <v>7690</v>
      </c>
      <c r="B4144" s="692" t="s">
        <v>1908</v>
      </c>
      <c r="C4144" s="638" t="s">
        <v>8568</v>
      </c>
      <c r="D4144" s="692" t="s">
        <v>8569</v>
      </c>
      <c r="E4144" s="717">
        <f t="shared" si="47"/>
        <v>1500</v>
      </c>
      <c r="F4144" s="626">
        <v>45513007</v>
      </c>
      <c r="G4144" s="720" t="s">
        <v>8395</v>
      </c>
      <c r="H4144" s="649" t="s">
        <v>5780</v>
      </c>
      <c r="I4144" s="648" t="s">
        <v>8571</v>
      </c>
      <c r="J4144" s="626" t="s">
        <v>8572</v>
      </c>
      <c r="K4144" s="721" t="s">
        <v>25</v>
      </c>
      <c r="L4144" s="722">
        <v>1</v>
      </c>
      <c r="M4144" s="717">
        <v>1500</v>
      </c>
      <c r="N4144" s="654"/>
      <c r="O4144" s="653"/>
      <c r="P4144" s="654"/>
    </row>
    <row r="4145" spans="1:16" s="619" customFormat="1" ht="24" x14ac:dyDescent="0.2">
      <c r="A4145" s="625" t="s">
        <v>7690</v>
      </c>
      <c r="B4145" s="692" t="s">
        <v>1908</v>
      </c>
      <c r="C4145" s="638" t="s">
        <v>8568</v>
      </c>
      <c r="D4145" s="692" t="s">
        <v>8569</v>
      </c>
      <c r="E4145" s="717">
        <f t="shared" si="47"/>
        <v>1500</v>
      </c>
      <c r="F4145" s="626">
        <v>43746474</v>
      </c>
      <c r="G4145" s="720" t="s">
        <v>8582</v>
      </c>
      <c r="H4145" s="649" t="s">
        <v>5780</v>
      </c>
      <c r="I4145" s="648" t="s">
        <v>8571</v>
      </c>
      <c r="J4145" s="626" t="s">
        <v>8572</v>
      </c>
      <c r="K4145" s="721" t="s">
        <v>26</v>
      </c>
      <c r="L4145" s="722">
        <v>3</v>
      </c>
      <c r="M4145" s="717">
        <v>4500</v>
      </c>
      <c r="N4145" s="654"/>
      <c r="O4145" s="653"/>
      <c r="P4145" s="654"/>
    </row>
    <row r="4146" spans="1:16" s="619" customFormat="1" ht="36" x14ac:dyDescent="0.2">
      <c r="A4146" s="625" t="s">
        <v>7690</v>
      </c>
      <c r="B4146" s="692" t="s">
        <v>2032</v>
      </c>
      <c r="C4146" s="638" t="s">
        <v>8568</v>
      </c>
      <c r="D4146" s="692" t="s">
        <v>8577</v>
      </c>
      <c r="E4146" s="717">
        <f t="shared" si="47"/>
        <v>1425</v>
      </c>
      <c r="F4146" s="626">
        <v>76057342</v>
      </c>
      <c r="G4146" s="720" t="s">
        <v>7870</v>
      </c>
      <c r="H4146" s="649" t="s">
        <v>5337</v>
      </c>
      <c r="I4146" s="648" t="s">
        <v>8571</v>
      </c>
      <c r="J4146" s="626" t="s">
        <v>8572</v>
      </c>
      <c r="K4146" s="721" t="s">
        <v>27</v>
      </c>
      <c r="L4146" s="722">
        <v>4</v>
      </c>
      <c r="M4146" s="717">
        <v>5700</v>
      </c>
      <c r="N4146" s="654"/>
      <c r="O4146" s="653"/>
      <c r="P4146" s="654"/>
    </row>
    <row r="4147" spans="1:16" s="619" customFormat="1" ht="24" x14ac:dyDescent="0.2">
      <c r="A4147" s="625" t="s">
        <v>7690</v>
      </c>
      <c r="B4147" s="692" t="s">
        <v>1908</v>
      </c>
      <c r="C4147" s="638" t="s">
        <v>8568</v>
      </c>
      <c r="D4147" s="692" t="s">
        <v>8569</v>
      </c>
      <c r="E4147" s="717">
        <f t="shared" si="47"/>
        <v>1500</v>
      </c>
      <c r="F4147" s="626">
        <v>43052112</v>
      </c>
      <c r="G4147" s="720" t="s">
        <v>8583</v>
      </c>
      <c r="H4147" s="649" t="s">
        <v>5780</v>
      </c>
      <c r="I4147" s="648" t="s">
        <v>8571</v>
      </c>
      <c r="J4147" s="626" t="s">
        <v>8572</v>
      </c>
      <c r="K4147" s="721" t="s">
        <v>25</v>
      </c>
      <c r="L4147" s="722">
        <v>1</v>
      </c>
      <c r="M4147" s="717">
        <v>1500</v>
      </c>
      <c r="N4147" s="654"/>
      <c r="O4147" s="653"/>
      <c r="P4147" s="654"/>
    </row>
    <row r="4148" spans="1:16" s="619" customFormat="1" ht="36" x14ac:dyDescent="0.2">
      <c r="A4148" s="625" t="s">
        <v>7690</v>
      </c>
      <c r="B4148" s="692" t="s">
        <v>1908</v>
      </c>
      <c r="C4148" s="638" t="s">
        <v>8568</v>
      </c>
      <c r="D4148" s="692" t="s">
        <v>8569</v>
      </c>
      <c r="E4148" s="717">
        <f t="shared" si="47"/>
        <v>1500</v>
      </c>
      <c r="F4148" s="723" t="s">
        <v>8584</v>
      </c>
      <c r="G4148" s="720" t="s">
        <v>8585</v>
      </c>
      <c r="H4148" s="649" t="s">
        <v>5780</v>
      </c>
      <c r="I4148" s="648" t="s">
        <v>8571</v>
      </c>
      <c r="J4148" s="626" t="s">
        <v>8572</v>
      </c>
      <c r="K4148" s="721" t="s">
        <v>26</v>
      </c>
      <c r="L4148" s="722">
        <v>3</v>
      </c>
      <c r="M4148" s="717">
        <v>4500</v>
      </c>
      <c r="N4148" s="654"/>
      <c r="O4148" s="653"/>
      <c r="P4148" s="654"/>
    </row>
    <row r="4149" spans="1:16" s="619" customFormat="1" ht="24" x14ac:dyDescent="0.2">
      <c r="A4149" s="625" t="s">
        <v>7690</v>
      </c>
      <c r="B4149" s="692" t="s">
        <v>1908</v>
      </c>
      <c r="C4149" s="638" t="s">
        <v>8568</v>
      </c>
      <c r="D4149" s="692" t="s">
        <v>8586</v>
      </c>
      <c r="E4149" s="717">
        <f t="shared" si="47"/>
        <v>1500</v>
      </c>
      <c r="F4149" s="626">
        <v>72725287</v>
      </c>
      <c r="G4149" s="720" t="s">
        <v>8587</v>
      </c>
      <c r="H4149" s="649" t="s">
        <v>5780</v>
      </c>
      <c r="I4149" s="648" t="s">
        <v>8571</v>
      </c>
      <c r="J4149" s="626" t="s">
        <v>8572</v>
      </c>
      <c r="K4149" s="721" t="s">
        <v>26</v>
      </c>
      <c r="L4149" s="722">
        <v>3</v>
      </c>
      <c r="M4149" s="717">
        <v>4500</v>
      </c>
      <c r="N4149" s="654"/>
      <c r="O4149" s="653"/>
      <c r="P4149" s="654"/>
    </row>
    <row r="4150" spans="1:16" s="619" customFormat="1" ht="24" x14ac:dyDescent="0.2">
      <c r="A4150" s="625" t="s">
        <v>7690</v>
      </c>
      <c r="B4150" s="692" t="s">
        <v>2032</v>
      </c>
      <c r="C4150" s="638" t="s">
        <v>8568</v>
      </c>
      <c r="D4150" s="692" t="s">
        <v>8569</v>
      </c>
      <c r="E4150" s="717">
        <f t="shared" si="47"/>
        <v>1500</v>
      </c>
      <c r="F4150" s="626">
        <v>44669051</v>
      </c>
      <c r="G4150" s="720" t="s">
        <v>8406</v>
      </c>
      <c r="H4150" s="649" t="s">
        <v>5780</v>
      </c>
      <c r="I4150" s="648" t="s">
        <v>8571</v>
      </c>
      <c r="J4150" s="626" t="s">
        <v>8572</v>
      </c>
      <c r="K4150" s="721" t="s">
        <v>26</v>
      </c>
      <c r="L4150" s="722">
        <v>3</v>
      </c>
      <c r="M4150" s="717">
        <v>4500</v>
      </c>
      <c r="N4150" s="654"/>
      <c r="O4150" s="653"/>
      <c r="P4150" s="654"/>
    </row>
    <row r="4151" spans="1:16" s="619" customFormat="1" ht="36" x14ac:dyDescent="0.2">
      <c r="A4151" s="625" t="s">
        <v>7690</v>
      </c>
      <c r="B4151" s="692" t="s">
        <v>2032</v>
      </c>
      <c r="C4151" s="638" t="s">
        <v>8568</v>
      </c>
      <c r="D4151" s="692" t="s">
        <v>8588</v>
      </c>
      <c r="E4151" s="717">
        <f t="shared" si="47"/>
        <v>1087.7766666666666</v>
      </c>
      <c r="F4151" s="626">
        <v>43796091</v>
      </c>
      <c r="G4151" s="720" t="s">
        <v>7934</v>
      </c>
      <c r="H4151" s="649" t="s">
        <v>5780</v>
      </c>
      <c r="I4151" s="648" t="s">
        <v>8571</v>
      </c>
      <c r="J4151" s="626" t="s">
        <v>8572</v>
      </c>
      <c r="K4151" s="721" t="s">
        <v>0</v>
      </c>
      <c r="L4151" s="722">
        <v>3</v>
      </c>
      <c r="M4151" s="717">
        <v>3263.33</v>
      </c>
      <c r="N4151" s="654"/>
      <c r="O4151" s="653"/>
      <c r="P4151" s="654"/>
    </row>
    <row r="4152" spans="1:16" s="619" customFormat="1" ht="24" x14ac:dyDescent="0.2">
      <c r="A4152" s="625" t="s">
        <v>7690</v>
      </c>
      <c r="B4152" s="692" t="s">
        <v>1908</v>
      </c>
      <c r="C4152" s="638" t="s">
        <v>8568</v>
      </c>
      <c r="D4152" s="692" t="s">
        <v>8588</v>
      </c>
      <c r="E4152" s="717">
        <f t="shared" si="47"/>
        <v>1087.7766666666666</v>
      </c>
      <c r="F4152" s="626">
        <v>33671092</v>
      </c>
      <c r="G4152" s="720" t="s">
        <v>7938</v>
      </c>
      <c r="H4152" s="649" t="s">
        <v>5780</v>
      </c>
      <c r="I4152" s="648" t="s">
        <v>8571</v>
      </c>
      <c r="J4152" s="626" t="s">
        <v>8572</v>
      </c>
      <c r="K4152" s="721" t="s">
        <v>0</v>
      </c>
      <c r="L4152" s="722">
        <v>3</v>
      </c>
      <c r="M4152" s="717">
        <v>3263.33</v>
      </c>
      <c r="N4152" s="654"/>
      <c r="O4152" s="653"/>
      <c r="P4152" s="654"/>
    </row>
    <row r="4153" spans="1:16" s="619" customFormat="1" ht="36" x14ac:dyDescent="0.2">
      <c r="A4153" s="625" t="s">
        <v>7690</v>
      </c>
      <c r="B4153" s="692" t="s">
        <v>2032</v>
      </c>
      <c r="C4153" s="638" t="s">
        <v>8568</v>
      </c>
      <c r="D4153" s="692" t="s">
        <v>8569</v>
      </c>
      <c r="E4153" s="717">
        <f t="shared" si="47"/>
        <v>1500</v>
      </c>
      <c r="F4153" s="626">
        <v>48084713</v>
      </c>
      <c r="G4153" s="720" t="s">
        <v>8475</v>
      </c>
      <c r="H4153" s="649" t="s">
        <v>5780</v>
      </c>
      <c r="I4153" s="648" t="s">
        <v>8571</v>
      </c>
      <c r="J4153" s="626" t="s">
        <v>8572</v>
      </c>
      <c r="K4153" s="721" t="s">
        <v>26</v>
      </c>
      <c r="L4153" s="722">
        <v>3</v>
      </c>
      <c r="M4153" s="717">
        <v>4500</v>
      </c>
      <c r="N4153" s="654"/>
      <c r="O4153" s="653"/>
      <c r="P4153" s="654"/>
    </row>
    <row r="4154" spans="1:16" s="619" customFormat="1" ht="36" x14ac:dyDescent="0.2">
      <c r="A4154" s="625" t="s">
        <v>7690</v>
      </c>
      <c r="B4154" s="692" t="s">
        <v>1908</v>
      </c>
      <c r="C4154" s="638" t="s">
        <v>8568</v>
      </c>
      <c r="D4154" s="692" t="s">
        <v>8589</v>
      </c>
      <c r="E4154" s="717">
        <f t="shared" si="47"/>
        <v>2116</v>
      </c>
      <c r="F4154" s="626">
        <v>71217137</v>
      </c>
      <c r="G4154" s="720" t="s">
        <v>8003</v>
      </c>
      <c r="H4154" s="649" t="s">
        <v>6548</v>
      </c>
      <c r="I4154" s="648" t="s">
        <v>6548</v>
      </c>
      <c r="J4154" s="626" t="s">
        <v>3523</v>
      </c>
      <c r="K4154" s="721" t="s">
        <v>1</v>
      </c>
      <c r="L4154" s="722">
        <v>5</v>
      </c>
      <c r="M4154" s="717">
        <v>10580</v>
      </c>
      <c r="N4154" s="654"/>
      <c r="O4154" s="653"/>
      <c r="P4154" s="654"/>
    </row>
    <row r="4155" spans="1:16" s="619" customFormat="1" ht="36" x14ac:dyDescent="0.2">
      <c r="A4155" s="625" t="s">
        <v>7690</v>
      </c>
      <c r="B4155" s="692" t="s">
        <v>1908</v>
      </c>
      <c r="C4155" s="638" t="s">
        <v>8568</v>
      </c>
      <c r="D4155" s="692" t="s">
        <v>8569</v>
      </c>
      <c r="E4155" s="717">
        <f t="shared" si="47"/>
        <v>1500</v>
      </c>
      <c r="F4155" s="626">
        <v>45318843</v>
      </c>
      <c r="G4155" s="720" t="s">
        <v>8590</v>
      </c>
      <c r="H4155" s="649" t="s">
        <v>5780</v>
      </c>
      <c r="I4155" s="648" t="s">
        <v>8571</v>
      </c>
      <c r="J4155" s="626" t="s">
        <v>8572</v>
      </c>
      <c r="K4155" s="721" t="s">
        <v>25</v>
      </c>
      <c r="L4155" s="722">
        <v>3</v>
      </c>
      <c r="M4155" s="717">
        <v>4500</v>
      </c>
      <c r="N4155" s="654"/>
      <c r="O4155" s="653"/>
      <c r="P4155" s="654"/>
    </row>
    <row r="4156" spans="1:16" s="619" customFormat="1" ht="36" x14ac:dyDescent="0.2">
      <c r="A4156" s="625" t="s">
        <v>7690</v>
      </c>
      <c r="B4156" s="692" t="s">
        <v>1908</v>
      </c>
      <c r="C4156" s="638" t="s">
        <v>8568</v>
      </c>
      <c r="D4156" s="692" t="s">
        <v>8591</v>
      </c>
      <c r="E4156" s="717">
        <f t="shared" si="47"/>
        <v>1000</v>
      </c>
      <c r="F4156" s="626">
        <v>72356106</v>
      </c>
      <c r="G4156" s="720" t="s">
        <v>8414</v>
      </c>
      <c r="H4156" s="649" t="s">
        <v>6152</v>
      </c>
      <c r="I4156" s="648" t="s">
        <v>3587</v>
      </c>
      <c r="J4156" s="626" t="s">
        <v>3587</v>
      </c>
      <c r="K4156" s="721" t="s">
        <v>27</v>
      </c>
      <c r="L4156" s="722">
        <v>4</v>
      </c>
      <c r="M4156" s="717">
        <v>4000</v>
      </c>
      <c r="N4156" s="654"/>
      <c r="O4156" s="653"/>
      <c r="P4156" s="654"/>
    </row>
    <row r="4157" spans="1:16" s="619" customFormat="1" ht="36" x14ac:dyDescent="0.2">
      <c r="A4157" s="625" t="s">
        <v>7690</v>
      </c>
      <c r="B4157" s="692" t="s">
        <v>1908</v>
      </c>
      <c r="C4157" s="638" t="s">
        <v>8568</v>
      </c>
      <c r="D4157" s="692" t="s">
        <v>8569</v>
      </c>
      <c r="E4157" s="717">
        <f t="shared" si="47"/>
        <v>1500</v>
      </c>
      <c r="F4157" s="626">
        <v>74458455</v>
      </c>
      <c r="G4157" s="720" t="s">
        <v>8592</v>
      </c>
      <c r="H4157" s="649" t="s">
        <v>5780</v>
      </c>
      <c r="I4157" s="648" t="s">
        <v>8571</v>
      </c>
      <c r="J4157" s="626" t="s">
        <v>8572</v>
      </c>
      <c r="K4157" s="721" t="s">
        <v>25</v>
      </c>
      <c r="L4157" s="722">
        <v>3</v>
      </c>
      <c r="M4157" s="717">
        <v>4500</v>
      </c>
      <c r="N4157" s="654"/>
      <c r="O4157" s="653"/>
      <c r="P4157" s="654"/>
    </row>
    <row r="4158" spans="1:16" s="619" customFormat="1" ht="48" x14ac:dyDescent="0.2">
      <c r="A4158" s="625" t="s">
        <v>7690</v>
      </c>
      <c r="B4158" s="692" t="s">
        <v>1908</v>
      </c>
      <c r="C4158" s="638" t="s">
        <v>8568</v>
      </c>
      <c r="D4158" s="692" t="s">
        <v>8569</v>
      </c>
      <c r="E4158" s="717">
        <f t="shared" si="47"/>
        <v>1500</v>
      </c>
      <c r="F4158" s="626">
        <v>46119192</v>
      </c>
      <c r="G4158" s="720" t="s">
        <v>8593</v>
      </c>
      <c r="H4158" s="649" t="s">
        <v>5780</v>
      </c>
      <c r="I4158" s="648" t="s">
        <v>8571</v>
      </c>
      <c r="J4158" s="626" t="s">
        <v>8572</v>
      </c>
      <c r="K4158" s="721" t="s">
        <v>26</v>
      </c>
      <c r="L4158" s="722">
        <v>3</v>
      </c>
      <c r="M4158" s="717">
        <v>4500</v>
      </c>
      <c r="N4158" s="654"/>
      <c r="O4158" s="653"/>
      <c r="P4158" s="654"/>
    </row>
    <row r="4159" spans="1:16" s="619" customFormat="1" ht="24" x14ac:dyDescent="0.2">
      <c r="A4159" s="625" t="s">
        <v>7690</v>
      </c>
      <c r="B4159" s="692" t="s">
        <v>1908</v>
      </c>
      <c r="C4159" s="638" t="s">
        <v>8568</v>
      </c>
      <c r="D4159" s="692" t="s">
        <v>8569</v>
      </c>
      <c r="E4159" s="717">
        <f t="shared" si="47"/>
        <v>1500</v>
      </c>
      <c r="F4159" s="626">
        <v>40870841</v>
      </c>
      <c r="G4159" s="720" t="s">
        <v>8594</v>
      </c>
      <c r="H4159" s="649" t="s">
        <v>5780</v>
      </c>
      <c r="I4159" s="648" t="s">
        <v>8571</v>
      </c>
      <c r="J4159" s="626" t="s">
        <v>8572</v>
      </c>
      <c r="K4159" s="721" t="s">
        <v>26</v>
      </c>
      <c r="L4159" s="722">
        <v>3</v>
      </c>
      <c r="M4159" s="717">
        <v>4500</v>
      </c>
      <c r="N4159" s="654"/>
      <c r="O4159" s="653"/>
      <c r="P4159" s="654"/>
    </row>
    <row r="4160" spans="1:16" s="619" customFormat="1" ht="24" x14ac:dyDescent="0.2">
      <c r="A4160" s="625" t="s">
        <v>7690</v>
      </c>
      <c r="B4160" s="692" t="s">
        <v>1908</v>
      </c>
      <c r="C4160" s="638" t="s">
        <v>8568</v>
      </c>
      <c r="D4160" s="692" t="s">
        <v>8595</v>
      </c>
      <c r="E4160" s="717">
        <f t="shared" si="47"/>
        <v>1050</v>
      </c>
      <c r="F4160" s="626">
        <v>75829267</v>
      </c>
      <c r="G4160" s="720" t="s">
        <v>8596</v>
      </c>
      <c r="H4160" s="649" t="s">
        <v>5337</v>
      </c>
      <c r="I4160" s="648" t="s">
        <v>8571</v>
      </c>
      <c r="J4160" s="626" t="s">
        <v>8572</v>
      </c>
      <c r="K4160" s="721" t="s">
        <v>0</v>
      </c>
      <c r="L4160" s="722">
        <v>3</v>
      </c>
      <c r="M4160" s="717">
        <v>3150</v>
      </c>
      <c r="N4160" s="654"/>
      <c r="O4160" s="653"/>
      <c r="P4160" s="654"/>
    </row>
    <row r="4161" spans="1:16" s="619" customFormat="1" ht="36" x14ac:dyDescent="0.2">
      <c r="A4161" s="625" t="s">
        <v>7690</v>
      </c>
      <c r="B4161" s="692" t="s">
        <v>1908</v>
      </c>
      <c r="C4161" s="638" t="s">
        <v>8568</v>
      </c>
      <c r="D4161" s="692" t="s">
        <v>8569</v>
      </c>
      <c r="E4161" s="717">
        <f t="shared" si="47"/>
        <v>1500</v>
      </c>
      <c r="F4161" s="626">
        <v>46677375</v>
      </c>
      <c r="G4161" s="720" t="s">
        <v>8597</v>
      </c>
      <c r="H4161" s="649" t="s">
        <v>5780</v>
      </c>
      <c r="I4161" s="648" t="s">
        <v>8571</v>
      </c>
      <c r="J4161" s="626" t="s">
        <v>8572</v>
      </c>
      <c r="K4161" s="721" t="s">
        <v>26</v>
      </c>
      <c r="L4161" s="722">
        <v>3</v>
      </c>
      <c r="M4161" s="717">
        <v>4500</v>
      </c>
      <c r="N4161" s="654"/>
      <c r="O4161" s="653"/>
      <c r="P4161" s="654"/>
    </row>
    <row r="4162" spans="1:16" s="619" customFormat="1" ht="48" x14ac:dyDescent="0.2">
      <c r="A4162" s="625" t="s">
        <v>7690</v>
      </c>
      <c r="B4162" s="692" t="s">
        <v>1908</v>
      </c>
      <c r="C4162" s="638" t="s">
        <v>8568</v>
      </c>
      <c r="D4162" s="692" t="s">
        <v>8569</v>
      </c>
      <c r="E4162" s="717">
        <f t="shared" si="47"/>
        <v>1500</v>
      </c>
      <c r="F4162" s="626">
        <v>40833762</v>
      </c>
      <c r="G4162" s="720" t="s">
        <v>8521</v>
      </c>
      <c r="H4162" s="649" t="s">
        <v>5780</v>
      </c>
      <c r="I4162" s="648" t="s">
        <v>8571</v>
      </c>
      <c r="J4162" s="626" t="s">
        <v>8572</v>
      </c>
      <c r="K4162" s="721" t="s">
        <v>26</v>
      </c>
      <c r="L4162" s="722">
        <v>3</v>
      </c>
      <c r="M4162" s="717">
        <v>4500</v>
      </c>
      <c r="N4162" s="654"/>
      <c r="O4162" s="653"/>
      <c r="P4162" s="654"/>
    </row>
    <row r="4163" spans="1:16" s="619" customFormat="1" ht="36" x14ac:dyDescent="0.2">
      <c r="A4163" s="625" t="s">
        <v>7690</v>
      </c>
      <c r="B4163" s="692" t="s">
        <v>1908</v>
      </c>
      <c r="C4163" s="638" t="s">
        <v>8568</v>
      </c>
      <c r="D4163" s="692" t="s">
        <v>8598</v>
      </c>
      <c r="E4163" s="717">
        <f t="shared" si="47"/>
        <v>1000</v>
      </c>
      <c r="F4163" s="626">
        <v>75855799</v>
      </c>
      <c r="G4163" s="720" t="s">
        <v>8599</v>
      </c>
      <c r="H4163" s="649" t="s">
        <v>8600</v>
      </c>
      <c r="I4163" s="648" t="s">
        <v>3551</v>
      </c>
      <c r="J4163" s="626" t="s">
        <v>8600</v>
      </c>
      <c r="K4163" s="721" t="s">
        <v>25</v>
      </c>
      <c r="L4163" s="722">
        <v>1</v>
      </c>
      <c r="M4163" s="717">
        <v>1000</v>
      </c>
      <c r="N4163" s="654"/>
      <c r="O4163" s="653"/>
      <c r="P4163" s="654"/>
    </row>
    <row r="4164" spans="1:16" s="619" customFormat="1" ht="24" x14ac:dyDescent="0.2">
      <c r="A4164" s="625" t="s">
        <v>7690</v>
      </c>
      <c r="B4164" s="692" t="s">
        <v>2032</v>
      </c>
      <c r="C4164" s="638" t="s">
        <v>8568</v>
      </c>
      <c r="D4164" s="692" t="s">
        <v>8601</v>
      </c>
      <c r="E4164" s="717">
        <f t="shared" si="47"/>
        <v>1500</v>
      </c>
      <c r="F4164" s="626">
        <v>72082613</v>
      </c>
      <c r="G4164" s="720" t="s">
        <v>8602</v>
      </c>
      <c r="H4164" s="649" t="s">
        <v>5780</v>
      </c>
      <c r="I4164" s="648" t="s">
        <v>8571</v>
      </c>
      <c r="J4164" s="626" t="s">
        <v>8572</v>
      </c>
      <c r="K4164" s="721" t="s">
        <v>26</v>
      </c>
      <c r="L4164" s="722">
        <v>3</v>
      </c>
      <c r="M4164" s="717">
        <v>4500</v>
      </c>
      <c r="N4164" s="654"/>
      <c r="O4164" s="653"/>
      <c r="P4164" s="654"/>
    </row>
    <row r="4165" spans="1:16" s="619" customFormat="1" ht="48" x14ac:dyDescent="0.2">
      <c r="A4165" s="625" t="s">
        <v>7690</v>
      </c>
      <c r="B4165" s="692" t="s">
        <v>1908</v>
      </c>
      <c r="C4165" s="638" t="s">
        <v>8568</v>
      </c>
      <c r="D4165" s="692" t="s">
        <v>8577</v>
      </c>
      <c r="E4165" s="717">
        <f t="shared" si="47"/>
        <v>120</v>
      </c>
      <c r="F4165" s="626">
        <v>73000918</v>
      </c>
      <c r="G4165" s="720" t="s">
        <v>8141</v>
      </c>
      <c r="H4165" s="649" t="s">
        <v>4722</v>
      </c>
      <c r="I4165" s="648" t="s">
        <v>3587</v>
      </c>
      <c r="J4165" s="626" t="s">
        <v>3587</v>
      </c>
      <c r="K4165" s="721" t="s">
        <v>25</v>
      </c>
      <c r="L4165" s="722">
        <v>1</v>
      </c>
      <c r="M4165" s="717">
        <v>120</v>
      </c>
      <c r="N4165" s="654"/>
      <c r="O4165" s="653"/>
      <c r="P4165" s="654"/>
    </row>
    <row r="4166" spans="1:16" s="619" customFormat="1" ht="36" x14ac:dyDescent="0.2">
      <c r="A4166" s="625" t="s">
        <v>7690</v>
      </c>
      <c r="B4166" s="692" t="s">
        <v>1908</v>
      </c>
      <c r="C4166" s="638" t="s">
        <v>8568</v>
      </c>
      <c r="D4166" s="692" t="s">
        <v>8603</v>
      </c>
      <c r="E4166" s="717">
        <f t="shared" si="47"/>
        <v>1100</v>
      </c>
      <c r="F4166" s="626">
        <v>72278642</v>
      </c>
      <c r="G4166" s="720" t="s">
        <v>8604</v>
      </c>
      <c r="H4166" s="649" t="s">
        <v>2845</v>
      </c>
      <c r="I4166" s="648" t="s">
        <v>8571</v>
      </c>
      <c r="J4166" s="626" t="s">
        <v>8572</v>
      </c>
      <c r="K4166" s="721" t="s">
        <v>0</v>
      </c>
      <c r="L4166" s="722">
        <v>3</v>
      </c>
      <c r="M4166" s="717">
        <v>3300</v>
      </c>
      <c r="N4166" s="654"/>
      <c r="O4166" s="653"/>
      <c r="P4166" s="654"/>
    </row>
    <row r="4167" spans="1:16" s="619" customFormat="1" ht="24" x14ac:dyDescent="0.2">
      <c r="A4167" s="625" t="s">
        <v>7690</v>
      </c>
      <c r="B4167" s="692" t="s">
        <v>2032</v>
      </c>
      <c r="C4167" s="638" t="s">
        <v>8568</v>
      </c>
      <c r="D4167" s="692" t="s">
        <v>8569</v>
      </c>
      <c r="E4167" s="717">
        <f t="shared" si="47"/>
        <v>1500</v>
      </c>
      <c r="F4167" s="626">
        <v>60684421</v>
      </c>
      <c r="G4167" s="720" t="s">
        <v>8605</v>
      </c>
      <c r="H4167" s="649" t="s">
        <v>5780</v>
      </c>
      <c r="I4167" s="648" t="s">
        <v>8571</v>
      </c>
      <c r="J4167" s="626" t="s">
        <v>8572</v>
      </c>
      <c r="K4167" s="721" t="s">
        <v>26</v>
      </c>
      <c r="L4167" s="722">
        <v>3</v>
      </c>
      <c r="M4167" s="717">
        <v>4500</v>
      </c>
      <c r="N4167" s="654"/>
      <c r="O4167" s="653"/>
      <c r="P4167" s="654"/>
    </row>
    <row r="4168" spans="1:16" s="619" customFormat="1" ht="36" x14ac:dyDescent="0.2">
      <c r="A4168" s="625" t="s">
        <v>7690</v>
      </c>
      <c r="B4168" s="692" t="s">
        <v>1908</v>
      </c>
      <c r="C4168" s="638" t="s">
        <v>8568</v>
      </c>
      <c r="D4168" s="692" t="s">
        <v>8606</v>
      </c>
      <c r="E4168" s="717">
        <f t="shared" si="47"/>
        <v>1500</v>
      </c>
      <c r="F4168" s="626">
        <v>43473392</v>
      </c>
      <c r="G4168" s="720" t="s">
        <v>8607</v>
      </c>
      <c r="H4168" s="649" t="s">
        <v>5780</v>
      </c>
      <c r="I4168" s="648" t="s">
        <v>8571</v>
      </c>
      <c r="J4168" s="626" t="s">
        <v>8572</v>
      </c>
      <c r="K4168" s="721" t="s">
        <v>26</v>
      </c>
      <c r="L4168" s="722">
        <v>3</v>
      </c>
      <c r="M4168" s="717">
        <v>4500</v>
      </c>
      <c r="N4168" s="654"/>
      <c r="O4168" s="653"/>
      <c r="P4168" s="654"/>
    </row>
    <row r="4169" spans="1:16" s="619" customFormat="1" ht="36" x14ac:dyDescent="0.2">
      <c r="A4169" s="625" t="s">
        <v>7690</v>
      </c>
      <c r="B4169" s="692" t="s">
        <v>1908</v>
      </c>
      <c r="C4169" s="638" t="s">
        <v>8568</v>
      </c>
      <c r="D4169" s="692" t="s">
        <v>8603</v>
      </c>
      <c r="E4169" s="717">
        <f t="shared" si="47"/>
        <v>1100</v>
      </c>
      <c r="F4169" s="626">
        <v>33591610</v>
      </c>
      <c r="G4169" s="720" t="s">
        <v>8608</v>
      </c>
      <c r="H4169" s="649" t="s">
        <v>5337</v>
      </c>
      <c r="I4169" s="648" t="s">
        <v>8571</v>
      </c>
      <c r="J4169" s="626" t="s">
        <v>8572</v>
      </c>
      <c r="K4169" s="721" t="s">
        <v>27</v>
      </c>
      <c r="L4169" s="722">
        <v>4</v>
      </c>
      <c r="M4169" s="717">
        <v>4400</v>
      </c>
      <c r="N4169" s="654"/>
      <c r="O4169" s="653"/>
      <c r="P4169" s="654"/>
    </row>
    <row r="4170" spans="1:16" s="619" customFormat="1" ht="36" x14ac:dyDescent="0.2">
      <c r="A4170" s="625" t="s">
        <v>7690</v>
      </c>
      <c r="B4170" s="692" t="s">
        <v>2032</v>
      </c>
      <c r="C4170" s="638" t="s">
        <v>8568</v>
      </c>
      <c r="D4170" s="692" t="s">
        <v>8579</v>
      </c>
      <c r="E4170" s="717">
        <f t="shared" si="47"/>
        <v>4000</v>
      </c>
      <c r="F4170" s="626">
        <v>45478023</v>
      </c>
      <c r="G4170" s="720" t="s">
        <v>8609</v>
      </c>
      <c r="H4170" s="649" t="s">
        <v>8581</v>
      </c>
      <c r="I4170" s="648" t="s">
        <v>6182</v>
      </c>
      <c r="J4170" s="626" t="s">
        <v>3523</v>
      </c>
      <c r="K4170" s="721" t="s">
        <v>0</v>
      </c>
      <c r="L4170" s="722">
        <v>3</v>
      </c>
      <c r="M4170" s="717">
        <v>12000</v>
      </c>
      <c r="N4170" s="654"/>
      <c r="O4170" s="653"/>
      <c r="P4170" s="654"/>
    </row>
    <row r="4171" spans="1:16" s="619" customFormat="1" ht="24" x14ac:dyDescent="0.2">
      <c r="A4171" s="625" t="s">
        <v>7690</v>
      </c>
      <c r="B4171" s="692" t="s">
        <v>1908</v>
      </c>
      <c r="C4171" s="638" t="s">
        <v>8568</v>
      </c>
      <c r="D4171" s="692" t="s">
        <v>8610</v>
      </c>
      <c r="E4171" s="717">
        <f t="shared" si="47"/>
        <v>2400</v>
      </c>
      <c r="F4171" s="626">
        <v>45815400</v>
      </c>
      <c r="G4171" s="720" t="s">
        <v>8611</v>
      </c>
      <c r="H4171" s="649" t="s">
        <v>8612</v>
      </c>
      <c r="I4171" s="648" t="s">
        <v>5663</v>
      </c>
      <c r="J4171" s="626" t="s">
        <v>3523</v>
      </c>
      <c r="K4171" s="721" t="s">
        <v>25</v>
      </c>
      <c r="L4171" s="722">
        <v>1</v>
      </c>
      <c r="M4171" s="717">
        <v>2400</v>
      </c>
      <c r="N4171" s="654"/>
      <c r="O4171" s="653"/>
      <c r="P4171" s="654"/>
    </row>
    <row r="4172" spans="1:16" s="619" customFormat="1" ht="36" x14ac:dyDescent="0.2">
      <c r="A4172" s="625" t="s">
        <v>7690</v>
      </c>
      <c r="B4172" s="692" t="s">
        <v>1908</v>
      </c>
      <c r="C4172" s="638" t="s">
        <v>8568</v>
      </c>
      <c r="D4172" s="692" t="s">
        <v>8569</v>
      </c>
      <c r="E4172" s="717">
        <f t="shared" si="47"/>
        <v>1500</v>
      </c>
      <c r="F4172" s="626">
        <v>45331895</v>
      </c>
      <c r="G4172" s="720" t="s">
        <v>8613</v>
      </c>
      <c r="H4172" s="649" t="s">
        <v>5780</v>
      </c>
      <c r="I4172" s="648" t="s">
        <v>8571</v>
      </c>
      <c r="J4172" s="626" t="s">
        <v>8572</v>
      </c>
      <c r="K4172" s="721" t="s">
        <v>26</v>
      </c>
      <c r="L4172" s="722">
        <v>3</v>
      </c>
      <c r="M4172" s="717">
        <v>4500</v>
      </c>
      <c r="N4172" s="654"/>
      <c r="O4172" s="653"/>
      <c r="P4172" s="654"/>
    </row>
    <row r="4173" spans="1:16" s="619" customFormat="1" ht="24" x14ac:dyDescent="0.2">
      <c r="A4173" s="625" t="s">
        <v>7690</v>
      </c>
      <c r="B4173" s="692" t="s">
        <v>1908</v>
      </c>
      <c r="C4173" s="638" t="s">
        <v>8568</v>
      </c>
      <c r="D4173" s="692" t="s">
        <v>8614</v>
      </c>
      <c r="E4173" s="717">
        <f t="shared" si="47"/>
        <v>1100</v>
      </c>
      <c r="F4173" s="626">
        <v>80514187</v>
      </c>
      <c r="G4173" s="720" t="s">
        <v>8236</v>
      </c>
      <c r="H4173" s="649" t="s">
        <v>8600</v>
      </c>
      <c r="I4173" s="648" t="s">
        <v>3551</v>
      </c>
      <c r="J4173" s="626" t="s">
        <v>8600</v>
      </c>
      <c r="K4173" s="721" t="s">
        <v>0</v>
      </c>
      <c r="L4173" s="722">
        <v>3</v>
      </c>
      <c r="M4173" s="717">
        <v>3300</v>
      </c>
      <c r="N4173" s="654"/>
      <c r="O4173" s="653"/>
      <c r="P4173" s="654"/>
    </row>
    <row r="4174" spans="1:16" s="619" customFormat="1" ht="36" x14ac:dyDescent="0.2">
      <c r="A4174" s="625" t="s">
        <v>7690</v>
      </c>
      <c r="B4174" s="692" t="s">
        <v>1908</v>
      </c>
      <c r="C4174" s="638" t="s">
        <v>8568</v>
      </c>
      <c r="D4174" s="692" t="s">
        <v>8569</v>
      </c>
      <c r="E4174" s="717">
        <f t="shared" si="47"/>
        <v>1500</v>
      </c>
      <c r="F4174" s="626">
        <v>46749033</v>
      </c>
      <c r="G4174" s="720" t="s">
        <v>8615</v>
      </c>
      <c r="H4174" s="649" t="s">
        <v>5780</v>
      </c>
      <c r="I4174" s="648" t="s">
        <v>8571</v>
      </c>
      <c r="J4174" s="626" t="s">
        <v>8572</v>
      </c>
      <c r="K4174" s="721" t="s">
        <v>26</v>
      </c>
      <c r="L4174" s="722">
        <v>3</v>
      </c>
      <c r="M4174" s="717">
        <v>4500</v>
      </c>
      <c r="N4174" s="654"/>
      <c r="O4174" s="653"/>
      <c r="P4174" s="654"/>
    </row>
    <row r="4175" spans="1:16" s="619" customFormat="1" ht="36" x14ac:dyDescent="0.2">
      <c r="A4175" s="625" t="s">
        <v>7690</v>
      </c>
      <c r="B4175" s="692" t="s">
        <v>1908</v>
      </c>
      <c r="C4175" s="638" t="s">
        <v>8568</v>
      </c>
      <c r="D4175" s="692" t="s">
        <v>8616</v>
      </c>
      <c r="E4175" s="717">
        <f t="shared" si="47"/>
        <v>2400</v>
      </c>
      <c r="F4175" s="626">
        <v>16703284</v>
      </c>
      <c r="G4175" s="720" t="s">
        <v>8617</v>
      </c>
      <c r="H4175" s="649" t="s">
        <v>6198</v>
      </c>
      <c r="I4175" s="648" t="s">
        <v>6198</v>
      </c>
      <c r="J4175" s="626" t="s">
        <v>3523</v>
      </c>
      <c r="K4175" s="721" t="s">
        <v>25</v>
      </c>
      <c r="L4175" s="722">
        <v>1</v>
      </c>
      <c r="M4175" s="717">
        <v>2400</v>
      </c>
      <c r="N4175" s="654"/>
      <c r="O4175" s="653"/>
      <c r="P4175" s="654"/>
    </row>
    <row r="4176" spans="1:16" s="619" customFormat="1" ht="24" x14ac:dyDescent="0.2">
      <c r="A4176" s="625" t="s">
        <v>7690</v>
      </c>
      <c r="B4176" s="692" t="s">
        <v>1908</v>
      </c>
      <c r="C4176" s="638" t="s">
        <v>8568</v>
      </c>
      <c r="D4176" s="692" t="s">
        <v>8569</v>
      </c>
      <c r="E4176" s="717">
        <f t="shared" si="47"/>
        <v>1500</v>
      </c>
      <c r="F4176" s="626">
        <v>75799167</v>
      </c>
      <c r="G4176" s="720" t="s">
        <v>8618</v>
      </c>
      <c r="H4176" s="649" t="s">
        <v>5780</v>
      </c>
      <c r="I4176" s="648" t="s">
        <v>8571</v>
      </c>
      <c r="J4176" s="626" t="s">
        <v>8572</v>
      </c>
      <c r="K4176" s="721" t="s">
        <v>26</v>
      </c>
      <c r="L4176" s="722">
        <v>3</v>
      </c>
      <c r="M4176" s="717">
        <v>4500</v>
      </c>
      <c r="N4176" s="654"/>
      <c r="O4176" s="653"/>
      <c r="P4176" s="654"/>
    </row>
    <row r="4177" spans="1:16" s="619" customFormat="1" ht="24" x14ac:dyDescent="0.2">
      <c r="A4177" s="625" t="s">
        <v>7690</v>
      </c>
      <c r="B4177" s="692" t="s">
        <v>1908</v>
      </c>
      <c r="C4177" s="638" t="s">
        <v>8568</v>
      </c>
      <c r="D4177" s="692" t="s">
        <v>8569</v>
      </c>
      <c r="E4177" s="717">
        <f t="shared" si="47"/>
        <v>1500</v>
      </c>
      <c r="F4177" s="626">
        <v>44183822</v>
      </c>
      <c r="G4177" s="720" t="s">
        <v>8619</v>
      </c>
      <c r="H4177" s="649" t="s">
        <v>5780</v>
      </c>
      <c r="I4177" s="648" t="s">
        <v>8571</v>
      </c>
      <c r="J4177" s="626" t="s">
        <v>8572</v>
      </c>
      <c r="K4177" s="721" t="s">
        <v>26</v>
      </c>
      <c r="L4177" s="722">
        <v>3</v>
      </c>
      <c r="M4177" s="717">
        <v>4500</v>
      </c>
      <c r="N4177" s="654"/>
      <c r="O4177" s="653"/>
      <c r="P4177" s="654"/>
    </row>
    <row r="4178" spans="1:16" s="619" customFormat="1" ht="24" x14ac:dyDescent="0.2">
      <c r="A4178" s="625" t="s">
        <v>7690</v>
      </c>
      <c r="B4178" s="692" t="s">
        <v>1908</v>
      </c>
      <c r="C4178" s="638" t="s">
        <v>8568</v>
      </c>
      <c r="D4178" s="692" t="s">
        <v>8569</v>
      </c>
      <c r="E4178" s="717">
        <f t="shared" si="47"/>
        <v>1500</v>
      </c>
      <c r="F4178" s="626">
        <v>76380501</v>
      </c>
      <c r="G4178" s="720" t="s">
        <v>8620</v>
      </c>
      <c r="H4178" s="649" t="s">
        <v>5780</v>
      </c>
      <c r="I4178" s="648" t="s">
        <v>8571</v>
      </c>
      <c r="J4178" s="626" t="s">
        <v>8572</v>
      </c>
      <c r="K4178" s="721" t="s">
        <v>26</v>
      </c>
      <c r="L4178" s="722">
        <v>2</v>
      </c>
      <c r="M4178" s="717">
        <v>3000</v>
      </c>
      <c r="N4178" s="654"/>
      <c r="O4178" s="653"/>
      <c r="P4178" s="654"/>
    </row>
    <row r="4179" spans="1:16" s="619" customFormat="1" ht="36" x14ac:dyDescent="0.2">
      <c r="A4179" s="625" t="s">
        <v>7690</v>
      </c>
      <c r="B4179" s="692" t="s">
        <v>1908</v>
      </c>
      <c r="C4179" s="638" t="s">
        <v>8568</v>
      </c>
      <c r="D4179" s="692" t="s">
        <v>8569</v>
      </c>
      <c r="E4179" s="717">
        <f t="shared" si="47"/>
        <v>1500</v>
      </c>
      <c r="F4179" s="626">
        <v>75598147</v>
      </c>
      <c r="G4179" s="720" t="s">
        <v>8621</v>
      </c>
      <c r="H4179" s="649" t="s">
        <v>5780</v>
      </c>
      <c r="I4179" s="648" t="s">
        <v>8571</v>
      </c>
      <c r="J4179" s="626" t="s">
        <v>8572</v>
      </c>
      <c r="K4179" s="721" t="s">
        <v>26</v>
      </c>
      <c r="L4179" s="722">
        <v>3</v>
      </c>
      <c r="M4179" s="717">
        <v>4500</v>
      </c>
      <c r="N4179" s="654"/>
      <c r="O4179" s="653"/>
      <c r="P4179" s="654"/>
    </row>
    <row r="4180" spans="1:16" s="619" customFormat="1" ht="24" x14ac:dyDescent="0.2">
      <c r="A4180" s="625" t="s">
        <v>7690</v>
      </c>
      <c r="B4180" s="692" t="s">
        <v>2032</v>
      </c>
      <c r="C4180" s="638" t="s">
        <v>8568</v>
      </c>
      <c r="D4180" s="692" t="s">
        <v>8595</v>
      </c>
      <c r="E4180" s="717">
        <f t="shared" si="47"/>
        <v>978.33333333333337</v>
      </c>
      <c r="F4180" s="626">
        <v>45529693</v>
      </c>
      <c r="G4180" s="720" t="s">
        <v>8622</v>
      </c>
      <c r="H4180" s="649" t="s">
        <v>2845</v>
      </c>
      <c r="I4180" s="648" t="s">
        <v>8571</v>
      </c>
      <c r="J4180" s="626" t="s">
        <v>8572</v>
      </c>
      <c r="K4180" s="721" t="s">
        <v>0</v>
      </c>
      <c r="L4180" s="722">
        <v>3</v>
      </c>
      <c r="M4180" s="717">
        <v>2935</v>
      </c>
      <c r="N4180" s="654"/>
      <c r="O4180" s="653"/>
      <c r="P4180" s="654"/>
    </row>
    <row r="4181" spans="1:16" s="619" customFormat="1" ht="24" x14ac:dyDescent="0.2">
      <c r="A4181" s="625" t="s">
        <v>7690</v>
      </c>
      <c r="B4181" s="692" t="s">
        <v>1908</v>
      </c>
      <c r="C4181" s="638" t="s">
        <v>8568</v>
      </c>
      <c r="D4181" s="692" t="s">
        <v>8623</v>
      </c>
      <c r="E4181" s="717">
        <f t="shared" si="47"/>
        <v>988.89</v>
      </c>
      <c r="F4181" s="626">
        <v>75995498</v>
      </c>
      <c r="G4181" s="720" t="s">
        <v>8327</v>
      </c>
      <c r="H4181" s="649" t="s">
        <v>5780</v>
      </c>
      <c r="I4181" s="648" t="s">
        <v>8571</v>
      </c>
      <c r="J4181" s="626" t="s">
        <v>8572</v>
      </c>
      <c r="K4181" s="721" t="s">
        <v>0</v>
      </c>
      <c r="L4181" s="722">
        <v>3</v>
      </c>
      <c r="M4181" s="717">
        <v>2966.67</v>
      </c>
      <c r="N4181" s="654"/>
      <c r="O4181" s="653"/>
      <c r="P4181" s="654"/>
    </row>
    <row r="4182" spans="1:16" s="619" customFormat="1" ht="24" x14ac:dyDescent="0.2">
      <c r="A4182" s="625" t="s">
        <v>7690</v>
      </c>
      <c r="B4182" s="692" t="s">
        <v>1908</v>
      </c>
      <c r="C4182" s="638" t="s">
        <v>8568</v>
      </c>
      <c r="D4182" s="692" t="s">
        <v>8624</v>
      </c>
      <c r="E4182" s="717">
        <f t="shared" si="47"/>
        <v>1500</v>
      </c>
      <c r="F4182" s="626">
        <v>41663587</v>
      </c>
      <c r="G4182" s="720" t="s">
        <v>8625</v>
      </c>
      <c r="H4182" s="649" t="s">
        <v>5337</v>
      </c>
      <c r="I4182" s="648" t="s">
        <v>8571</v>
      </c>
      <c r="J4182" s="626" t="s">
        <v>8572</v>
      </c>
      <c r="K4182" s="721" t="s">
        <v>25</v>
      </c>
      <c r="L4182" s="722">
        <v>1</v>
      </c>
      <c r="M4182" s="717">
        <v>1500</v>
      </c>
      <c r="N4182" s="654"/>
      <c r="O4182" s="653"/>
      <c r="P4182" s="654"/>
    </row>
    <row r="4183" spans="1:16" s="619" customFormat="1" ht="36" x14ac:dyDescent="0.2">
      <c r="A4183" s="625" t="s">
        <v>7690</v>
      </c>
      <c r="B4183" s="692" t="s">
        <v>1908</v>
      </c>
      <c r="C4183" s="638" t="s">
        <v>8568</v>
      </c>
      <c r="D4183" s="692" t="s">
        <v>8569</v>
      </c>
      <c r="E4183" s="717">
        <f t="shared" si="47"/>
        <v>1500</v>
      </c>
      <c r="F4183" s="626">
        <v>72807469</v>
      </c>
      <c r="G4183" s="720" t="s">
        <v>8626</v>
      </c>
      <c r="H4183" s="649" t="s">
        <v>5780</v>
      </c>
      <c r="I4183" s="648" t="s">
        <v>8571</v>
      </c>
      <c r="J4183" s="626" t="s">
        <v>8572</v>
      </c>
      <c r="K4183" s="721" t="s">
        <v>26</v>
      </c>
      <c r="L4183" s="722">
        <v>3</v>
      </c>
      <c r="M4183" s="717">
        <v>4500</v>
      </c>
      <c r="N4183" s="654"/>
      <c r="O4183" s="653"/>
      <c r="P4183" s="654"/>
    </row>
    <row r="4184" spans="1:16" s="619" customFormat="1" ht="36" x14ac:dyDescent="0.2">
      <c r="A4184" s="625" t="s">
        <v>7690</v>
      </c>
      <c r="B4184" s="692" t="s">
        <v>1908</v>
      </c>
      <c r="C4184" s="638" t="s">
        <v>8568</v>
      </c>
      <c r="D4184" s="692" t="s">
        <v>8569</v>
      </c>
      <c r="E4184" s="717">
        <f t="shared" si="47"/>
        <v>1500</v>
      </c>
      <c r="F4184" s="626">
        <v>46177644</v>
      </c>
      <c r="G4184" s="720" t="s">
        <v>8443</v>
      </c>
      <c r="H4184" s="649" t="s">
        <v>5780</v>
      </c>
      <c r="I4184" s="648" t="s">
        <v>8571</v>
      </c>
      <c r="J4184" s="626" t="s">
        <v>8572</v>
      </c>
      <c r="K4184" s="721" t="s">
        <v>26</v>
      </c>
      <c r="L4184" s="722">
        <v>3</v>
      </c>
      <c r="M4184" s="717">
        <v>4500</v>
      </c>
      <c r="N4184" s="654"/>
      <c r="O4184" s="653"/>
      <c r="P4184" s="654"/>
    </row>
    <row r="4185" spans="1:16" s="619" customFormat="1" ht="36" x14ac:dyDescent="0.2">
      <c r="A4185" s="625" t="s">
        <v>7690</v>
      </c>
      <c r="B4185" s="626" t="s">
        <v>1908</v>
      </c>
      <c r="C4185" s="638" t="s">
        <v>8568</v>
      </c>
      <c r="D4185" s="626" t="s">
        <v>8627</v>
      </c>
      <c r="E4185" s="717">
        <v>1000</v>
      </c>
      <c r="F4185" s="626">
        <v>76686760</v>
      </c>
      <c r="G4185" s="648" t="s">
        <v>8628</v>
      </c>
      <c r="H4185" s="649" t="s">
        <v>8600</v>
      </c>
      <c r="I4185" s="648" t="s">
        <v>3551</v>
      </c>
      <c r="J4185" s="626" t="s">
        <v>8600</v>
      </c>
      <c r="K4185" s="721"/>
      <c r="L4185" s="724"/>
      <c r="M4185" s="717"/>
      <c r="N4185" s="724" t="s">
        <v>5037</v>
      </c>
      <c r="O4185" s="725">
        <v>7</v>
      </c>
      <c r="P4185" s="719">
        <v>7000</v>
      </c>
    </row>
    <row r="4186" spans="1:16" s="619" customFormat="1" ht="36" x14ac:dyDescent="0.2">
      <c r="A4186" s="625" t="s">
        <v>7690</v>
      </c>
      <c r="B4186" s="626" t="s">
        <v>1908</v>
      </c>
      <c r="C4186" s="638" t="s">
        <v>8568</v>
      </c>
      <c r="D4186" s="626" t="s">
        <v>8627</v>
      </c>
      <c r="E4186" s="717">
        <v>1000</v>
      </c>
      <c r="F4186" s="626">
        <v>41382453</v>
      </c>
      <c r="G4186" s="720" t="s">
        <v>8371</v>
      </c>
      <c r="H4186" s="626" t="s">
        <v>8600</v>
      </c>
      <c r="I4186" s="648" t="s">
        <v>3551</v>
      </c>
      <c r="J4186" s="626" t="s">
        <v>8600</v>
      </c>
      <c r="K4186" s="721"/>
      <c r="L4186" s="724"/>
      <c r="M4186" s="717"/>
      <c r="N4186" s="724" t="s">
        <v>5037</v>
      </c>
      <c r="O4186" s="725">
        <v>7</v>
      </c>
      <c r="P4186" s="719">
        <v>6933.24</v>
      </c>
    </row>
    <row r="4187" spans="1:16" s="619" customFormat="1" ht="36" x14ac:dyDescent="0.2">
      <c r="A4187" s="625" t="s">
        <v>7690</v>
      </c>
      <c r="B4187" s="626" t="s">
        <v>1908</v>
      </c>
      <c r="C4187" s="638" t="s">
        <v>8568</v>
      </c>
      <c r="D4187" s="626" t="s">
        <v>8627</v>
      </c>
      <c r="E4187" s="717">
        <v>1000</v>
      </c>
      <c r="F4187" s="626">
        <v>80243905</v>
      </c>
      <c r="G4187" s="720" t="s">
        <v>8629</v>
      </c>
      <c r="H4187" s="626" t="s">
        <v>8600</v>
      </c>
      <c r="I4187" s="648" t="s">
        <v>3551</v>
      </c>
      <c r="J4187" s="626" t="s">
        <v>8600</v>
      </c>
      <c r="K4187" s="721"/>
      <c r="L4187" s="724"/>
      <c r="M4187" s="717"/>
      <c r="N4187" s="724" t="s">
        <v>8630</v>
      </c>
      <c r="O4187" s="725">
        <v>5</v>
      </c>
      <c r="P4187" s="719">
        <v>6766.59</v>
      </c>
    </row>
    <row r="4188" spans="1:16" s="619" customFormat="1" ht="36" x14ac:dyDescent="0.2">
      <c r="A4188" s="625" t="s">
        <v>7690</v>
      </c>
      <c r="B4188" s="626" t="s">
        <v>1908</v>
      </c>
      <c r="C4188" s="638" t="s">
        <v>8568</v>
      </c>
      <c r="D4188" s="626" t="s">
        <v>8627</v>
      </c>
      <c r="E4188" s="717">
        <v>1000</v>
      </c>
      <c r="F4188" s="626">
        <v>47742278</v>
      </c>
      <c r="G4188" s="720" t="s">
        <v>8631</v>
      </c>
      <c r="H4188" s="626" t="s">
        <v>8600</v>
      </c>
      <c r="I4188" s="648" t="s">
        <v>3551</v>
      </c>
      <c r="J4188" s="626" t="s">
        <v>8600</v>
      </c>
      <c r="K4188" s="721"/>
      <c r="L4188" s="724"/>
      <c r="M4188" s="717"/>
      <c r="N4188" s="724" t="s">
        <v>3928</v>
      </c>
      <c r="O4188" s="725">
        <v>1</v>
      </c>
      <c r="P4188" s="719">
        <v>466.62</v>
      </c>
    </row>
    <row r="4189" spans="1:16" s="619" customFormat="1" ht="24" x14ac:dyDescent="0.2">
      <c r="A4189" s="625" t="s">
        <v>7690</v>
      </c>
      <c r="B4189" s="626" t="s">
        <v>1908</v>
      </c>
      <c r="C4189" s="638" t="s">
        <v>8568</v>
      </c>
      <c r="D4189" s="626" t="s">
        <v>8627</v>
      </c>
      <c r="E4189" s="717">
        <v>1000</v>
      </c>
      <c r="F4189" s="626">
        <v>41846197</v>
      </c>
      <c r="G4189" s="720" t="s">
        <v>8632</v>
      </c>
      <c r="H4189" s="626" t="s">
        <v>8600</v>
      </c>
      <c r="I4189" s="648" t="s">
        <v>3551</v>
      </c>
      <c r="J4189" s="626" t="s">
        <v>8600</v>
      </c>
      <c r="K4189" s="721"/>
      <c r="L4189" s="724"/>
      <c r="M4189" s="717"/>
      <c r="N4189" s="724" t="s">
        <v>5059</v>
      </c>
      <c r="O4189" s="725">
        <v>9</v>
      </c>
      <c r="P4189" s="719">
        <v>9000</v>
      </c>
    </row>
    <row r="4190" spans="1:16" s="619" customFormat="1" ht="24" x14ac:dyDescent="0.2">
      <c r="A4190" s="625" t="s">
        <v>7690</v>
      </c>
      <c r="B4190" s="626" t="s">
        <v>1908</v>
      </c>
      <c r="C4190" s="638" t="s">
        <v>8568</v>
      </c>
      <c r="D4190" s="626" t="s">
        <v>8627</v>
      </c>
      <c r="E4190" s="717">
        <v>1000</v>
      </c>
      <c r="F4190" s="626">
        <v>70551077</v>
      </c>
      <c r="G4190" s="720" t="s">
        <v>8633</v>
      </c>
      <c r="H4190" s="626" t="s">
        <v>8600</v>
      </c>
      <c r="I4190" s="648" t="s">
        <v>3551</v>
      </c>
      <c r="J4190" s="626" t="s">
        <v>8600</v>
      </c>
      <c r="K4190" s="721"/>
      <c r="L4190" s="724"/>
      <c r="M4190" s="717"/>
      <c r="N4190" s="724" t="s">
        <v>5059</v>
      </c>
      <c r="O4190" s="725">
        <v>9</v>
      </c>
      <c r="P4190" s="719">
        <v>8766.66</v>
      </c>
    </row>
    <row r="4191" spans="1:16" s="619" customFormat="1" ht="24" x14ac:dyDescent="0.2">
      <c r="A4191" s="625" t="s">
        <v>7690</v>
      </c>
      <c r="B4191" s="626" t="s">
        <v>1908</v>
      </c>
      <c r="C4191" s="638" t="s">
        <v>8568</v>
      </c>
      <c r="D4191" s="626" t="s">
        <v>8627</v>
      </c>
      <c r="E4191" s="717">
        <v>1000</v>
      </c>
      <c r="F4191" s="626">
        <v>33594062</v>
      </c>
      <c r="G4191" s="720" t="s">
        <v>7987</v>
      </c>
      <c r="H4191" s="626" t="s">
        <v>8600</v>
      </c>
      <c r="I4191" s="648" t="s">
        <v>3551</v>
      </c>
      <c r="J4191" s="626" t="s">
        <v>8600</v>
      </c>
      <c r="K4191" s="721"/>
      <c r="L4191" s="724"/>
      <c r="M4191" s="717"/>
      <c r="N4191" s="724" t="s">
        <v>5059</v>
      </c>
      <c r="O4191" s="725">
        <v>9</v>
      </c>
      <c r="P4191" s="719">
        <v>5000</v>
      </c>
    </row>
    <row r="4192" spans="1:16" s="619" customFormat="1" ht="24" x14ac:dyDescent="0.2">
      <c r="A4192" s="625" t="s">
        <v>7690</v>
      </c>
      <c r="B4192" s="626" t="s">
        <v>1908</v>
      </c>
      <c r="C4192" s="638" t="s">
        <v>8568</v>
      </c>
      <c r="D4192" s="626" t="s">
        <v>8627</v>
      </c>
      <c r="E4192" s="717">
        <v>1000</v>
      </c>
      <c r="F4192" s="626">
        <v>74635380</v>
      </c>
      <c r="G4192" s="720" t="s">
        <v>8634</v>
      </c>
      <c r="H4192" s="626" t="s">
        <v>8600</v>
      </c>
      <c r="I4192" s="648" t="s">
        <v>3551</v>
      </c>
      <c r="J4192" s="626" t="s">
        <v>8600</v>
      </c>
      <c r="K4192" s="721"/>
      <c r="L4192" s="724"/>
      <c r="M4192" s="717"/>
      <c r="N4192" s="724" t="s">
        <v>26</v>
      </c>
      <c r="O4192" s="725">
        <v>2</v>
      </c>
      <c r="P4192" s="719">
        <v>1766.59</v>
      </c>
    </row>
    <row r="4193" spans="1:16" s="619" customFormat="1" ht="24" x14ac:dyDescent="0.2">
      <c r="A4193" s="625" t="s">
        <v>7690</v>
      </c>
      <c r="B4193" s="626" t="s">
        <v>1908</v>
      </c>
      <c r="C4193" s="638" t="s">
        <v>8568</v>
      </c>
      <c r="D4193" s="626" t="s">
        <v>8627</v>
      </c>
      <c r="E4193" s="717">
        <v>1000</v>
      </c>
      <c r="F4193" s="626">
        <v>47925078</v>
      </c>
      <c r="G4193" s="720" t="s">
        <v>8084</v>
      </c>
      <c r="H4193" s="626" t="s">
        <v>8600</v>
      </c>
      <c r="I4193" s="648" t="s">
        <v>3551</v>
      </c>
      <c r="J4193" s="626" t="s">
        <v>8600</v>
      </c>
      <c r="K4193" s="721"/>
      <c r="L4193" s="724"/>
      <c r="M4193" s="717"/>
      <c r="N4193" s="724" t="s">
        <v>26</v>
      </c>
      <c r="O4193" s="725">
        <v>2</v>
      </c>
      <c r="P4193" s="719">
        <v>2000</v>
      </c>
    </row>
    <row r="4194" spans="1:16" s="619" customFormat="1" ht="48" x14ac:dyDescent="0.2">
      <c r="A4194" s="625" t="s">
        <v>7690</v>
      </c>
      <c r="B4194" s="626" t="s">
        <v>1908</v>
      </c>
      <c r="C4194" s="638" t="s">
        <v>8568</v>
      </c>
      <c r="D4194" s="626" t="s">
        <v>8627</v>
      </c>
      <c r="E4194" s="717">
        <v>1000</v>
      </c>
      <c r="F4194" s="626">
        <v>46817074</v>
      </c>
      <c r="G4194" s="720" t="s">
        <v>8177</v>
      </c>
      <c r="H4194" s="626" t="s">
        <v>8600</v>
      </c>
      <c r="I4194" s="648" t="s">
        <v>3551</v>
      </c>
      <c r="J4194" s="626" t="s">
        <v>8600</v>
      </c>
      <c r="K4194" s="721"/>
      <c r="L4194" s="724"/>
      <c r="M4194" s="717"/>
      <c r="N4194" s="724" t="s">
        <v>26</v>
      </c>
      <c r="O4194" s="725">
        <v>2</v>
      </c>
      <c r="P4194" s="719">
        <v>2000</v>
      </c>
    </row>
    <row r="4195" spans="1:16" s="619" customFormat="1" ht="24" x14ac:dyDescent="0.2">
      <c r="A4195" s="625" t="s">
        <v>7690</v>
      </c>
      <c r="B4195" s="626" t="s">
        <v>1908</v>
      </c>
      <c r="C4195" s="638" t="s">
        <v>8568</v>
      </c>
      <c r="D4195" s="626" t="s">
        <v>8627</v>
      </c>
      <c r="E4195" s="717">
        <v>1000</v>
      </c>
      <c r="F4195" s="626">
        <v>76655345</v>
      </c>
      <c r="G4195" s="720" t="s">
        <v>8635</v>
      </c>
      <c r="H4195" s="626" t="s">
        <v>8600</v>
      </c>
      <c r="I4195" s="648" t="s">
        <v>3551</v>
      </c>
      <c r="J4195" s="626" t="s">
        <v>8600</v>
      </c>
      <c r="K4195" s="721"/>
      <c r="L4195" s="724"/>
      <c r="M4195" s="717"/>
      <c r="N4195" s="724" t="s">
        <v>27</v>
      </c>
      <c r="O4195" s="725">
        <v>1</v>
      </c>
      <c r="P4195" s="719">
        <v>1000</v>
      </c>
    </row>
    <row r="4196" spans="1:16" s="619" customFormat="1" ht="24" x14ac:dyDescent="0.2">
      <c r="A4196" s="625" t="s">
        <v>7690</v>
      </c>
      <c r="B4196" s="626" t="s">
        <v>1908</v>
      </c>
      <c r="C4196" s="638" t="s">
        <v>8568</v>
      </c>
      <c r="D4196" s="626" t="s">
        <v>8586</v>
      </c>
      <c r="E4196" s="717">
        <v>930</v>
      </c>
      <c r="F4196" s="626">
        <v>75829267</v>
      </c>
      <c r="G4196" s="720" t="s">
        <v>8596</v>
      </c>
      <c r="H4196" s="626" t="s">
        <v>5337</v>
      </c>
      <c r="I4196" s="648" t="s">
        <v>8571</v>
      </c>
      <c r="J4196" s="626" t="s">
        <v>8572</v>
      </c>
      <c r="K4196" s="721"/>
      <c r="L4196" s="724"/>
      <c r="M4196" s="717"/>
      <c r="N4196" s="724" t="s">
        <v>25</v>
      </c>
      <c r="O4196" s="725">
        <v>1</v>
      </c>
      <c r="P4196" s="719">
        <v>930</v>
      </c>
    </row>
    <row r="4197" spans="1:16" s="619" customFormat="1" ht="36" x14ac:dyDescent="0.2">
      <c r="A4197" s="625" t="s">
        <v>7690</v>
      </c>
      <c r="B4197" s="626" t="s">
        <v>1908</v>
      </c>
      <c r="C4197" s="638" t="s">
        <v>8568</v>
      </c>
      <c r="D4197" s="626" t="s">
        <v>8586</v>
      </c>
      <c r="E4197" s="717">
        <v>400</v>
      </c>
      <c r="F4197" s="626">
        <v>42373794</v>
      </c>
      <c r="G4197" s="720" t="s">
        <v>8636</v>
      </c>
      <c r="H4197" s="626" t="s">
        <v>2845</v>
      </c>
      <c r="I4197" s="648" t="s">
        <v>8571</v>
      </c>
      <c r="J4197" s="626" t="s">
        <v>8572</v>
      </c>
      <c r="K4197" s="721"/>
      <c r="L4197" s="724"/>
      <c r="M4197" s="717"/>
      <c r="N4197" s="724" t="s">
        <v>25</v>
      </c>
      <c r="O4197" s="725">
        <v>1</v>
      </c>
      <c r="P4197" s="719">
        <v>400</v>
      </c>
    </row>
    <row r="4198" spans="1:16" s="619" customFormat="1" ht="24" x14ac:dyDescent="0.2">
      <c r="A4198" s="625" t="s">
        <v>7690</v>
      </c>
      <c r="B4198" s="626" t="s">
        <v>1908</v>
      </c>
      <c r="C4198" s="638" t="s">
        <v>8568</v>
      </c>
      <c r="D4198" s="626" t="s">
        <v>8586</v>
      </c>
      <c r="E4198" s="717">
        <v>1500</v>
      </c>
      <c r="F4198" s="626">
        <v>70464497</v>
      </c>
      <c r="G4198" s="720" t="s">
        <v>8637</v>
      </c>
      <c r="H4198" s="626" t="s">
        <v>4722</v>
      </c>
      <c r="I4198" s="638" t="s">
        <v>3587</v>
      </c>
      <c r="J4198" s="626" t="s">
        <v>8600</v>
      </c>
      <c r="K4198" s="721"/>
      <c r="L4198" s="724"/>
      <c r="M4198" s="717"/>
      <c r="N4198" s="724" t="s">
        <v>0</v>
      </c>
      <c r="O4198" s="725">
        <v>4</v>
      </c>
      <c r="P4198" s="719">
        <v>5200</v>
      </c>
    </row>
    <row r="4199" spans="1:16" s="619" customFormat="1" ht="48" x14ac:dyDescent="0.2">
      <c r="A4199" s="625" t="s">
        <v>7690</v>
      </c>
      <c r="B4199" s="626" t="s">
        <v>1908</v>
      </c>
      <c r="C4199" s="638" t="s">
        <v>8568</v>
      </c>
      <c r="D4199" s="626" t="s">
        <v>8586</v>
      </c>
      <c r="E4199" s="726">
        <v>1500</v>
      </c>
      <c r="F4199" s="626">
        <v>72761773</v>
      </c>
      <c r="G4199" s="720" t="s">
        <v>8638</v>
      </c>
      <c r="H4199" s="626" t="s">
        <v>4722</v>
      </c>
      <c r="I4199" s="638" t="s">
        <v>5663</v>
      </c>
      <c r="J4199" s="626" t="s">
        <v>3523</v>
      </c>
      <c r="K4199" s="721"/>
      <c r="L4199" s="724"/>
      <c r="M4199" s="717"/>
      <c r="N4199" s="724" t="s">
        <v>25</v>
      </c>
      <c r="O4199" s="725">
        <v>1</v>
      </c>
      <c r="P4199" s="719">
        <v>1500</v>
      </c>
    </row>
    <row r="4200" spans="1:16" s="619" customFormat="1" ht="24" x14ac:dyDescent="0.2">
      <c r="A4200" s="625" t="s">
        <v>7690</v>
      </c>
      <c r="B4200" s="626" t="s">
        <v>1908</v>
      </c>
      <c r="C4200" s="638" t="s">
        <v>8568</v>
      </c>
      <c r="D4200" s="626" t="s">
        <v>8577</v>
      </c>
      <c r="E4200" s="717">
        <v>1000</v>
      </c>
      <c r="F4200" s="626">
        <v>75829267</v>
      </c>
      <c r="G4200" s="638" t="s">
        <v>8596</v>
      </c>
      <c r="H4200" s="626" t="s">
        <v>5337</v>
      </c>
      <c r="I4200" s="648" t="s">
        <v>8571</v>
      </c>
      <c r="J4200" s="626" t="s">
        <v>8572</v>
      </c>
      <c r="K4200" s="721"/>
      <c r="L4200" s="724"/>
      <c r="M4200" s="717"/>
      <c r="N4200" s="724" t="s">
        <v>26</v>
      </c>
      <c r="O4200" s="725">
        <v>2</v>
      </c>
      <c r="P4200" s="719">
        <v>2000</v>
      </c>
    </row>
    <row r="4201" spans="1:16" s="619" customFormat="1" ht="24" x14ac:dyDescent="0.2">
      <c r="A4201" s="625" t="s">
        <v>7690</v>
      </c>
      <c r="B4201" s="626" t="s">
        <v>1908</v>
      </c>
      <c r="C4201" s="638" t="s">
        <v>8568</v>
      </c>
      <c r="D4201" s="626" t="s">
        <v>8639</v>
      </c>
      <c r="E4201" s="717">
        <v>5200</v>
      </c>
      <c r="F4201" s="626">
        <v>70550426</v>
      </c>
      <c r="G4201" s="638" t="s">
        <v>8640</v>
      </c>
      <c r="H4201" s="626" t="s">
        <v>8612</v>
      </c>
      <c r="I4201" s="638" t="s">
        <v>5663</v>
      </c>
      <c r="J4201" s="626" t="s">
        <v>3523</v>
      </c>
      <c r="K4201" s="721"/>
      <c r="L4201" s="724"/>
      <c r="M4201" s="717"/>
      <c r="N4201" s="724" t="s">
        <v>25</v>
      </c>
      <c r="O4201" s="725">
        <v>0</v>
      </c>
      <c r="P4201" s="719">
        <v>0</v>
      </c>
    </row>
    <row r="4202" spans="1:16" s="619" customFormat="1" ht="36" x14ac:dyDescent="0.2">
      <c r="A4202" s="625" t="s">
        <v>7690</v>
      </c>
      <c r="B4202" s="626" t="s">
        <v>1908</v>
      </c>
      <c r="C4202" s="638" t="s">
        <v>8568</v>
      </c>
      <c r="D4202" s="626" t="s">
        <v>8641</v>
      </c>
      <c r="E4202" s="717">
        <v>1600</v>
      </c>
      <c r="F4202" s="626">
        <v>41285225</v>
      </c>
      <c r="G4202" s="638" t="s">
        <v>7733</v>
      </c>
      <c r="H4202" s="626" t="s">
        <v>5337</v>
      </c>
      <c r="I4202" s="648" t="s">
        <v>8571</v>
      </c>
      <c r="J4202" s="626" t="s">
        <v>8572</v>
      </c>
      <c r="K4202" s="721"/>
      <c r="L4202" s="724"/>
      <c r="M4202" s="717"/>
      <c r="N4202" s="724" t="s">
        <v>25</v>
      </c>
      <c r="O4202" s="725">
        <v>0</v>
      </c>
      <c r="P4202" s="719">
        <v>0</v>
      </c>
    </row>
    <row r="4203" spans="1:16" s="619" customFormat="1" ht="48" x14ac:dyDescent="0.2">
      <c r="A4203" s="625" t="s">
        <v>7690</v>
      </c>
      <c r="B4203" s="626" t="s">
        <v>1908</v>
      </c>
      <c r="C4203" s="638" t="s">
        <v>8568</v>
      </c>
      <c r="D4203" s="626" t="s">
        <v>8641</v>
      </c>
      <c r="E4203" s="717">
        <v>1600</v>
      </c>
      <c r="F4203" s="626">
        <v>42669156</v>
      </c>
      <c r="G4203" s="638" t="s">
        <v>8642</v>
      </c>
      <c r="H4203" s="626" t="s">
        <v>5337</v>
      </c>
      <c r="I4203" s="648" t="s">
        <v>8571</v>
      </c>
      <c r="J4203" s="626" t="s">
        <v>8572</v>
      </c>
      <c r="K4203" s="721"/>
      <c r="L4203" s="724"/>
      <c r="M4203" s="717"/>
      <c r="N4203" s="724" t="s">
        <v>25</v>
      </c>
      <c r="O4203" s="725">
        <v>0</v>
      </c>
      <c r="P4203" s="719">
        <v>0</v>
      </c>
    </row>
    <row r="4204" spans="1:16" s="619" customFormat="1" ht="24.75" thickBot="1" x14ac:dyDescent="0.25">
      <c r="A4204" s="625" t="s">
        <v>7690</v>
      </c>
      <c r="B4204" s="626" t="s">
        <v>1908</v>
      </c>
      <c r="C4204" s="638" t="s">
        <v>8568</v>
      </c>
      <c r="D4204" s="626" t="s">
        <v>8588</v>
      </c>
      <c r="E4204" s="717">
        <v>2200</v>
      </c>
      <c r="F4204" s="657">
        <v>70068475</v>
      </c>
      <c r="G4204" s="638" t="s">
        <v>8441</v>
      </c>
      <c r="H4204" s="657" t="s">
        <v>5780</v>
      </c>
      <c r="I4204" s="648" t="s">
        <v>8571</v>
      </c>
      <c r="J4204" s="657" t="s">
        <v>8572</v>
      </c>
      <c r="K4204" s="721"/>
      <c r="L4204" s="727"/>
      <c r="M4204" s="717"/>
      <c r="N4204" s="727" t="s">
        <v>25</v>
      </c>
      <c r="O4204" s="725">
        <v>0</v>
      </c>
      <c r="P4204" s="728">
        <v>0</v>
      </c>
    </row>
    <row r="4205" spans="1:16" s="619" customFormat="1" ht="13.5" customHeight="1" thickBot="1" x14ac:dyDescent="0.25">
      <c r="A4205" s="1149" t="s">
        <v>1869</v>
      </c>
      <c r="B4205" s="1150"/>
      <c r="C4205" s="1150"/>
      <c r="D4205" s="1151"/>
      <c r="E4205" s="610">
        <f>SUM(E3501:E4204)</f>
        <v>1654042.2266666666</v>
      </c>
      <c r="F4205" s="623"/>
      <c r="G4205" s="109"/>
      <c r="H4205" s="109"/>
      <c r="I4205" s="109"/>
      <c r="J4205" s="109"/>
      <c r="K4205" s="623"/>
      <c r="L4205" s="109"/>
      <c r="M4205" s="610">
        <f>SUM(M3501:M4204)</f>
        <v>5919551.2399999993</v>
      </c>
      <c r="N4205" s="623"/>
      <c r="O4205" s="623"/>
      <c r="P4205" s="610">
        <f>SUM(P3501:P4204)</f>
        <v>3909721.37</v>
      </c>
    </row>
    <row r="4206" spans="1:16" s="619" customFormat="1" ht="36" x14ac:dyDescent="0.2">
      <c r="A4206" s="630" t="s">
        <v>8643</v>
      </c>
      <c r="B4206" s="626" t="s">
        <v>1908</v>
      </c>
      <c r="C4206" s="638" t="s">
        <v>104</v>
      </c>
      <c r="D4206" s="626" t="s">
        <v>6092</v>
      </c>
      <c r="E4206" s="636">
        <v>1800</v>
      </c>
      <c r="F4206" s="637" t="s">
        <v>8644</v>
      </c>
      <c r="G4206" s="626" t="s">
        <v>8645</v>
      </c>
      <c r="H4206" s="626" t="s">
        <v>8646</v>
      </c>
      <c r="I4206" s="626" t="s">
        <v>3768</v>
      </c>
      <c r="J4206" s="638" t="s">
        <v>1913</v>
      </c>
      <c r="K4206" s="632">
        <v>1</v>
      </c>
      <c r="L4206" s="729">
        <v>12</v>
      </c>
      <c r="M4206" s="635">
        <v>21600</v>
      </c>
      <c r="N4206" s="729">
        <v>1</v>
      </c>
      <c r="O4206" s="632">
        <v>6</v>
      </c>
      <c r="P4206" s="665">
        <v>10800</v>
      </c>
    </row>
    <row r="4207" spans="1:16" s="619" customFormat="1" ht="48" x14ac:dyDescent="0.2">
      <c r="A4207" s="626" t="s">
        <v>8643</v>
      </c>
      <c r="B4207" s="626" t="s">
        <v>1908</v>
      </c>
      <c r="C4207" s="638" t="s">
        <v>104</v>
      </c>
      <c r="D4207" s="626" t="s">
        <v>3545</v>
      </c>
      <c r="E4207" s="636">
        <v>1300</v>
      </c>
      <c r="F4207" s="637" t="s">
        <v>8647</v>
      </c>
      <c r="G4207" s="626" t="s">
        <v>8648</v>
      </c>
      <c r="H4207" s="626" t="s">
        <v>8649</v>
      </c>
      <c r="I4207" s="626" t="s">
        <v>3587</v>
      </c>
      <c r="J4207" s="638" t="s">
        <v>1913</v>
      </c>
      <c r="K4207" s="640">
        <v>1</v>
      </c>
      <c r="L4207" s="642">
        <v>12</v>
      </c>
      <c r="M4207" s="643">
        <v>15600</v>
      </c>
      <c r="N4207" s="642">
        <v>1</v>
      </c>
      <c r="O4207" s="640">
        <v>6</v>
      </c>
      <c r="P4207" s="667">
        <v>7800</v>
      </c>
    </row>
    <row r="4208" spans="1:16" s="619" customFormat="1" ht="48" x14ac:dyDescent="0.2">
      <c r="A4208" s="626" t="s">
        <v>8643</v>
      </c>
      <c r="B4208" s="626" t="s">
        <v>1908</v>
      </c>
      <c r="C4208" s="638" t="s">
        <v>104</v>
      </c>
      <c r="D4208" s="626" t="s">
        <v>6187</v>
      </c>
      <c r="E4208" s="636">
        <v>1200</v>
      </c>
      <c r="F4208" s="637" t="s">
        <v>8650</v>
      </c>
      <c r="G4208" s="626" t="s">
        <v>8651</v>
      </c>
      <c r="H4208" s="626" t="s">
        <v>8652</v>
      </c>
      <c r="I4208" s="626" t="s">
        <v>8653</v>
      </c>
      <c r="J4208" s="638" t="s">
        <v>1931</v>
      </c>
      <c r="K4208" s="640">
        <v>1</v>
      </c>
      <c r="L4208" s="642">
        <v>12</v>
      </c>
      <c r="M4208" s="643">
        <v>14400</v>
      </c>
      <c r="N4208" s="642">
        <v>1</v>
      </c>
      <c r="O4208" s="640">
        <v>6</v>
      </c>
      <c r="P4208" s="667">
        <v>7200</v>
      </c>
    </row>
    <row r="4209" spans="1:16" s="619" customFormat="1" ht="36" x14ac:dyDescent="0.2">
      <c r="A4209" s="626" t="s">
        <v>8643</v>
      </c>
      <c r="B4209" s="626" t="s">
        <v>1908</v>
      </c>
      <c r="C4209" s="638" t="s">
        <v>104</v>
      </c>
      <c r="D4209" s="626" t="s">
        <v>6299</v>
      </c>
      <c r="E4209" s="636">
        <v>1300</v>
      </c>
      <c r="F4209" s="637" t="s">
        <v>8654</v>
      </c>
      <c r="G4209" s="626" t="s">
        <v>8655</v>
      </c>
      <c r="H4209" s="626" t="s">
        <v>8656</v>
      </c>
      <c r="I4209" s="626" t="s">
        <v>8653</v>
      </c>
      <c r="J4209" s="638" t="s">
        <v>1931</v>
      </c>
      <c r="K4209" s="640">
        <v>1</v>
      </c>
      <c r="L4209" s="642">
        <v>12</v>
      </c>
      <c r="M4209" s="643">
        <v>15600</v>
      </c>
      <c r="N4209" s="642">
        <v>4</v>
      </c>
      <c r="O4209" s="640">
        <v>6</v>
      </c>
      <c r="P4209" s="667">
        <v>7800</v>
      </c>
    </row>
    <row r="4210" spans="1:16" s="619" customFormat="1" ht="36" x14ac:dyDescent="0.2">
      <c r="A4210" s="626" t="s">
        <v>8643</v>
      </c>
      <c r="B4210" s="626" t="s">
        <v>1908</v>
      </c>
      <c r="C4210" s="638" t="s">
        <v>104</v>
      </c>
      <c r="D4210" s="626" t="s">
        <v>6092</v>
      </c>
      <c r="E4210" s="636">
        <v>1800</v>
      </c>
      <c r="F4210" s="637" t="s">
        <v>8657</v>
      </c>
      <c r="G4210" s="626" t="s">
        <v>8658</v>
      </c>
      <c r="H4210" s="626" t="s">
        <v>8646</v>
      </c>
      <c r="I4210" s="626" t="s">
        <v>3768</v>
      </c>
      <c r="J4210" s="638" t="s">
        <v>1913</v>
      </c>
      <c r="K4210" s="640">
        <v>7</v>
      </c>
      <c r="L4210" s="642">
        <v>12</v>
      </c>
      <c r="M4210" s="643">
        <v>21600</v>
      </c>
      <c r="N4210" s="642">
        <v>1</v>
      </c>
      <c r="O4210" s="640">
        <v>6</v>
      </c>
      <c r="P4210" s="667">
        <v>10800</v>
      </c>
    </row>
    <row r="4211" spans="1:16" s="619" customFormat="1" ht="36" x14ac:dyDescent="0.2">
      <c r="A4211" s="626" t="s">
        <v>8643</v>
      </c>
      <c r="B4211" s="626" t="s">
        <v>1908</v>
      </c>
      <c r="C4211" s="638" t="s">
        <v>104</v>
      </c>
      <c r="D4211" s="626" t="s">
        <v>2660</v>
      </c>
      <c r="E4211" s="636">
        <v>1300</v>
      </c>
      <c r="F4211" s="637" t="s">
        <v>8659</v>
      </c>
      <c r="G4211" s="626" t="s">
        <v>8660</v>
      </c>
      <c r="H4211" s="626" t="s">
        <v>8661</v>
      </c>
      <c r="I4211" s="626" t="s">
        <v>8653</v>
      </c>
      <c r="J4211" s="638" t="s">
        <v>1931</v>
      </c>
      <c r="K4211" s="640">
        <v>5</v>
      </c>
      <c r="L4211" s="642">
        <v>12</v>
      </c>
      <c r="M4211" s="643">
        <v>15600</v>
      </c>
      <c r="N4211" s="642">
        <v>2</v>
      </c>
      <c r="O4211" s="640">
        <v>6</v>
      </c>
      <c r="P4211" s="667">
        <v>7800</v>
      </c>
    </row>
    <row r="4212" spans="1:16" s="619" customFormat="1" ht="36" x14ac:dyDescent="0.2">
      <c r="A4212" s="626" t="s">
        <v>8643</v>
      </c>
      <c r="B4212" s="626" t="s">
        <v>1908</v>
      </c>
      <c r="C4212" s="638" t="s">
        <v>104</v>
      </c>
      <c r="D4212" s="626" t="s">
        <v>8662</v>
      </c>
      <c r="E4212" s="636">
        <v>1800</v>
      </c>
      <c r="F4212" s="637" t="s">
        <v>8663</v>
      </c>
      <c r="G4212" s="626" t="s">
        <v>8664</v>
      </c>
      <c r="H4212" s="626" t="s">
        <v>8662</v>
      </c>
      <c r="I4212" s="626" t="s">
        <v>3768</v>
      </c>
      <c r="J4212" s="638" t="s">
        <v>1913</v>
      </c>
      <c r="K4212" s="640">
        <v>1</v>
      </c>
      <c r="L4212" s="642">
        <v>12</v>
      </c>
      <c r="M4212" s="643">
        <v>21600</v>
      </c>
      <c r="N4212" s="642">
        <v>1</v>
      </c>
      <c r="O4212" s="640">
        <v>6</v>
      </c>
      <c r="P4212" s="667">
        <v>10800</v>
      </c>
    </row>
    <row r="4213" spans="1:16" s="619" customFormat="1" ht="36" x14ac:dyDescent="0.2">
      <c r="A4213" s="626" t="s">
        <v>8643</v>
      </c>
      <c r="B4213" s="626" t="s">
        <v>1908</v>
      </c>
      <c r="C4213" s="638" t="s">
        <v>104</v>
      </c>
      <c r="D4213" s="626" t="s">
        <v>6158</v>
      </c>
      <c r="E4213" s="636">
        <v>1200</v>
      </c>
      <c r="F4213" s="637" t="s">
        <v>8665</v>
      </c>
      <c r="G4213" s="626" t="s">
        <v>8666</v>
      </c>
      <c r="H4213" s="626" t="s">
        <v>3551</v>
      </c>
      <c r="I4213" s="626" t="s">
        <v>3551</v>
      </c>
      <c r="J4213" s="638" t="s">
        <v>8667</v>
      </c>
      <c r="K4213" s="640">
        <v>1</v>
      </c>
      <c r="L4213" s="642">
        <v>12</v>
      </c>
      <c r="M4213" s="643">
        <v>14400</v>
      </c>
      <c r="N4213" s="642">
        <v>4</v>
      </c>
      <c r="O4213" s="640">
        <v>6</v>
      </c>
      <c r="P4213" s="667">
        <v>7200</v>
      </c>
    </row>
    <row r="4214" spans="1:16" s="619" customFormat="1" ht="36" x14ac:dyDescent="0.2">
      <c r="A4214" s="626" t="s">
        <v>8643</v>
      </c>
      <c r="B4214" s="626" t="s">
        <v>1908</v>
      </c>
      <c r="C4214" s="638" t="s">
        <v>104</v>
      </c>
      <c r="D4214" s="626" t="s">
        <v>7740</v>
      </c>
      <c r="E4214" s="636">
        <v>1800</v>
      </c>
      <c r="F4214" s="637" t="s">
        <v>8668</v>
      </c>
      <c r="G4214" s="626" t="s">
        <v>8669</v>
      </c>
      <c r="H4214" s="626" t="s">
        <v>6198</v>
      </c>
      <c r="I4214" s="626" t="s">
        <v>3768</v>
      </c>
      <c r="J4214" s="638" t="s">
        <v>1913</v>
      </c>
      <c r="K4214" s="640">
        <v>1</v>
      </c>
      <c r="L4214" s="642">
        <v>12</v>
      </c>
      <c r="M4214" s="643">
        <v>21600</v>
      </c>
      <c r="N4214" s="642">
        <v>2</v>
      </c>
      <c r="O4214" s="640">
        <v>6</v>
      </c>
      <c r="P4214" s="667">
        <v>10800</v>
      </c>
    </row>
    <row r="4215" spans="1:16" s="619" customFormat="1" ht="36" x14ac:dyDescent="0.2">
      <c r="A4215" s="626" t="s">
        <v>8643</v>
      </c>
      <c r="B4215" s="626" t="s">
        <v>1908</v>
      </c>
      <c r="C4215" s="638" t="s">
        <v>104</v>
      </c>
      <c r="D4215" s="626" t="s">
        <v>3545</v>
      </c>
      <c r="E4215" s="636">
        <v>1200</v>
      </c>
      <c r="F4215" s="637" t="s">
        <v>8670</v>
      </c>
      <c r="G4215" s="626" t="s">
        <v>8671</v>
      </c>
      <c r="H4215" s="626" t="s">
        <v>3545</v>
      </c>
      <c r="I4215" s="626" t="s">
        <v>8653</v>
      </c>
      <c r="J4215" s="638" t="s">
        <v>1931</v>
      </c>
      <c r="K4215" s="640">
        <v>7</v>
      </c>
      <c r="L4215" s="642">
        <v>12</v>
      </c>
      <c r="M4215" s="643">
        <v>15600</v>
      </c>
      <c r="N4215" s="642">
        <v>1</v>
      </c>
      <c r="O4215" s="640">
        <v>6</v>
      </c>
      <c r="P4215" s="667">
        <v>7200</v>
      </c>
    </row>
    <row r="4216" spans="1:16" s="619" customFormat="1" ht="36" x14ac:dyDescent="0.2">
      <c r="A4216" s="626" t="s">
        <v>8643</v>
      </c>
      <c r="B4216" s="626" t="s">
        <v>1908</v>
      </c>
      <c r="C4216" s="638" t="s">
        <v>104</v>
      </c>
      <c r="D4216" s="626" t="s">
        <v>2660</v>
      </c>
      <c r="E4216" s="636">
        <v>1300</v>
      </c>
      <c r="F4216" s="637" t="s">
        <v>8672</v>
      </c>
      <c r="G4216" s="626" t="s">
        <v>8673</v>
      </c>
      <c r="H4216" s="626" t="s">
        <v>8661</v>
      </c>
      <c r="I4216" s="626" t="s">
        <v>8653</v>
      </c>
      <c r="J4216" s="638" t="s">
        <v>1931</v>
      </c>
      <c r="K4216" s="640">
        <v>6</v>
      </c>
      <c r="L4216" s="642">
        <v>11</v>
      </c>
      <c r="M4216" s="643">
        <v>14300</v>
      </c>
      <c r="N4216" s="642">
        <v>2</v>
      </c>
      <c r="O4216" s="640">
        <v>6</v>
      </c>
      <c r="P4216" s="667">
        <v>7800</v>
      </c>
    </row>
    <row r="4217" spans="1:16" s="619" customFormat="1" ht="36" x14ac:dyDescent="0.2">
      <c r="A4217" s="626" t="s">
        <v>8643</v>
      </c>
      <c r="B4217" s="626" t="s">
        <v>1908</v>
      </c>
      <c r="C4217" s="638" t="s">
        <v>104</v>
      </c>
      <c r="D4217" s="626" t="s">
        <v>2660</v>
      </c>
      <c r="E4217" s="636">
        <v>1300</v>
      </c>
      <c r="F4217" s="637" t="s">
        <v>8674</v>
      </c>
      <c r="G4217" s="626" t="s">
        <v>8675</v>
      </c>
      <c r="H4217" s="626" t="s">
        <v>8661</v>
      </c>
      <c r="I4217" s="626" t="s">
        <v>8653</v>
      </c>
      <c r="J4217" s="638" t="s">
        <v>1931</v>
      </c>
      <c r="K4217" s="640">
        <v>1</v>
      </c>
      <c r="L4217" s="642">
        <v>12</v>
      </c>
      <c r="M4217" s="643">
        <v>15600</v>
      </c>
      <c r="N4217" s="642">
        <v>1</v>
      </c>
      <c r="O4217" s="640">
        <v>6</v>
      </c>
      <c r="P4217" s="667">
        <v>7800</v>
      </c>
    </row>
    <row r="4218" spans="1:16" s="619" customFormat="1" ht="36" x14ac:dyDescent="0.2">
      <c r="A4218" s="626" t="s">
        <v>8643</v>
      </c>
      <c r="B4218" s="626" t="s">
        <v>1908</v>
      </c>
      <c r="C4218" s="638" t="s">
        <v>104</v>
      </c>
      <c r="D4218" s="626" t="s">
        <v>3569</v>
      </c>
      <c r="E4218" s="636">
        <v>1200</v>
      </c>
      <c r="F4218" s="637" t="s">
        <v>8676</v>
      </c>
      <c r="G4218" s="626" t="s">
        <v>8677</v>
      </c>
      <c r="H4218" s="626" t="s">
        <v>3545</v>
      </c>
      <c r="I4218" s="626" t="s">
        <v>8653</v>
      </c>
      <c r="J4218" s="638" t="s">
        <v>1931</v>
      </c>
      <c r="K4218" s="640">
        <v>1</v>
      </c>
      <c r="L4218" s="642">
        <v>12</v>
      </c>
      <c r="M4218" s="643">
        <v>15600</v>
      </c>
      <c r="N4218" s="642">
        <v>1</v>
      </c>
      <c r="O4218" s="640">
        <v>6</v>
      </c>
      <c r="P4218" s="667">
        <v>7200</v>
      </c>
    </row>
    <row r="4219" spans="1:16" s="619" customFormat="1" ht="36" x14ac:dyDescent="0.2">
      <c r="A4219" s="626" t="s">
        <v>8643</v>
      </c>
      <c r="B4219" s="626" t="s">
        <v>1908</v>
      </c>
      <c r="C4219" s="638" t="s">
        <v>104</v>
      </c>
      <c r="D4219" s="626" t="s">
        <v>7740</v>
      </c>
      <c r="E4219" s="636">
        <v>1800</v>
      </c>
      <c r="F4219" s="637" t="s">
        <v>6580</v>
      </c>
      <c r="G4219" s="626" t="s">
        <v>6581</v>
      </c>
      <c r="H4219" s="626" t="s">
        <v>6198</v>
      </c>
      <c r="I4219" s="626" t="s">
        <v>3768</v>
      </c>
      <c r="J4219" s="638" t="s">
        <v>1913</v>
      </c>
      <c r="K4219" s="640">
        <v>4</v>
      </c>
      <c r="L4219" s="642">
        <v>7</v>
      </c>
      <c r="M4219" s="643">
        <v>12600</v>
      </c>
      <c r="N4219" s="642">
        <v>2</v>
      </c>
      <c r="O4219" s="640">
        <v>6</v>
      </c>
      <c r="P4219" s="667">
        <v>10800</v>
      </c>
    </row>
    <row r="4220" spans="1:16" s="619" customFormat="1" ht="36" x14ac:dyDescent="0.2">
      <c r="A4220" s="626" t="s">
        <v>8643</v>
      </c>
      <c r="B4220" s="626" t="s">
        <v>1908</v>
      </c>
      <c r="C4220" s="638" t="s">
        <v>104</v>
      </c>
      <c r="D4220" s="626" t="s">
        <v>2660</v>
      </c>
      <c r="E4220" s="636">
        <v>1300</v>
      </c>
      <c r="F4220" s="637" t="s">
        <v>8678</v>
      </c>
      <c r="G4220" s="626" t="s">
        <v>8679</v>
      </c>
      <c r="H4220" s="626" t="s">
        <v>8661</v>
      </c>
      <c r="I4220" s="626" t="s">
        <v>8653</v>
      </c>
      <c r="J4220" s="638" t="s">
        <v>1931</v>
      </c>
      <c r="K4220" s="640">
        <v>7</v>
      </c>
      <c r="L4220" s="642">
        <v>12</v>
      </c>
      <c r="M4220" s="643">
        <v>15600</v>
      </c>
      <c r="N4220" s="642">
        <v>1</v>
      </c>
      <c r="O4220" s="640">
        <v>6</v>
      </c>
      <c r="P4220" s="667">
        <v>7800</v>
      </c>
    </row>
    <row r="4221" spans="1:16" s="619" customFormat="1" ht="36" x14ac:dyDescent="0.2">
      <c r="A4221" s="626" t="s">
        <v>8643</v>
      </c>
      <c r="B4221" s="626" t="s">
        <v>1908</v>
      </c>
      <c r="C4221" s="638" t="s">
        <v>104</v>
      </c>
      <c r="D4221" s="626" t="s">
        <v>8680</v>
      </c>
      <c r="E4221" s="636">
        <v>1200</v>
      </c>
      <c r="F4221" s="637" t="s">
        <v>8681</v>
      </c>
      <c r="G4221" s="626" t="s">
        <v>8682</v>
      </c>
      <c r="H4221" s="626" t="s">
        <v>3551</v>
      </c>
      <c r="I4221" s="626" t="s">
        <v>3551</v>
      </c>
      <c r="J4221" s="638" t="s">
        <v>8667</v>
      </c>
      <c r="K4221" s="640">
        <v>1</v>
      </c>
      <c r="L4221" s="642">
        <v>2</v>
      </c>
      <c r="M4221" s="643">
        <v>2400</v>
      </c>
      <c r="N4221" s="642">
        <v>2</v>
      </c>
      <c r="O4221" s="640">
        <v>6</v>
      </c>
      <c r="P4221" s="667">
        <v>7200</v>
      </c>
    </row>
    <row r="4222" spans="1:16" s="619" customFormat="1" ht="48" x14ac:dyDescent="0.2">
      <c r="A4222" s="626" t="s">
        <v>8643</v>
      </c>
      <c r="B4222" s="626" t="s">
        <v>1908</v>
      </c>
      <c r="C4222" s="638" t="s">
        <v>104</v>
      </c>
      <c r="D4222" s="626" t="s">
        <v>3548</v>
      </c>
      <c r="E4222" s="636">
        <v>1200</v>
      </c>
      <c r="F4222" s="637" t="s">
        <v>8683</v>
      </c>
      <c r="G4222" s="626" t="s">
        <v>8684</v>
      </c>
      <c r="H4222" s="626" t="s">
        <v>3551</v>
      </c>
      <c r="I4222" s="626" t="s">
        <v>3551</v>
      </c>
      <c r="J4222" s="638" t="s">
        <v>8667</v>
      </c>
      <c r="K4222" s="640">
        <v>6</v>
      </c>
      <c r="L4222" s="642">
        <v>12</v>
      </c>
      <c r="M4222" s="643">
        <v>14400</v>
      </c>
      <c r="N4222" s="642">
        <v>4</v>
      </c>
      <c r="O4222" s="640">
        <v>6</v>
      </c>
      <c r="P4222" s="667">
        <v>7200</v>
      </c>
    </row>
    <row r="4223" spans="1:16" s="619" customFormat="1" ht="36" x14ac:dyDescent="0.2">
      <c r="A4223" s="626" t="s">
        <v>8643</v>
      </c>
      <c r="B4223" s="626" t="s">
        <v>1908</v>
      </c>
      <c r="C4223" s="638" t="s">
        <v>104</v>
      </c>
      <c r="D4223" s="626" t="s">
        <v>6158</v>
      </c>
      <c r="E4223" s="636">
        <v>1200</v>
      </c>
      <c r="F4223" s="637" t="s">
        <v>8685</v>
      </c>
      <c r="G4223" s="626" t="s">
        <v>8686</v>
      </c>
      <c r="H4223" s="626" t="s">
        <v>3551</v>
      </c>
      <c r="I4223" s="626" t="s">
        <v>3551</v>
      </c>
      <c r="J4223" s="638" t="s">
        <v>8667</v>
      </c>
      <c r="K4223" s="640">
        <v>1</v>
      </c>
      <c r="L4223" s="642">
        <v>12</v>
      </c>
      <c r="M4223" s="643">
        <v>14400</v>
      </c>
      <c r="N4223" s="642">
        <v>1</v>
      </c>
      <c r="O4223" s="640">
        <v>6</v>
      </c>
      <c r="P4223" s="667">
        <v>7200</v>
      </c>
    </row>
    <row r="4224" spans="1:16" s="619" customFormat="1" ht="36" x14ac:dyDescent="0.2">
      <c r="A4224" s="626" t="s">
        <v>8643</v>
      </c>
      <c r="B4224" s="626" t="s">
        <v>1908</v>
      </c>
      <c r="C4224" s="638" t="s">
        <v>104</v>
      </c>
      <c r="D4224" s="626" t="s">
        <v>6092</v>
      </c>
      <c r="E4224" s="636">
        <v>1800</v>
      </c>
      <c r="F4224" s="637" t="s">
        <v>8687</v>
      </c>
      <c r="G4224" s="626" t="s">
        <v>8688</v>
      </c>
      <c r="H4224" s="626" t="s">
        <v>8646</v>
      </c>
      <c r="I4224" s="626" t="s">
        <v>3768</v>
      </c>
      <c r="J4224" s="638" t="s">
        <v>1913</v>
      </c>
      <c r="K4224" s="640">
        <v>1</v>
      </c>
      <c r="L4224" s="642">
        <v>12</v>
      </c>
      <c r="M4224" s="643">
        <v>21600</v>
      </c>
      <c r="N4224" s="642">
        <v>4</v>
      </c>
      <c r="O4224" s="640">
        <v>6</v>
      </c>
      <c r="P4224" s="667">
        <v>10800</v>
      </c>
    </row>
    <row r="4225" spans="1:16" s="619" customFormat="1" ht="36" x14ac:dyDescent="0.2">
      <c r="A4225" s="626" t="s">
        <v>8643</v>
      </c>
      <c r="B4225" s="626" t="s">
        <v>1908</v>
      </c>
      <c r="C4225" s="638" t="s">
        <v>104</v>
      </c>
      <c r="D4225" s="626" t="s">
        <v>8689</v>
      </c>
      <c r="E4225" s="636">
        <v>5500</v>
      </c>
      <c r="F4225" s="637" t="s">
        <v>8690</v>
      </c>
      <c r="G4225" s="626" t="s">
        <v>8691</v>
      </c>
      <c r="H4225" s="626" t="s">
        <v>8692</v>
      </c>
      <c r="I4225" s="626" t="s">
        <v>3768</v>
      </c>
      <c r="J4225" s="638" t="s">
        <v>1913</v>
      </c>
      <c r="K4225" s="640">
        <v>1</v>
      </c>
      <c r="L4225" s="642">
        <v>12</v>
      </c>
      <c r="M4225" s="643">
        <v>24000</v>
      </c>
      <c r="N4225" s="642">
        <v>1</v>
      </c>
      <c r="O4225" s="640">
        <v>6</v>
      </c>
      <c r="P4225" s="667">
        <v>33000</v>
      </c>
    </row>
    <row r="4226" spans="1:16" s="619" customFormat="1" ht="36" x14ac:dyDescent="0.2">
      <c r="A4226" s="626" t="s">
        <v>8643</v>
      </c>
      <c r="B4226" s="626" t="s">
        <v>1908</v>
      </c>
      <c r="C4226" s="638" t="s">
        <v>104</v>
      </c>
      <c r="D4226" s="626" t="s">
        <v>7740</v>
      </c>
      <c r="E4226" s="636">
        <v>1800</v>
      </c>
      <c r="F4226" s="637" t="s">
        <v>8693</v>
      </c>
      <c r="G4226" s="626" t="s">
        <v>8694</v>
      </c>
      <c r="H4226" s="626" t="s">
        <v>6198</v>
      </c>
      <c r="I4226" s="626" t="s">
        <v>3768</v>
      </c>
      <c r="J4226" s="638" t="s">
        <v>1913</v>
      </c>
      <c r="K4226" s="640">
        <v>5</v>
      </c>
      <c r="L4226" s="642">
        <v>11</v>
      </c>
      <c r="M4226" s="643">
        <v>19800</v>
      </c>
      <c r="N4226" s="642">
        <v>2</v>
      </c>
      <c r="O4226" s="640">
        <v>6</v>
      </c>
      <c r="P4226" s="667">
        <v>10800</v>
      </c>
    </row>
    <row r="4227" spans="1:16" s="619" customFormat="1" ht="36" x14ac:dyDescent="0.2">
      <c r="A4227" s="626" t="s">
        <v>8643</v>
      </c>
      <c r="B4227" s="626" t="s">
        <v>1908</v>
      </c>
      <c r="C4227" s="638" t="s">
        <v>104</v>
      </c>
      <c r="D4227" s="626" t="s">
        <v>6092</v>
      </c>
      <c r="E4227" s="636">
        <v>1800</v>
      </c>
      <c r="F4227" s="637" t="s">
        <v>8695</v>
      </c>
      <c r="G4227" s="626" t="s">
        <v>8696</v>
      </c>
      <c r="H4227" s="626" t="s">
        <v>8646</v>
      </c>
      <c r="I4227" s="626" t="s">
        <v>3768</v>
      </c>
      <c r="J4227" s="638" t="s">
        <v>1913</v>
      </c>
      <c r="K4227" s="640">
        <v>1</v>
      </c>
      <c r="L4227" s="642">
        <v>12</v>
      </c>
      <c r="M4227" s="643">
        <v>21600</v>
      </c>
      <c r="N4227" s="642">
        <v>1</v>
      </c>
      <c r="O4227" s="640">
        <v>6</v>
      </c>
      <c r="P4227" s="667">
        <v>10800</v>
      </c>
    </row>
    <row r="4228" spans="1:16" s="619" customFormat="1" ht="36" x14ac:dyDescent="0.2">
      <c r="A4228" s="626" t="s">
        <v>8643</v>
      </c>
      <c r="B4228" s="626" t="s">
        <v>1908</v>
      </c>
      <c r="C4228" s="638" t="s">
        <v>104</v>
      </c>
      <c r="D4228" s="626" t="s">
        <v>6158</v>
      </c>
      <c r="E4228" s="636">
        <v>1200</v>
      </c>
      <c r="F4228" s="637" t="s">
        <v>8697</v>
      </c>
      <c r="G4228" s="626" t="s">
        <v>8698</v>
      </c>
      <c r="H4228" s="626" t="s">
        <v>3551</v>
      </c>
      <c r="I4228" s="626" t="s">
        <v>3551</v>
      </c>
      <c r="J4228" s="638" t="s">
        <v>8667</v>
      </c>
      <c r="K4228" s="640">
        <v>1</v>
      </c>
      <c r="L4228" s="642">
        <v>12</v>
      </c>
      <c r="M4228" s="643">
        <v>14400</v>
      </c>
      <c r="N4228" s="642">
        <v>1</v>
      </c>
      <c r="O4228" s="640">
        <v>6</v>
      </c>
      <c r="P4228" s="667">
        <v>7200</v>
      </c>
    </row>
    <row r="4229" spans="1:16" s="619" customFormat="1" ht="48" x14ac:dyDescent="0.2">
      <c r="A4229" s="626" t="s">
        <v>8643</v>
      </c>
      <c r="B4229" s="626" t="s">
        <v>1908</v>
      </c>
      <c r="C4229" s="638" t="s">
        <v>104</v>
      </c>
      <c r="D4229" s="626" t="s">
        <v>3538</v>
      </c>
      <c r="E4229" s="636">
        <v>5500</v>
      </c>
      <c r="F4229" s="637" t="s">
        <v>6703</v>
      </c>
      <c r="G4229" s="626" t="s">
        <v>6704</v>
      </c>
      <c r="H4229" s="626" t="s">
        <v>1911</v>
      </c>
      <c r="I4229" s="626" t="s">
        <v>3768</v>
      </c>
      <c r="J4229" s="638" t="s">
        <v>1913</v>
      </c>
      <c r="K4229" s="640">
        <v>0</v>
      </c>
      <c r="L4229" s="642">
        <v>0</v>
      </c>
      <c r="M4229" s="643">
        <v>0</v>
      </c>
      <c r="N4229" s="642">
        <v>1</v>
      </c>
      <c r="O4229" s="640">
        <v>6</v>
      </c>
      <c r="P4229" s="667">
        <v>33000</v>
      </c>
    </row>
    <row r="4230" spans="1:16" s="619" customFormat="1" ht="36" x14ac:dyDescent="0.2">
      <c r="A4230" s="626" t="s">
        <v>8643</v>
      </c>
      <c r="B4230" s="626" t="s">
        <v>1908</v>
      </c>
      <c r="C4230" s="638" t="s">
        <v>104</v>
      </c>
      <c r="D4230" s="626" t="s">
        <v>6092</v>
      </c>
      <c r="E4230" s="636">
        <v>1800</v>
      </c>
      <c r="F4230" s="637" t="s">
        <v>8699</v>
      </c>
      <c r="G4230" s="626" t="s">
        <v>8700</v>
      </c>
      <c r="H4230" s="626" t="s">
        <v>8646</v>
      </c>
      <c r="I4230" s="626" t="s">
        <v>3768</v>
      </c>
      <c r="J4230" s="638" t="s">
        <v>1913</v>
      </c>
      <c r="K4230" s="640">
        <v>4</v>
      </c>
      <c r="L4230" s="642">
        <v>12</v>
      </c>
      <c r="M4230" s="643">
        <v>21600</v>
      </c>
      <c r="N4230" s="642">
        <v>3</v>
      </c>
      <c r="O4230" s="640">
        <v>6</v>
      </c>
      <c r="P4230" s="667">
        <v>10800</v>
      </c>
    </row>
    <row r="4231" spans="1:16" s="619" customFormat="1" ht="36" x14ac:dyDescent="0.2">
      <c r="A4231" s="626" t="s">
        <v>8643</v>
      </c>
      <c r="B4231" s="626" t="s">
        <v>1908</v>
      </c>
      <c r="C4231" s="638" t="s">
        <v>104</v>
      </c>
      <c r="D4231" s="626" t="s">
        <v>6092</v>
      </c>
      <c r="E4231" s="636">
        <v>1800</v>
      </c>
      <c r="F4231" s="637" t="s">
        <v>8701</v>
      </c>
      <c r="G4231" s="626" t="s">
        <v>8702</v>
      </c>
      <c r="H4231" s="626" t="s">
        <v>8646</v>
      </c>
      <c r="I4231" s="626" t="s">
        <v>3768</v>
      </c>
      <c r="J4231" s="638" t="s">
        <v>1913</v>
      </c>
      <c r="K4231" s="640">
        <v>1</v>
      </c>
      <c r="L4231" s="642">
        <v>12</v>
      </c>
      <c r="M4231" s="643">
        <v>21600</v>
      </c>
      <c r="N4231" s="642">
        <v>1</v>
      </c>
      <c r="O4231" s="640">
        <v>6</v>
      </c>
      <c r="P4231" s="667">
        <v>10800</v>
      </c>
    </row>
    <row r="4232" spans="1:16" s="619" customFormat="1" ht="36" x14ac:dyDescent="0.2">
      <c r="A4232" s="626" t="s">
        <v>8643</v>
      </c>
      <c r="B4232" s="626" t="s">
        <v>1908</v>
      </c>
      <c r="C4232" s="638" t="s">
        <v>104</v>
      </c>
      <c r="D4232" s="626" t="s">
        <v>2660</v>
      </c>
      <c r="E4232" s="636">
        <v>1300</v>
      </c>
      <c r="F4232" s="637" t="s">
        <v>8703</v>
      </c>
      <c r="G4232" s="626" t="s">
        <v>8704</v>
      </c>
      <c r="H4232" s="626" t="s">
        <v>8661</v>
      </c>
      <c r="I4232" s="626" t="s">
        <v>8653</v>
      </c>
      <c r="J4232" s="638" t="s">
        <v>1931</v>
      </c>
      <c r="K4232" s="640">
        <v>1</v>
      </c>
      <c r="L4232" s="642">
        <v>12</v>
      </c>
      <c r="M4232" s="643">
        <v>15600</v>
      </c>
      <c r="N4232" s="642">
        <v>1</v>
      </c>
      <c r="O4232" s="640">
        <v>6</v>
      </c>
      <c r="P4232" s="667">
        <v>7800</v>
      </c>
    </row>
    <row r="4233" spans="1:16" s="619" customFormat="1" ht="36" x14ac:dyDescent="0.2">
      <c r="A4233" s="626" t="s">
        <v>8643</v>
      </c>
      <c r="B4233" s="626" t="s">
        <v>1908</v>
      </c>
      <c r="C4233" s="638" t="s">
        <v>104</v>
      </c>
      <c r="D4233" s="626" t="s">
        <v>6158</v>
      </c>
      <c r="E4233" s="636">
        <v>1100</v>
      </c>
      <c r="F4233" s="637" t="s">
        <v>8705</v>
      </c>
      <c r="G4233" s="626" t="s">
        <v>8706</v>
      </c>
      <c r="H4233" s="626" t="s">
        <v>3551</v>
      </c>
      <c r="I4233" s="626" t="s">
        <v>3551</v>
      </c>
      <c r="J4233" s="638" t="s">
        <v>8667</v>
      </c>
      <c r="K4233" s="640">
        <v>3</v>
      </c>
      <c r="L4233" s="642">
        <v>7</v>
      </c>
      <c r="M4233" s="643">
        <v>7700</v>
      </c>
      <c r="N4233" s="642">
        <v>1</v>
      </c>
      <c r="O4233" s="640">
        <v>6</v>
      </c>
      <c r="P4233" s="667">
        <v>6600</v>
      </c>
    </row>
    <row r="4234" spans="1:16" s="619" customFormat="1" ht="36" x14ac:dyDescent="0.2">
      <c r="A4234" s="626" t="s">
        <v>8643</v>
      </c>
      <c r="B4234" s="626" t="s">
        <v>1908</v>
      </c>
      <c r="C4234" s="638" t="s">
        <v>104</v>
      </c>
      <c r="D4234" s="626" t="s">
        <v>6299</v>
      </c>
      <c r="E4234" s="636">
        <v>1300</v>
      </c>
      <c r="F4234" s="637" t="s">
        <v>8707</v>
      </c>
      <c r="G4234" s="626" t="s">
        <v>8708</v>
      </c>
      <c r="H4234" s="626" t="s">
        <v>8656</v>
      </c>
      <c r="I4234" s="626" t="s">
        <v>8653</v>
      </c>
      <c r="J4234" s="638" t="s">
        <v>1931</v>
      </c>
      <c r="K4234" s="640">
        <v>1</v>
      </c>
      <c r="L4234" s="642">
        <v>12</v>
      </c>
      <c r="M4234" s="643">
        <v>15600</v>
      </c>
      <c r="N4234" s="642">
        <v>1</v>
      </c>
      <c r="O4234" s="640">
        <v>6</v>
      </c>
      <c r="P4234" s="667">
        <v>7800</v>
      </c>
    </row>
    <row r="4235" spans="1:16" s="619" customFormat="1" ht="36" x14ac:dyDescent="0.2">
      <c r="A4235" s="626" t="s">
        <v>8643</v>
      </c>
      <c r="B4235" s="626" t="s">
        <v>1908</v>
      </c>
      <c r="C4235" s="638" t="s">
        <v>104</v>
      </c>
      <c r="D4235" s="626" t="s">
        <v>6187</v>
      </c>
      <c r="E4235" s="636">
        <v>0</v>
      </c>
      <c r="F4235" s="637" t="s">
        <v>8709</v>
      </c>
      <c r="G4235" s="626" t="s">
        <v>8710</v>
      </c>
      <c r="H4235" s="626" t="s">
        <v>8692</v>
      </c>
      <c r="I4235" s="626" t="s">
        <v>3768</v>
      </c>
      <c r="J4235" s="638" t="s">
        <v>1913</v>
      </c>
      <c r="K4235" s="640">
        <v>1</v>
      </c>
      <c r="L4235" s="642">
        <v>3</v>
      </c>
      <c r="M4235" s="643">
        <v>3600</v>
      </c>
      <c r="N4235" s="642">
        <v>0</v>
      </c>
      <c r="O4235" s="640">
        <v>0</v>
      </c>
      <c r="P4235" s="667">
        <v>0</v>
      </c>
    </row>
    <row r="4236" spans="1:16" s="619" customFormat="1" ht="36" x14ac:dyDescent="0.2">
      <c r="A4236" s="626" t="s">
        <v>8643</v>
      </c>
      <c r="B4236" s="626" t="s">
        <v>1908</v>
      </c>
      <c r="C4236" s="638" t="s">
        <v>104</v>
      </c>
      <c r="D4236" s="626" t="s">
        <v>6092</v>
      </c>
      <c r="E4236" s="636">
        <v>1800</v>
      </c>
      <c r="F4236" s="637" t="s">
        <v>8711</v>
      </c>
      <c r="G4236" s="626" t="s">
        <v>8712</v>
      </c>
      <c r="H4236" s="626" t="s">
        <v>8646</v>
      </c>
      <c r="I4236" s="626" t="s">
        <v>3768</v>
      </c>
      <c r="J4236" s="638" t="s">
        <v>1913</v>
      </c>
      <c r="K4236" s="640">
        <v>4</v>
      </c>
      <c r="L4236" s="642">
        <v>12</v>
      </c>
      <c r="M4236" s="643">
        <v>21600</v>
      </c>
      <c r="N4236" s="642">
        <v>4</v>
      </c>
      <c r="O4236" s="640">
        <v>6</v>
      </c>
      <c r="P4236" s="667">
        <v>10800</v>
      </c>
    </row>
    <row r="4237" spans="1:16" s="619" customFormat="1" ht="36" x14ac:dyDescent="0.2">
      <c r="A4237" s="626" t="s">
        <v>8643</v>
      </c>
      <c r="B4237" s="626" t="s">
        <v>1908</v>
      </c>
      <c r="C4237" s="638" t="s">
        <v>104</v>
      </c>
      <c r="D4237" s="626" t="s">
        <v>2660</v>
      </c>
      <c r="E4237" s="636">
        <v>1300</v>
      </c>
      <c r="F4237" s="637" t="s">
        <v>8713</v>
      </c>
      <c r="G4237" s="626" t="s">
        <v>8714</v>
      </c>
      <c r="H4237" s="626" t="s">
        <v>8661</v>
      </c>
      <c r="I4237" s="626" t="s">
        <v>8653</v>
      </c>
      <c r="J4237" s="638" t="s">
        <v>1931</v>
      </c>
      <c r="K4237" s="640">
        <v>1</v>
      </c>
      <c r="L4237" s="642">
        <v>12</v>
      </c>
      <c r="M4237" s="643">
        <v>15600</v>
      </c>
      <c r="N4237" s="642">
        <v>1</v>
      </c>
      <c r="O4237" s="640">
        <v>6</v>
      </c>
      <c r="P4237" s="667">
        <v>7800</v>
      </c>
    </row>
    <row r="4238" spans="1:16" s="619" customFormat="1" ht="36" x14ac:dyDescent="0.2">
      <c r="A4238" s="626" t="s">
        <v>8643</v>
      </c>
      <c r="B4238" s="626" t="s">
        <v>1908</v>
      </c>
      <c r="C4238" s="638" t="s">
        <v>104</v>
      </c>
      <c r="D4238" s="626" t="s">
        <v>3545</v>
      </c>
      <c r="E4238" s="636">
        <v>1300</v>
      </c>
      <c r="F4238" s="637" t="s">
        <v>8715</v>
      </c>
      <c r="G4238" s="626" t="s">
        <v>8716</v>
      </c>
      <c r="H4238" s="626" t="s">
        <v>3545</v>
      </c>
      <c r="I4238" s="626" t="s">
        <v>8653</v>
      </c>
      <c r="J4238" s="638" t="s">
        <v>1931</v>
      </c>
      <c r="K4238" s="640">
        <v>0</v>
      </c>
      <c r="L4238" s="642">
        <v>0</v>
      </c>
      <c r="M4238" s="643">
        <v>0</v>
      </c>
      <c r="N4238" s="642">
        <v>1</v>
      </c>
      <c r="O4238" s="640">
        <v>6</v>
      </c>
      <c r="P4238" s="667">
        <v>7800</v>
      </c>
    </row>
    <row r="4239" spans="1:16" s="619" customFormat="1" ht="36" x14ac:dyDescent="0.2">
      <c r="A4239" s="626" t="s">
        <v>8643</v>
      </c>
      <c r="B4239" s="626" t="s">
        <v>1908</v>
      </c>
      <c r="C4239" s="638" t="s">
        <v>104</v>
      </c>
      <c r="D4239" s="626" t="s">
        <v>3583</v>
      </c>
      <c r="E4239" s="636">
        <v>1200</v>
      </c>
      <c r="F4239" s="637" t="s">
        <v>8717</v>
      </c>
      <c r="G4239" s="626" t="s">
        <v>8718</v>
      </c>
      <c r="H4239" s="626" t="s">
        <v>3545</v>
      </c>
      <c r="I4239" s="626" t="s">
        <v>8653</v>
      </c>
      <c r="J4239" s="638" t="s">
        <v>1931</v>
      </c>
      <c r="K4239" s="640">
        <v>3</v>
      </c>
      <c r="L4239" s="642">
        <v>7</v>
      </c>
      <c r="M4239" s="643">
        <v>8400</v>
      </c>
      <c r="N4239" s="642">
        <v>2</v>
      </c>
      <c r="O4239" s="640">
        <v>6</v>
      </c>
      <c r="P4239" s="667">
        <v>7200</v>
      </c>
    </row>
    <row r="4240" spans="1:16" s="619" customFormat="1" ht="48" x14ac:dyDescent="0.2">
      <c r="A4240" s="626" t="s">
        <v>8643</v>
      </c>
      <c r="B4240" s="626" t="s">
        <v>1908</v>
      </c>
      <c r="C4240" s="638" t="s">
        <v>104</v>
      </c>
      <c r="D4240" s="626" t="s">
        <v>7740</v>
      </c>
      <c r="E4240" s="636">
        <v>1800</v>
      </c>
      <c r="F4240" s="637" t="s">
        <v>8719</v>
      </c>
      <c r="G4240" s="626" t="s">
        <v>8720</v>
      </c>
      <c r="H4240" s="626" t="s">
        <v>6198</v>
      </c>
      <c r="I4240" s="626" t="s">
        <v>3768</v>
      </c>
      <c r="J4240" s="638" t="s">
        <v>1913</v>
      </c>
      <c r="K4240" s="640">
        <v>6</v>
      </c>
      <c r="L4240" s="642">
        <v>12</v>
      </c>
      <c r="M4240" s="643">
        <v>15600</v>
      </c>
      <c r="N4240" s="642">
        <v>2</v>
      </c>
      <c r="O4240" s="640">
        <v>6</v>
      </c>
      <c r="P4240" s="667">
        <v>10800</v>
      </c>
    </row>
    <row r="4241" spans="1:16" s="619" customFormat="1" ht="36" x14ac:dyDescent="0.2">
      <c r="A4241" s="626" t="s">
        <v>8643</v>
      </c>
      <c r="B4241" s="626" t="s">
        <v>1908</v>
      </c>
      <c r="C4241" s="638" t="s">
        <v>104</v>
      </c>
      <c r="D4241" s="626" t="s">
        <v>2660</v>
      </c>
      <c r="E4241" s="636">
        <v>1300</v>
      </c>
      <c r="F4241" s="637" t="s">
        <v>8721</v>
      </c>
      <c r="G4241" s="626" t="s">
        <v>8722</v>
      </c>
      <c r="H4241" s="626" t="s">
        <v>8661</v>
      </c>
      <c r="I4241" s="626" t="s">
        <v>8653</v>
      </c>
      <c r="J4241" s="638" t="s">
        <v>1931</v>
      </c>
      <c r="K4241" s="640">
        <v>7</v>
      </c>
      <c r="L4241" s="642">
        <v>11</v>
      </c>
      <c r="M4241" s="643">
        <v>14300</v>
      </c>
      <c r="N4241" s="642">
        <v>4</v>
      </c>
      <c r="O4241" s="640">
        <v>6</v>
      </c>
      <c r="P4241" s="667">
        <v>7800</v>
      </c>
    </row>
    <row r="4242" spans="1:16" s="619" customFormat="1" ht="48" x14ac:dyDescent="0.2">
      <c r="A4242" s="626" t="s">
        <v>8643</v>
      </c>
      <c r="B4242" s="626" t="s">
        <v>1908</v>
      </c>
      <c r="C4242" s="638" t="s">
        <v>104</v>
      </c>
      <c r="D4242" s="626" t="s">
        <v>8662</v>
      </c>
      <c r="E4242" s="636">
        <v>1800</v>
      </c>
      <c r="F4242" s="637" t="s">
        <v>8723</v>
      </c>
      <c r="G4242" s="626" t="s">
        <v>8724</v>
      </c>
      <c r="H4242" s="626" t="s">
        <v>8662</v>
      </c>
      <c r="I4242" s="626" t="s">
        <v>3768</v>
      </c>
      <c r="J4242" s="638" t="s">
        <v>1913</v>
      </c>
      <c r="K4242" s="640">
        <v>1</v>
      </c>
      <c r="L4242" s="642">
        <v>12</v>
      </c>
      <c r="M4242" s="643">
        <v>21600</v>
      </c>
      <c r="N4242" s="642">
        <v>1</v>
      </c>
      <c r="O4242" s="640">
        <v>6</v>
      </c>
      <c r="P4242" s="667">
        <v>10800</v>
      </c>
    </row>
    <row r="4243" spans="1:16" s="619" customFormat="1" ht="36" x14ac:dyDescent="0.2">
      <c r="A4243" s="626" t="s">
        <v>8643</v>
      </c>
      <c r="B4243" s="626" t="s">
        <v>1908</v>
      </c>
      <c r="C4243" s="638" t="s">
        <v>104</v>
      </c>
      <c r="D4243" s="626" t="s">
        <v>6092</v>
      </c>
      <c r="E4243" s="636">
        <v>1800</v>
      </c>
      <c r="F4243" s="637" t="s">
        <v>8725</v>
      </c>
      <c r="G4243" s="626" t="s">
        <v>8726</v>
      </c>
      <c r="H4243" s="626" t="s">
        <v>8646</v>
      </c>
      <c r="I4243" s="626" t="s">
        <v>3768</v>
      </c>
      <c r="J4243" s="638" t="s">
        <v>1913</v>
      </c>
      <c r="K4243" s="640">
        <v>1</v>
      </c>
      <c r="L4243" s="642">
        <v>12</v>
      </c>
      <c r="M4243" s="643">
        <v>21600</v>
      </c>
      <c r="N4243" s="642">
        <v>1</v>
      </c>
      <c r="O4243" s="640">
        <v>6</v>
      </c>
      <c r="P4243" s="667">
        <v>10800</v>
      </c>
    </row>
    <row r="4244" spans="1:16" s="619" customFormat="1" ht="36" x14ac:dyDescent="0.2">
      <c r="A4244" s="626" t="s">
        <v>8643</v>
      </c>
      <c r="B4244" s="626" t="s">
        <v>1908</v>
      </c>
      <c r="C4244" s="638" t="s">
        <v>104</v>
      </c>
      <c r="D4244" s="626" t="s">
        <v>6092</v>
      </c>
      <c r="E4244" s="636">
        <v>1800</v>
      </c>
      <c r="F4244" s="637" t="s">
        <v>8727</v>
      </c>
      <c r="G4244" s="626" t="s">
        <v>8728</v>
      </c>
      <c r="H4244" s="626" t="s">
        <v>8646</v>
      </c>
      <c r="I4244" s="626" t="s">
        <v>3768</v>
      </c>
      <c r="J4244" s="638" t="s">
        <v>1913</v>
      </c>
      <c r="K4244" s="640">
        <v>1</v>
      </c>
      <c r="L4244" s="642">
        <v>12</v>
      </c>
      <c r="M4244" s="643">
        <v>21600</v>
      </c>
      <c r="N4244" s="642">
        <v>1</v>
      </c>
      <c r="O4244" s="640">
        <v>6</v>
      </c>
      <c r="P4244" s="667">
        <v>10800</v>
      </c>
    </row>
    <row r="4245" spans="1:16" s="619" customFormat="1" ht="36" x14ac:dyDescent="0.2">
      <c r="A4245" s="626" t="s">
        <v>8643</v>
      </c>
      <c r="B4245" s="626" t="s">
        <v>1908</v>
      </c>
      <c r="C4245" s="638" t="s">
        <v>104</v>
      </c>
      <c r="D4245" s="626" t="s">
        <v>6092</v>
      </c>
      <c r="E4245" s="636">
        <v>1800</v>
      </c>
      <c r="F4245" s="637" t="s">
        <v>8729</v>
      </c>
      <c r="G4245" s="626" t="s">
        <v>8730</v>
      </c>
      <c r="H4245" s="626" t="s">
        <v>8646</v>
      </c>
      <c r="I4245" s="626" t="s">
        <v>3768</v>
      </c>
      <c r="J4245" s="638" t="s">
        <v>1913</v>
      </c>
      <c r="K4245" s="640">
        <v>5</v>
      </c>
      <c r="L4245" s="642">
        <v>12</v>
      </c>
      <c r="M4245" s="643">
        <v>21600</v>
      </c>
      <c r="N4245" s="642">
        <v>4</v>
      </c>
      <c r="O4245" s="640">
        <v>6</v>
      </c>
      <c r="P4245" s="667">
        <v>10800</v>
      </c>
    </row>
    <row r="4246" spans="1:16" s="619" customFormat="1" ht="48" x14ac:dyDescent="0.2">
      <c r="A4246" s="626" t="s">
        <v>8643</v>
      </c>
      <c r="B4246" s="626" t="s">
        <v>1908</v>
      </c>
      <c r="C4246" s="638" t="s">
        <v>104</v>
      </c>
      <c r="D4246" s="626" t="s">
        <v>8731</v>
      </c>
      <c r="E4246" s="636">
        <v>1500</v>
      </c>
      <c r="F4246" s="637" t="s">
        <v>8732</v>
      </c>
      <c r="G4246" s="626" t="s">
        <v>8733</v>
      </c>
      <c r="H4246" s="626" t="s">
        <v>2143</v>
      </c>
      <c r="I4246" s="626" t="s">
        <v>3587</v>
      </c>
      <c r="J4246" s="638" t="s">
        <v>1913</v>
      </c>
      <c r="K4246" s="640">
        <v>1</v>
      </c>
      <c r="L4246" s="642">
        <v>12</v>
      </c>
      <c r="M4246" s="643">
        <v>18000</v>
      </c>
      <c r="N4246" s="642">
        <v>1</v>
      </c>
      <c r="O4246" s="640">
        <v>6</v>
      </c>
      <c r="P4246" s="667">
        <v>9000</v>
      </c>
    </row>
    <row r="4247" spans="1:16" s="619" customFormat="1" ht="36" x14ac:dyDescent="0.2">
      <c r="A4247" s="626" t="s">
        <v>8643</v>
      </c>
      <c r="B4247" s="626" t="s">
        <v>1908</v>
      </c>
      <c r="C4247" s="638" t="s">
        <v>104</v>
      </c>
      <c r="D4247" s="626" t="s">
        <v>6092</v>
      </c>
      <c r="E4247" s="636">
        <v>1800</v>
      </c>
      <c r="F4247" s="637" t="s">
        <v>8734</v>
      </c>
      <c r="G4247" s="626" t="s">
        <v>8735</v>
      </c>
      <c r="H4247" s="626" t="s">
        <v>8646</v>
      </c>
      <c r="I4247" s="626" t="s">
        <v>3768</v>
      </c>
      <c r="J4247" s="638" t="s">
        <v>1913</v>
      </c>
      <c r="K4247" s="640">
        <v>4</v>
      </c>
      <c r="L4247" s="642">
        <v>12</v>
      </c>
      <c r="M4247" s="643">
        <v>21600</v>
      </c>
      <c r="N4247" s="642">
        <v>3</v>
      </c>
      <c r="O4247" s="640">
        <v>6</v>
      </c>
      <c r="P4247" s="667">
        <v>10800</v>
      </c>
    </row>
    <row r="4248" spans="1:16" s="619" customFormat="1" ht="36" x14ac:dyDescent="0.2">
      <c r="A4248" s="626" t="s">
        <v>8643</v>
      </c>
      <c r="B4248" s="626" t="s">
        <v>1908</v>
      </c>
      <c r="C4248" s="638" t="s">
        <v>104</v>
      </c>
      <c r="D4248" s="626" t="s">
        <v>3583</v>
      </c>
      <c r="E4248" s="636">
        <v>1300</v>
      </c>
      <c r="F4248" s="637" t="s">
        <v>8736</v>
      </c>
      <c r="G4248" s="626" t="s">
        <v>8737</v>
      </c>
      <c r="H4248" s="626" t="s">
        <v>2226</v>
      </c>
      <c r="I4248" s="626" t="s">
        <v>3587</v>
      </c>
      <c r="J4248" s="638" t="s">
        <v>1913</v>
      </c>
      <c r="K4248" s="640">
        <v>0</v>
      </c>
      <c r="L4248" s="642">
        <v>0</v>
      </c>
      <c r="M4248" s="643">
        <v>0</v>
      </c>
      <c r="N4248" s="642">
        <v>1</v>
      </c>
      <c r="O4248" s="640">
        <v>1</v>
      </c>
      <c r="P4248" s="667">
        <v>1300</v>
      </c>
    </row>
    <row r="4249" spans="1:16" s="619" customFormat="1" ht="36" x14ac:dyDescent="0.2">
      <c r="A4249" s="626" t="s">
        <v>8643</v>
      </c>
      <c r="B4249" s="626" t="s">
        <v>1908</v>
      </c>
      <c r="C4249" s="638" t="s">
        <v>104</v>
      </c>
      <c r="D4249" s="626" t="s">
        <v>3545</v>
      </c>
      <c r="E4249" s="636">
        <v>1300</v>
      </c>
      <c r="F4249" s="637" t="s">
        <v>8738</v>
      </c>
      <c r="G4249" s="626" t="s">
        <v>8739</v>
      </c>
      <c r="H4249" s="626" t="s">
        <v>3545</v>
      </c>
      <c r="I4249" s="626" t="s">
        <v>8653</v>
      </c>
      <c r="J4249" s="638" t="s">
        <v>1931</v>
      </c>
      <c r="K4249" s="640">
        <v>1</v>
      </c>
      <c r="L4249" s="642">
        <v>12</v>
      </c>
      <c r="M4249" s="643">
        <v>15600</v>
      </c>
      <c r="N4249" s="642">
        <v>1</v>
      </c>
      <c r="O4249" s="640">
        <v>6</v>
      </c>
      <c r="P4249" s="667">
        <v>7800</v>
      </c>
    </row>
    <row r="4250" spans="1:16" s="619" customFormat="1" ht="36" x14ac:dyDescent="0.2">
      <c r="A4250" s="626" t="s">
        <v>8643</v>
      </c>
      <c r="B4250" s="626" t="s">
        <v>1908</v>
      </c>
      <c r="C4250" s="638" t="s">
        <v>104</v>
      </c>
      <c r="D4250" s="626" t="s">
        <v>6158</v>
      </c>
      <c r="E4250" s="636">
        <v>1200</v>
      </c>
      <c r="F4250" s="637" t="s">
        <v>8740</v>
      </c>
      <c r="G4250" s="626" t="s">
        <v>8741</v>
      </c>
      <c r="H4250" s="626" t="s">
        <v>3551</v>
      </c>
      <c r="I4250" s="626" t="s">
        <v>3551</v>
      </c>
      <c r="J4250" s="638" t="s">
        <v>8667</v>
      </c>
      <c r="K4250" s="640">
        <v>1</v>
      </c>
      <c r="L4250" s="642">
        <v>12</v>
      </c>
      <c r="M4250" s="643">
        <v>14400</v>
      </c>
      <c r="N4250" s="642">
        <v>1</v>
      </c>
      <c r="O4250" s="640">
        <v>6</v>
      </c>
      <c r="P4250" s="667">
        <v>7200</v>
      </c>
    </row>
    <row r="4251" spans="1:16" s="619" customFormat="1" ht="36" x14ac:dyDescent="0.2">
      <c r="A4251" s="626" t="s">
        <v>8643</v>
      </c>
      <c r="B4251" s="626" t="s">
        <v>1908</v>
      </c>
      <c r="C4251" s="638" t="s">
        <v>104</v>
      </c>
      <c r="D4251" s="626" t="s">
        <v>8680</v>
      </c>
      <c r="E4251" s="636">
        <v>1200</v>
      </c>
      <c r="F4251" s="637" t="s">
        <v>8742</v>
      </c>
      <c r="G4251" s="626" t="s">
        <v>8743</v>
      </c>
      <c r="H4251" s="626" t="s">
        <v>3551</v>
      </c>
      <c r="I4251" s="626" t="s">
        <v>3551</v>
      </c>
      <c r="J4251" s="638" t="s">
        <v>8667</v>
      </c>
      <c r="K4251" s="640">
        <v>1</v>
      </c>
      <c r="L4251" s="642">
        <v>12</v>
      </c>
      <c r="M4251" s="643">
        <v>14400</v>
      </c>
      <c r="N4251" s="642">
        <v>1</v>
      </c>
      <c r="O4251" s="640">
        <v>6</v>
      </c>
      <c r="P4251" s="667">
        <v>7200</v>
      </c>
    </row>
    <row r="4252" spans="1:16" s="619" customFormat="1" ht="36" x14ac:dyDescent="0.2">
      <c r="A4252" s="626" t="s">
        <v>8643</v>
      </c>
      <c r="B4252" s="626" t="s">
        <v>1908</v>
      </c>
      <c r="C4252" s="638" t="s">
        <v>104</v>
      </c>
      <c r="D4252" s="626" t="s">
        <v>1965</v>
      </c>
      <c r="E4252" s="636">
        <v>2000</v>
      </c>
      <c r="F4252" s="637" t="s">
        <v>8744</v>
      </c>
      <c r="G4252" s="626" t="s">
        <v>8745</v>
      </c>
      <c r="H4252" s="626" t="s">
        <v>3237</v>
      </c>
      <c r="I4252" s="626" t="s">
        <v>3587</v>
      </c>
      <c r="J4252" s="638" t="s">
        <v>1913</v>
      </c>
      <c r="K4252" s="640">
        <v>1</v>
      </c>
      <c r="L4252" s="642">
        <v>12</v>
      </c>
      <c r="M4252" s="643">
        <v>24000</v>
      </c>
      <c r="N4252" s="642">
        <v>1</v>
      </c>
      <c r="O4252" s="640">
        <v>6</v>
      </c>
      <c r="P4252" s="667">
        <v>12000</v>
      </c>
    </row>
    <row r="4253" spans="1:16" s="619" customFormat="1" ht="36" x14ac:dyDescent="0.2">
      <c r="A4253" s="626" t="s">
        <v>8643</v>
      </c>
      <c r="B4253" s="626" t="s">
        <v>1908</v>
      </c>
      <c r="C4253" s="638" t="s">
        <v>104</v>
      </c>
      <c r="D4253" s="626" t="s">
        <v>6828</v>
      </c>
      <c r="E4253" s="636">
        <v>2000</v>
      </c>
      <c r="F4253" s="637" t="s">
        <v>8746</v>
      </c>
      <c r="G4253" s="626" t="s">
        <v>8747</v>
      </c>
      <c r="H4253" s="626" t="s">
        <v>8692</v>
      </c>
      <c r="I4253" s="626" t="s">
        <v>3768</v>
      </c>
      <c r="J4253" s="638" t="s">
        <v>1913</v>
      </c>
      <c r="K4253" s="640">
        <v>3</v>
      </c>
      <c r="L4253" s="642">
        <v>7</v>
      </c>
      <c r="M4253" s="643">
        <v>14000</v>
      </c>
      <c r="N4253" s="642">
        <v>2</v>
      </c>
      <c r="O4253" s="640">
        <v>6</v>
      </c>
      <c r="P4253" s="667">
        <v>12000</v>
      </c>
    </row>
    <row r="4254" spans="1:16" s="619" customFormat="1" ht="36" x14ac:dyDescent="0.2">
      <c r="A4254" s="626" t="s">
        <v>8643</v>
      </c>
      <c r="B4254" s="626" t="s">
        <v>1908</v>
      </c>
      <c r="C4254" s="638" t="s">
        <v>104</v>
      </c>
      <c r="D4254" s="626" t="s">
        <v>6092</v>
      </c>
      <c r="E4254" s="636">
        <v>1800</v>
      </c>
      <c r="F4254" s="637" t="s">
        <v>8748</v>
      </c>
      <c r="G4254" s="626" t="s">
        <v>8749</v>
      </c>
      <c r="H4254" s="626" t="s">
        <v>8646</v>
      </c>
      <c r="I4254" s="626" t="s">
        <v>3768</v>
      </c>
      <c r="J4254" s="638" t="s">
        <v>1913</v>
      </c>
      <c r="K4254" s="640">
        <v>4</v>
      </c>
      <c r="L4254" s="642">
        <v>12</v>
      </c>
      <c r="M4254" s="643">
        <v>21600</v>
      </c>
      <c r="N4254" s="642">
        <v>5</v>
      </c>
      <c r="O4254" s="640">
        <v>6</v>
      </c>
      <c r="P4254" s="667">
        <v>10800</v>
      </c>
    </row>
    <row r="4255" spans="1:16" s="619" customFormat="1" ht="48" x14ac:dyDescent="0.2">
      <c r="A4255" s="626" t="s">
        <v>8643</v>
      </c>
      <c r="B4255" s="626" t="s">
        <v>1908</v>
      </c>
      <c r="C4255" s="638" t="s">
        <v>104</v>
      </c>
      <c r="D4255" s="626" t="s">
        <v>2660</v>
      </c>
      <c r="E4255" s="636">
        <v>1300</v>
      </c>
      <c r="F4255" s="637" t="s">
        <v>8750</v>
      </c>
      <c r="G4255" s="626" t="s">
        <v>8751</v>
      </c>
      <c r="H4255" s="626" t="s">
        <v>8661</v>
      </c>
      <c r="I4255" s="626" t="s">
        <v>8653</v>
      </c>
      <c r="J4255" s="638" t="s">
        <v>1931</v>
      </c>
      <c r="K4255" s="640">
        <v>1</v>
      </c>
      <c r="L4255" s="642">
        <v>12</v>
      </c>
      <c r="M4255" s="643">
        <v>15600</v>
      </c>
      <c r="N4255" s="642">
        <v>1</v>
      </c>
      <c r="O4255" s="640">
        <v>6</v>
      </c>
      <c r="P4255" s="667">
        <v>7800</v>
      </c>
    </row>
    <row r="4256" spans="1:16" s="619" customFormat="1" ht="36" x14ac:dyDescent="0.2">
      <c r="A4256" s="626" t="s">
        <v>8643</v>
      </c>
      <c r="B4256" s="626" t="s">
        <v>1908</v>
      </c>
      <c r="C4256" s="638" t="s">
        <v>104</v>
      </c>
      <c r="D4256" s="626" t="s">
        <v>8680</v>
      </c>
      <c r="E4256" s="636">
        <v>1100</v>
      </c>
      <c r="F4256" s="637" t="s">
        <v>8752</v>
      </c>
      <c r="G4256" s="626" t="s">
        <v>8753</v>
      </c>
      <c r="H4256" s="626" t="s">
        <v>3551</v>
      </c>
      <c r="I4256" s="626" t="s">
        <v>3551</v>
      </c>
      <c r="J4256" s="638" t="s">
        <v>8667</v>
      </c>
      <c r="K4256" s="640">
        <v>3</v>
      </c>
      <c r="L4256" s="642">
        <v>7</v>
      </c>
      <c r="M4256" s="643">
        <v>7700</v>
      </c>
      <c r="N4256" s="642">
        <v>2</v>
      </c>
      <c r="O4256" s="640">
        <v>6</v>
      </c>
      <c r="P4256" s="667">
        <v>6600</v>
      </c>
    </row>
    <row r="4257" spans="1:16" s="619" customFormat="1" ht="36" x14ac:dyDescent="0.2">
      <c r="A4257" s="626" t="s">
        <v>8643</v>
      </c>
      <c r="B4257" s="626" t="s">
        <v>1908</v>
      </c>
      <c r="C4257" s="638" t="s">
        <v>104</v>
      </c>
      <c r="D4257" s="626" t="s">
        <v>8680</v>
      </c>
      <c r="E4257" s="636">
        <v>1100</v>
      </c>
      <c r="F4257" s="637" t="s">
        <v>8754</v>
      </c>
      <c r="G4257" s="626" t="s">
        <v>8755</v>
      </c>
      <c r="H4257" s="626" t="s">
        <v>3551</v>
      </c>
      <c r="I4257" s="626" t="s">
        <v>3551</v>
      </c>
      <c r="J4257" s="638" t="s">
        <v>8667</v>
      </c>
      <c r="K4257" s="640">
        <v>3</v>
      </c>
      <c r="L4257" s="642">
        <v>7</v>
      </c>
      <c r="M4257" s="643">
        <v>7700</v>
      </c>
      <c r="N4257" s="642">
        <v>2</v>
      </c>
      <c r="O4257" s="640">
        <v>6</v>
      </c>
      <c r="P4257" s="667">
        <v>6600</v>
      </c>
    </row>
    <row r="4258" spans="1:16" s="619" customFormat="1" ht="36" x14ac:dyDescent="0.2">
      <c r="A4258" s="626" t="s">
        <v>8643</v>
      </c>
      <c r="B4258" s="626" t="s">
        <v>1908</v>
      </c>
      <c r="C4258" s="638" t="s">
        <v>104</v>
      </c>
      <c r="D4258" s="626" t="s">
        <v>6158</v>
      </c>
      <c r="E4258" s="636">
        <v>1200</v>
      </c>
      <c r="F4258" s="637" t="s">
        <v>8756</v>
      </c>
      <c r="G4258" s="626" t="s">
        <v>8757</v>
      </c>
      <c r="H4258" s="626" t="s">
        <v>3551</v>
      </c>
      <c r="I4258" s="626" t="s">
        <v>3551</v>
      </c>
      <c r="J4258" s="638" t="s">
        <v>8667</v>
      </c>
      <c r="K4258" s="640">
        <v>3</v>
      </c>
      <c r="L4258" s="642">
        <v>12</v>
      </c>
      <c r="M4258" s="643">
        <v>14400</v>
      </c>
      <c r="N4258" s="642">
        <v>4</v>
      </c>
      <c r="O4258" s="640">
        <v>6</v>
      </c>
      <c r="P4258" s="667">
        <v>7200</v>
      </c>
    </row>
    <row r="4259" spans="1:16" s="619" customFormat="1" ht="36" x14ac:dyDescent="0.2">
      <c r="A4259" s="626" t="s">
        <v>8643</v>
      </c>
      <c r="B4259" s="626" t="s">
        <v>1908</v>
      </c>
      <c r="C4259" s="638" t="s">
        <v>104</v>
      </c>
      <c r="D4259" s="626" t="s">
        <v>6092</v>
      </c>
      <c r="E4259" s="636">
        <v>1800</v>
      </c>
      <c r="F4259" s="637" t="s">
        <v>8758</v>
      </c>
      <c r="G4259" s="626" t="s">
        <v>8759</v>
      </c>
      <c r="H4259" s="626" t="s">
        <v>8646</v>
      </c>
      <c r="I4259" s="626" t="s">
        <v>3768</v>
      </c>
      <c r="J4259" s="638" t="s">
        <v>1913</v>
      </c>
      <c r="K4259" s="640">
        <v>1</v>
      </c>
      <c r="L4259" s="642">
        <v>7</v>
      </c>
      <c r="M4259" s="643">
        <v>12600</v>
      </c>
      <c r="N4259" s="642">
        <v>3</v>
      </c>
      <c r="O4259" s="640">
        <v>6</v>
      </c>
      <c r="P4259" s="667">
        <v>10800</v>
      </c>
    </row>
    <row r="4260" spans="1:16" s="619" customFormat="1" ht="36" x14ac:dyDescent="0.2">
      <c r="A4260" s="626" t="s">
        <v>8643</v>
      </c>
      <c r="B4260" s="626" t="s">
        <v>1908</v>
      </c>
      <c r="C4260" s="638" t="s">
        <v>104</v>
      </c>
      <c r="D4260" s="626" t="s">
        <v>2660</v>
      </c>
      <c r="E4260" s="636">
        <v>1300</v>
      </c>
      <c r="F4260" s="637" t="s">
        <v>8760</v>
      </c>
      <c r="G4260" s="626" t="s">
        <v>8761</v>
      </c>
      <c r="H4260" s="626" t="s">
        <v>8661</v>
      </c>
      <c r="I4260" s="626" t="s">
        <v>8653</v>
      </c>
      <c r="J4260" s="638" t="s">
        <v>1931</v>
      </c>
      <c r="K4260" s="640">
        <v>7</v>
      </c>
      <c r="L4260" s="642">
        <v>12</v>
      </c>
      <c r="M4260" s="643">
        <v>15600</v>
      </c>
      <c r="N4260" s="642">
        <v>1</v>
      </c>
      <c r="O4260" s="640">
        <v>6</v>
      </c>
      <c r="P4260" s="667">
        <v>7800</v>
      </c>
    </row>
    <row r="4261" spans="1:16" s="619" customFormat="1" ht="36" x14ac:dyDescent="0.2">
      <c r="A4261" s="626" t="s">
        <v>8643</v>
      </c>
      <c r="B4261" s="626" t="s">
        <v>1908</v>
      </c>
      <c r="C4261" s="638" t="s">
        <v>104</v>
      </c>
      <c r="D4261" s="626" t="s">
        <v>8762</v>
      </c>
      <c r="E4261" s="636">
        <v>2000</v>
      </c>
      <c r="F4261" s="637" t="s">
        <v>8763</v>
      </c>
      <c r="G4261" s="626" t="s">
        <v>8764</v>
      </c>
      <c r="H4261" s="626" t="s">
        <v>1911</v>
      </c>
      <c r="I4261" s="626" t="s">
        <v>3768</v>
      </c>
      <c r="J4261" s="638" t="s">
        <v>1913</v>
      </c>
      <c r="K4261" s="640">
        <v>0</v>
      </c>
      <c r="L4261" s="642">
        <v>0</v>
      </c>
      <c r="M4261" s="643">
        <v>0</v>
      </c>
      <c r="N4261" s="642">
        <v>1</v>
      </c>
      <c r="O4261" s="640">
        <v>6</v>
      </c>
      <c r="P4261" s="667">
        <v>12000</v>
      </c>
    </row>
    <row r="4262" spans="1:16" s="619" customFormat="1" ht="36" x14ac:dyDescent="0.2">
      <c r="A4262" s="626" t="s">
        <v>8643</v>
      </c>
      <c r="B4262" s="626" t="s">
        <v>1908</v>
      </c>
      <c r="C4262" s="638" t="s">
        <v>104</v>
      </c>
      <c r="D4262" s="626" t="s">
        <v>7740</v>
      </c>
      <c r="E4262" s="636">
        <v>1800</v>
      </c>
      <c r="F4262" s="637" t="s">
        <v>8765</v>
      </c>
      <c r="G4262" s="626" t="s">
        <v>8766</v>
      </c>
      <c r="H4262" s="626" t="s">
        <v>6198</v>
      </c>
      <c r="I4262" s="626" t="s">
        <v>3768</v>
      </c>
      <c r="J4262" s="638" t="s">
        <v>1913</v>
      </c>
      <c r="K4262" s="640">
        <v>7</v>
      </c>
      <c r="L4262" s="642">
        <v>12</v>
      </c>
      <c r="M4262" s="643">
        <v>21600</v>
      </c>
      <c r="N4262" s="642">
        <v>1</v>
      </c>
      <c r="O4262" s="640">
        <v>6</v>
      </c>
      <c r="P4262" s="667">
        <v>10800</v>
      </c>
    </row>
    <row r="4263" spans="1:16" s="619" customFormat="1" ht="36" x14ac:dyDescent="0.2">
      <c r="A4263" s="626" t="s">
        <v>8643</v>
      </c>
      <c r="B4263" s="626" t="s">
        <v>1908</v>
      </c>
      <c r="C4263" s="638" t="s">
        <v>104</v>
      </c>
      <c r="D4263" s="626" t="s">
        <v>6158</v>
      </c>
      <c r="E4263" s="636">
        <v>1200</v>
      </c>
      <c r="F4263" s="637" t="s">
        <v>8767</v>
      </c>
      <c r="G4263" s="626" t="s">
        <v>8768</v>
      </c>
      <c r="H4263" s="626" t="s">
        <v>3551</v>
      </c>
      <c r="I4263" s="626" t="s">
        <v>3551</v>
      </c>
      <c r="J4263" s="638" t="s">
        <v>8667</v>
      </c>
      <c r="K4263" s="640">
        <v>1</v>
      </c>
      <c r="L4263" s="642">
        <v>12</v>
      </c>
      <c r="M4263" s="643">
        <v>14400</v>
      </c>
      <c r="N4263" s="642">
        <v>4</v>
      </c>
      <c r="O4263" s="640">
        <v>6</v>
      </c>
      <c r="P4263" s="667">
        <v>7200</v>
      </c>
    </row>
    <row r="4264" spans="1:16" s="619" customFormat="1" ht="36" x14ac:dyDescent="0.2">
      <c r="A4264" s="626" t="s">
        <v>8643</v>
      </c>
      <c r="B4264" s="626" t="s">
        <v>1908</v>
      </c>
      <c r="C4264" s="638" t="s">
        <v>104</v>
      </c>
      <c r="D4264" s="626" t="s">
        <v>8662</v>
      </c>
      <c r="E4264" s="636">
        <v>1800</v>
      </c>
      <c r="F4264" s="637" t="s">
        <v>8769</v>
      </c>
      <c r="G4264" s="626" t="s">
        <v>8770</v>
      </c>
      <c r="H4264" s="626" t="s">
        <v>8662</v>
      </c>
      <c r="I4264" s="626" t="s">
        <v>3768</v>
      </c>
      <c r="J4264" s="638" t="s">
        <v>1913</v>
      </c>
      <c r="K4264" s="640">
        <v>4</v>
      </c>
      <c r="L4264" s="642">
        <v>12</v>
      </c>
      <c r="M4264" s="643">
        <v>21600</v>
      </c>
      <c r="N4264" s="642">
        <v>4</v>
      </c>
      <c r="O4264" s="640">
        <v>6</v>
      </c>
      <c r="P4264" s="667">
        <v>10800</v>
      </c>
    </row>
    <row r="4265" spans="1:16" s="619" customFormat="1" ht="36" x14ac:dyDescent="0.2">
      <c r="A4265" s="626" t="s">
        <v>8643</v>
      </c>
      <c r="B4265" s="626" t="s">
        <v>1908</v>
      </c>
      <c r="C4265" s="638" t="s">
        <v>104</v>
      </c>
      <c r="D4265" s="626" t="s">
        <v>6092</v>
      </c>
      <c r="E4265" s="636">
        <v>1800</v>
      </c>
      <c r="F4265" s="637" t="s">
        <v>8771</v>
      </c>
      <c r="G4265" s="626" t="s">
        <v>8772</v>
      </c>
      <c r="H4265" s="626" t="s">
        <v>8646</v>
      </c>
      <c r="I4265" s="626" t="s">
        <v>3768</v>
      </c>
      <c r="J4265" s="638" t="s">
        <v>1913</v>
      </c>
      <c r="K4265" s="640">
        <v>8</v>
      </c>
      <c r="L4265" s="642">
        <v>12</v>
      </c>
      <c r="M4265" s="643">
        <v>21600</v>
      </c>
      <c r="N4265" s="642">
        <v>3</v>
      </c>
      <c r="O4265" s="640">
        <v>6</v>
      </c>
      <c r="P4265" s="667">
        <v>10800</v>
      </c>
    </row>
    <row r="4266" spans="1:16" s="619" customFormat="1" ht="36" x14ac:dyDescent="0.2">
      <c r="A4266" s="626" t="s">
        <v>8643</v>
      </c>
      <c r="B4266" s="626" t="s">
        <v>1908</v>
      </c>
      <c r="C4266" s="638" t="s">
        <v>104</v>
      </c>
      <c r="D4266" s="626" t="s">
        <v>6158</v>
      </c>
      <c r="E4266" s="636">
        <v>1200</v>
      </c>
      <c r="F4266" s="637" t="s">
        <v>8773</v>
      </c>
      <c r="G4266" s="626" t="s">
        <v>8774</v>
      </c>
      <c r="H4266" s="626" t="s">
        <v>3551</v>
      </c>
      <c r="I4266" s="626" t="s">
        <v>3551</v>
      </c>
      <c r="J4266" s="638" t="s">
        <v>8667</v>
      </c>
      <c r="K4266" s="640">
        <v>1</v>
      </c>
      <c r="L4266" s="642">
        <v>12</v>
      </c>
      <c r="M4266" s="643">
        <v>14400</v>
      </c>
      <c r="N4266" s="642">
        <v>1</v>
      </c>
      <c r="O4266" s="640">
        <v>6</v>
      </c>
      <c r="P4266" s="667">
        <v>7200</v>
      </c>
    </row>
    <row r="4267" spans="1:16" s="619" customFormat="1" ht="36" x14ac:dyDescent="0.2">
      <c r="A4267" s="626" t="s">
        <v>8643</v>
      </c>
      <c r="B4267" s="626" t="s">
        <v>1908</v>
      </c>
      <c r="C4267" s="638" t="s">
        <v>104</v>
      </c>
      <c r="D4267" s="626" t="s">
        <v>6092</v>
      </c>
      <c r="E4267" s="636">
        <v>1800</v>
      </c>
      <c r="F4267" s="637" t="s">
        <v>8775</v>
      </c>
      <c r="G4267" s="626" t="s">
        <v>8776</v>
      </c>
      <c r="H4267" s="626" t="s">
        <v>8646</v>
      </c>
      <c r="I4267" s="626" t="s">
        <v>3768</v>
      </c>
      <c r="J4267" s="638" t="s">
        <v>1913</v>
      </c>
      <c r="K4267" s="640">
        <v>1</v>
      </c>
      <c r="L4267" s="642">
        <v>12</v>
      </c>
      <c r="M4267" s="643">
        <v>21600</v>
      </c>
      <c r="N4267" s="642">
        <v>4</v>
      </c>
      <c r="O4267" s="640">
        <v>6</v>
      </c>
      <c r="P4267" s="667">
        <v>10800</v>
      </c>
    </row>
    <row r="4268" spans="1:16" s="619" customFormat="1" ht="36" x14ac:dyDescent="0.2">
      <c r="A4268" s="626" t="s">
        <v>8643</v>
      </c>
      <c r="B4268" s="626" t="s">
        <v>1908</v>
      </c>
      <c r="C4268" s="638" t="s">
        <v>104</v>
      </c>
      <c r="D4268" s="626" t="s">
        <v>6092</v>
      </c>
      <c r="E4268" s="636">
        <v>1800</v>
      </c>
      <c r="F4268" s="637" t="s">
        <v>8777</v>
      </c>
      <c r="G4268" s="626" t="s">
        <v>8778</v>
      </c>
      <c r="H4268" s="626" t="s">
        <v>8646</v>
      </c>
      <c r="I4268" s="626" t="s">
        <v>3768</v>
      </c>
      <c r="J4268" s="638" t="s">
        <v>1913</v>
      </c>
      <c r="K4268" s="640">
        <v>1</v>
      </c>
      <c r="L4268" s="642">
        <v>12</v>
      </c>
      <c r="M4268" s="643">
        <v>21600</v>
      </c>
      <c r="N4268" s="642">
        <v>1</v>
      </c>
      <c r="O4268" s="640">
        <v>6</v>
      </c>
      <c r="P4268" s="667">
        <v>10800</v>
      </c>
    </row>
    <row r="4269" spans="1:16" s="619" customFormat="1" ht="36" x14ac:dyDescent="0.2">
      <c r="A4269" s="626" t="s">
        <v>8643</v>
      </c>
      <c r="B4269" s="626" t="s">
        <v>1908</v>
      </c>
      <c r="C4269" s="638" t="s">
        <v>104</v>
      </c>
      <c r="D4269" s="626" t="s">
        <v>8680</v>
      </c>
      <c r="E4269" s="636">
        <v>1200</v>
      </c>
      <c r="F4269" s="637" t="s">
        <v>8779</v>
      </c>
      <c r="G4269" s="626" t="s">
        <v>8780</v>
      </c>
      <c r="H4269" s="626" t="s">
        <v>3551</v>
      </c>
      <c r="I4269" s="626" t="s">
        <v>3551</v>
      </c>
      <c r="J4269" s="638" t="s">
        <v>8667</v>
      </c>
      <c r="K4269" s="640">
        <v>7</v>
      </c>
      <c r="L4269" s="642">
        <v>12</v>
      </c>
      <c r="M4269" s="643">
        <v>14400</v>
      </c>
      <c r="N4269" s="642">
        <v>1</v>
      </c>
      <c r="O4269" s="640">
        <v>6</v>
      </c>
      <c r="P4269" s="667">
        <v>7200</v>
      </c>
    </row>
    <row r="4270" spans="1:16" s="619" customFormat="1" ht="36" x14ac:dyDescent="0.2">
      <c r="A4270" s="626" t="s">
        <v>8643</v>
      </c>
      <c r="B4270" s="626" t="s">
        <v>1908</v>
      </c>
      <c r="C4270" s="638" t="s">
        <v>104</v>
      </c>
      <c r="D4270" s="626" t="s">
        <v>2660</v>
      </c>
      <c r="E4270" s="636">
        <v>1300</v>
      </c>
      <c r="F4270" s="637" t="s">
        <v>8781</v>
      </c>
      <c r="G4270" s="626" t="s">
        <v>8782</v>
      </c>
      <c r="H4270" s="626" t="s">
        <v>8661</v>
      </c>
      <c r="I4270" s="626" t="s">
        <v>8653</v>
      </c>
      <c r="J4270" s="638" t="s">
        <v>1931</v>
      </c>
      <c r="K4270" s="640">
        <v>1</v>
      </c>
      <c r="L4270" s="642">
        <v>12</v>
      </c>
      <c r="M4270" s="643">
        <v>15600</v>
      </c>
      <c r="N4270" s="642">
        <v>1</v>
      </c>
      <c r="O4270" s="640">
        <v>6</v>
      </c>
      <c r="P4270" s="667">
        <v>7800</v>
      </c>
    </row>
    <row r="4271" spans="1:16" s="619" customFormat="1" ht="36" x14ac:dyDescent="0.2">
      <c r="A4271" s="626" t="s">
        <v>8643</v>
      </c>
      <c r="B4271" s="626" t="s">
        <v>1908</v>
      </c>
      <c r="C4271" s="638" t="s">
        <v>104</v>
      </c>
      <c r="D4271" s="626" t="s">
        <v>6092</v>
      </c>
      <c r="E4271" s="636">
        <v>1800</v>
      </c>
      <c r="F4271" s="637" t="s">
        <v>8783</v>
      </c>
      <c r="G4271" s="626" t="s">
        <v>8784</v>
      </c>
      <c r="H4271" s="626" t="s">
        <v>8646</v>
      </c>
      <c r="I4271" s="626" t="s">
        <v>3768</v>
      </c>
      <c r="J4271" s="638" t="s">
        <v>1913</v>
      </c>
      <c r="K4271" s="640">
        <v>4</v>
      </c>
      <c r="L4271" s="642">
        <v>12</v>
      </c>
      <c r="M4271" s="643">
        <v>21600</v>
      </c>
      <c r="N4271" s="642">
        <v>4</v>
      </c>
      <c r="O4271" s="640">
        <v>6</v>
      </c>
      <c r="P4271" s="667">
        <v>10800</v>
      </c>
    </row>
    <row r="4272" spans="1:16" s="619" customFormat="1" ht="36" x14ac:dyDescent="0.2">
      <c r="A4272" s="626" t="s">
        <v>8643</v>
      </c>
      <c r="B4272" s="626" t="s">
        <v>1908</v>
      </c>
      <c r="C4272" s="638" t="s">
        <v>104</v>
      </c>
      <c r="D4272" s="626" t="s">
        <v>8785</v>
      </c>
      <c r="E4272" s="636">
        <v>1300</v>
      </c>
      <c r="F4272" s="637" t="s">
        <v>8786</v>
      </c>
      <c r="G4272" s="626" t="s">
        <v>2108</v>
      </c>
      <c r="H4272" s="626" t="s">
        <v>2826</v>
      </c>
      <c r="I4272" s="626" t="s">
        <v>8653</v>
      </c>
      <c r="J4272" s="638" t="s">
        <v>1931</v>
      </c>
      <c r="K4272" s="640">
        <v>0</v>
      </c>
      <c r="L4272" s="642">
        <v>0</v>
      </c>
      <c r="M4272" s="643">
        <v>0</v>
      </c>
      <c r="N4272" s="642">
        <v>1</v>
      </c>
      <c r="O4272" s="640">
        <v>2</v>
      </c>
      <c r="P4272" s="667">
        <v>2600</v>
      </c>
    </row>
    <row r="4273" spans="1:16" s="619" customFormat="1" ht="36" x14ac:dyDescent="0.2">
      <c r="A4273" s="626" t="s">
        <v>8643</v>
      </c>
      <c r="B4273" s="626" t="s">
        <v>1908</v>
      </c>
      <c r="C4273" s="638" t="s">
        <v>104</v>
      </c>
      <c r="D4273" s="626" t="s">
        <v>3583</v>
      </c>
      <c r="E4273" s="636">
        <v>1300</v>
      </c>
      <c r="F4273" s="637" t="s">
        <v>8787</v>
      </c>
      <c r="G4273" s="626" t="s">
        <v>8788</v>
      </c>
      <c r="H4273" s="626" t="s">
        <v>2226</v>
      </c>
      <c r="I4273" s="626" t="s">
        <v>3587</v>
      </c>
      <c r="J4273" s="638" t="s">
        <v>1913</v>
      </c>
      <c r="K4273" s="640">
        <v>0</v>
      </c>
      <c r="L4273" s="642">
        <v>0</v>
      </c>
      <c r="M4273" s="643">
        <v>0</v>
      </c>
      <c r="N4273" s="642">
        <v>1</v>
      </c>
      <c r="O4273" s="640">
        <v>5</v>
      </c>
      <c r="P4273" s="667">
        <v>6500</v>
      </c>
    </row>
    <row r="4274" spans="1:16" s="619" customFormat="1" ht="36" x14ac:dyDescent="0.2">
      <c r="A4274" s="626" t="s">
        <v>8643</v>
      </c>
      <c r="B4274" s="626" t="s">
        <v>1908</v>
      </c>
      <c r="C4274" s="638" t="s">
        <v>104</v>
      </c>
      <c r="D4274" s="626" t="s">
        <v>6274</v>
      </c>
      <c r="E4274" s="636">
        <v>1100</v>
      </c>
      <c r="F4274" s="637" t="s">
        <v>8789</v>
      </c>
      <c r="G4274" s="626" t="s">
        <v>8790</v>
      </c>
      <c r="H4274" s="626" t="s">
        <v>3551</v>
      </c>
      <c r="I4274" s="626" t="s">
        <v>3551</v>
      </c>
      <c r="J4274" s="638" t="s">
        <v>8667</v>
      </c>
      <c r="K4274" s="640">
        <v>3</v>
      </c>
      <c r="L4274" s="642">
        <v>7</v>
      </c>
      <c r="M4274" s="643">
        <v>7700</v>
      </c>
      <c r="N4274" s="642">
        <v>2</v>
      </c>
      <c r="O4274" s="640">
        <v>6</v>
      </c>
      <c r="P4274" s="667">
        <v>6600</v>
      </c>
    </row>
    <row r="4275" spans="1:16" s="619" customFormat="1" ht="36" x14ac:dyDescent="0.2">
      <c r="A4275" s="626" t="s">
        <v>8643</v>
      </c>
      <c r="B4275" s="626" t="s">
        <v>1908</v>
      </c>
      <c r="C4275" s="638" t="s">
        <v>104</v>
      </c>
      <c r="D4275" s="626" t="s">
        <v>6158</v>
      </c>
      <c r="E4275" s="636">
        <v>1200</v>
      </c>
      <c r="F4275" s="637" t="s">
        <v>8791</v>
      </c>
      <c r="G4275" s="626" t="s">
        <v>8792</v>
      </c>
      <c r="H4275" s="626" t="s">
        <v>3551</v>
      </c>
      <c r="I4275" s="626" t="s">
        <v>3551</v>
      </c>
      <c r="J4275" s="638" t="s">
        <v>8667</v>
      </c>
      <c r="K4275" s="640">
        <v>1</v>
      </c>
      <c r="L4275" s="642">
        <v>12</v>
      </c>
      <c r="M4275" s="643">
        <v>14400</v>
      </c>
      <c r="N4275" s="642">
        <v>4</v>
      </c>
      <c r="O4275" s="640">
        <v>6</v>
      </c>
      <c r="P4275" s="667">
        <v>7200</v>
      </c>
    </row>
    <row r="4276" spans="1:16" s="619" customFormat="1" ht="36" x14ac:dyDescent="0.2">
      <c r="A4276" s="626" t="s">
        <v>8643</v>
      </c>
      <c r="B4276" s="626" t="s">
        <v>1908</v>
      </c>
      <c r="C4276" s="638" t="s">
        <v>104</v>
      </c>
      <c r="D4276" s="626" t="s">
        <v>7740</v>
      </c>
      <c r="E4276" s="636">
        <v>1800</v>
      </c>
      <c r="F4276" s="637" t="s">
        <v>8793</v>
      </c>
      <c r="G4276" s="626" t="s">
        <v>8794</v>
      </c>
      <c r="H4276" s="626" t="s">
        <v>6198</v>
      </c>
      <c r="I4276" s="626" t="s">
        <v>3768</v>
      </c>
      <c r="J4276" s="638" t="s">
        <v>1913</v>
      </c>
      <c r="K4276" s="640"/>
      <c r="L4276" s="642">
        <v>12</v>
      </c>
      <c r="M4276" s="643">
        <v>21600</v>
      </c>
      <c r="N4276" s="642">
        <v>2</v>
      </c>
      <c r="O4276" s="640">
        <v>6</v>
      </c>
      <c r="P4276" s="667">
        <v>10800</v>
      </c>
    </row>
    <row r="4277" spans="1:16" s="619" customFormat="1" ht="36" x14ac:dyDescent="0.2">
      <c r="A4277" s="626" t="s">
        <v>8643</v>
      </c>
      <c r="B4277" s="626" t="s">
        <v>1908</v>
      </c>
      <c r="C4277" s="638" t="s">
        <v>104</v>
      </c>
      <c r="D4277" s="626" t="s">
        <v>6158</v>
      </c>
      <c r="E4277" s="636">
        <v>1200</v>
      </c>
      <c r="F4277" s="637" t="s">
        <v>8795</v>
      </c>
      <c r="G4277" s="626" t="s">
        <v>8796</v>
      </c>
      <c r="H4277" s="626" t="s">
        <v>3551</v>
      </c>
      <c r="I4277" s="626" t="s">
        <v>3551</v>
      </c>
      <c r="J4277" s="638" t="s">
        <v>8667</v>
      </c>
      <c r="K4277" s="640">
        <v>1</v>
      </c>
      <c r="L4277" s="642">
        <v>12</v>
      </c>
      <c r="M4277" s="643">
        <v>14400</v>
      </c>
      <c r="N4277" s="642">
        <v>2</v>
      </c>
      <c r="O4277" s="640">
        <v>6</v>
      </c>
      <c r="P4277" s="667">
        <v>7200</v>
      </c>
    </row>
    <row r="4278" spans="1:16" s="619" customFormat="1" ht="36" x14ac:dyDescent="0.2">
      <c r="A4278" s="626" t="s">
        <v>8643</v>
      </c>
      <c r="B4278" s="626" t="s">
        <v>1908</v>
      </c>
      <c r="C4278" s="638" t="s">
        <v>104</v>
      </c>
      <c r="D4278" s="626" t="s">
        <v>6828</v>
      </c>
      <c r="E4278" s="636">
        <v>2000</v>
      </c>
      <c r="F4278" s="637" t="s">
        <v>8797</v>
      </c>
      <c r="G4278" s="626" t="s">
        <v>8798</v>
      </c>
      <c r="H4278" s="626" t="s">
        <v>8692</v>
      </c>
      <c r="I4278" s="626" t="s">
        <v>3768</v>
      </c>
      <c r="J4278" s="638" t="s">
        <v>1913</v>
      </c>
      <c r="K4278" s="640">
        <v>3</v>
      </c>
      <c r="L4278" s="642">
        <v>8</v>
      </c>
      <c r="M4278" s="643">
        <v>16000</v>
      </c>
      <c r="N4278" s="642">
        <v>2</v>
      </c>
      <c r="O4278" s="640">
        <v>6</v>
      </c>
      <c r="P4278" s="667">
        <v>12000</v>
      </c>
    </row>
    <row r="4279" spans="1:16" s="619" customFormat="1" ht="36" x14ac:dyDescent="0.2">
      <c r="A4279" s="626" t="s">
        <v>8643</v>
      </c>
      <c r="B4279" s="626" t="s">
        <v>1908</v>
      </c>
      <c r="C4279" s="638" t="s">
        <v>104</v>
      </c>
      <c r="D4279" s="626" t="s">
        <v>3569</v>
      </c>
      <c r="E4279" s="636">
        <v>1300</v>
      </c>
      <c r="F4279" s="637" t="s">
        <v>8799</v>
      </c>
      <c r="G4279" s="626" t="s">
        <v>8800</v>
      </c>
      <c r="H4279" s="626" t="s">
        <v>8801</v>
      </c>
      <c r="I4279" s="626" t="s">
        <v>8653</v>
      </c>
      <c r="J4279" s="638" t="s">
        <v>1931</v>
      </c>
      <c r="K4279" s="640">
        <v>3</v>
      </c>
      <c r="L4279" s="642">
        <v>8</v>
      </c>
      <c r="M4279" s="643">
        <v>10400</v>
      </c>
      <c r="N4279" s="642">
        <v>2</v>
      </c>
      <c r="O4279" s="640">
        <v>6</v>
      </c>
      <c r="P4279" s="667">
        <v>7800</v>
      </c>
    </row>
    <row r="4280" spans="1:16" s="619" customFormat="1" ht="36" x14ac:dyDescent="0.2">
      <c r="A4280" s="626" t="s">
        <v>8643</v>
      </c>
      <c r="B4280" s="626" t="s">
        <v>1908</v>
      </c>
      <c r="C4280" s="638" t="s">
        <v>104</v>
      </c>
      <c r="D4280" s="626" t="s">
        <v>6092</v>
      </c>
      <c r="E4280" s="636">
        <v>1800</v>
      </c>
      <c r="F4280" s="637" t="s">
        <v>8802</v>
      </c>
      <c r="G4280" s="626" t="s">
        <v>8803</v>
      </c>
      <c r="H4280" s="626" t="s">
        <v>8646</v>
      </c>
      <c r="I4280" s="626" t="s">
        <v>3768</v>
      </c>
      <c r="J4280" s="638" t="s">
        <v>1913</v>
      </c>
      <c r="K4280" s="640">
        <v>1</v>
      </c>
      <c r="L4280" s="642">
        <v>12</v>
      </c>
      <c r="M4280" s="643">
        <v>21600</v>
      </c>
      <c r="N4280" s="642">
        <v>1</v>
      </c>
      <c r="O4280" s="640">
        <v>6</v>
      </c>
      <c r="P4280" s="667">
        <v>10800</v>
      </c>
    </row>
    <row r="4281" spans="1:16" s="619" customFormat="1" ht="48" x14ac:dyDescent="0.2">
      <c r="A4281" s="626" t="s">
        <v>8643</v>
      </c>
      <c r="B4281" s="626" t="s">
        <v>1908</v>
      </c>
      <c r="C4281" s="638" t="s">
        <v>104</v>
      </c>
      <c r="D4281" s="626" t="s">
        <v>3569</v>
      </c>
      <c r="E4281" s="636">
        <v>1200</v>
      </c>
      <c r="F4281" s="637" t="s">
        <v>8804</v>
      </c>
      <c r="G4281" s="626" t="s">
        <v>8805</v>
      </c>
      <c r="H4281" s="626" t="s">
        <v>2143</v>
      </c>
      <c r="I4281" s="626" t="s">
        <v>3587</v>
      </c>
      <c r="J4281" s="638" t="s">
        <v>1913</v>
      </c>
      <c r="K4281" s="640">
        <v>3</v>
      </c>
      <c r="L4281" s="642">
        <v>7</v>
      </c>
      <c r="M4281" s="643">
        <v>8400</v>
      </c>
      <c r="N4281" s="642">
        <v>2</v>
      </c>
      <c r="O4281" s="640">
        <v>6</v>
      </c>
      <c r="P4281" s="667">
        <v>7200</v>
      </c>
    </row>
    <row r="4282" spans="1:16" s="619" customFormat="1" ht="36" x14ac:dyDescent="0.2">
      <c r="A4282" s="626" t="s">
        <v>8643</v>
      </c>
      <c r="B4282" s="626" t="s">
        <v>1908</v>
      </c>
      <c r="C4282" s="638" t="s">
        <v>104</v>
      </c>
      <c r="D4282" s="626" t="s">
        <v>3606</v>
      </c>
      <c r="E4282" s="636">
        <v>1300</v>
      </c>
      <c r="F4282" s="637" t="s">
        <v>8806</v>
      </c>
      <c r="G4282" s="626" t="s">
        <v>8807</v>
      </c>
      <c r="H4282" s="626" t="s">
        <v>3545</v>
      </c>
      <c r="I4282" s="626" t="s">
        <v>8653</v>
      </c>
      <c r="J4282" s="638" t="s">
        <v>1931</v>
      </c>
      <c r="K4282" s="640">
        <v>2</v>
      </c>
      <c r="L4282" s="642">
        <v>7</v>
      </c>
      <c r="M4282" s="643">
        <v>9100</v>
      </c>
      <c r="N4282" s="642">
        <v>2</v>
      </c>
      <c r="O4282" s="640">
        <v>6</v>
      </c>
      <c r="P4282" s="667">
        <v>7800</v>
      </c>
    </row>
    <row r="4283" spans="1:16" s="619" customFormat="1" ht="48" x14ac:dyDescent="0.2">
      <c r="A4283" s="626" t="s">
        <v>8643</v>
      </c>
      <c r="B4283" s="626" t="s">
        <v>1908</v>
      </c>
      <c r="C4283" s="638" t="s">
        <v>104</v>
      </c>
      <c r="D4283" s="626" t="s">
        <v>6092</v>
      </c>
      <c r="E4283" s="636">
        <v>1800</v>
      </c>
      <c r="F4283" s="637" t="s">
        <v>8808</v>
      </c>
      <c r="G4283" s="626" t="s">
        <v>8809</v>
      </c>
      <c r="H4283" s="626" t="s">
        <v>8646</v>
      </c>
      <c r="I4283" s="626" t="s">
        <v>3768</v>
      </c>
      <c r="J4283" s="638" t="s">
        <v>1913</v>
      </c>
      <c r="K4283" s="640">
        <v>1</v>
      </c>
      <c r="L4283" s="642">
        <v>12</v>
      </c>
      <c r="M4283" s="643">
        <v>21600</v>
      </c>
      <c r="N4283" s="642">
        <v>1</v>
      </c>
      <c r="O4283" s="640">
        <v>6</v>
      </c>
      <c r="P4283" s="667">
        <v>10800</v>
      </c>
    </row>
    <row r="4284" spans="1:16" s="619" customFormat="1" ht="36" x14ac:dyDescent="0.2">
      <c r="A4284" s="626" t="s">
        <v>8643</v>
      </c>
      <c r="B4284" s="626" t="s">
        <v>1908</v>
      </c>
      <c r="C4284" s="638" t="s">
        <v>104</v>
      </c>
      <c r="D4284" s="626" t="s">
        <v>3529</v>
      </c>
      <c r="E4284" s="636">
        <v>5500</v>
      </c>
      <c r="F4284" s="637" t="s">
        <v>8810</v>
      </c>
      <c r="G4284" s="626" t="s">
        <v>8811</v>
      </c>
      <c r="H4284" s="626" t="s">
        <v>8692</v>
      </c>
      <c r="I4284" s="626" t="s">
        <v>3768</v>
      </c>
      <c r="J4284" s="638" t="s">
        <v>1913</v>
      </c>
      <c r="K4284" s="730">
        <v>1</v>
      </c>
      <c r="L4284" s="731">
        <v>12</v>
      </c>
      <c r="M4284" s="732">
        <v>66000</v>
      </c>
      <c r="N4284" s="642">
        <v>1</v>
      </c>
      <c r="O4284" s="640">
        <v>6</v>
      </c>
      <c r="P4284" s="667">
        <v>33000</v>
      </c>
    </row>
    <row r="4285" spans="1:16" s="619" customFormat="1" ht="36" x14ac:dyDescent="0.2">
      <c r="A4285" s="626" t="s">
        <v>8643</v>
      </c>
      <c r="B4285" s="626" t="s">
        <v>1908</v>
      </c>
      <c r="C4285" s="638" t="s">
        <v>104</v>
      </c>
      <c r="D4285" s="626" t="s">
        <v>6092</v>
      </c>
      <c r="E4285" s="636">
        <v>1800</v>
      </c>
      <c r="F4285" s="637" t="s">
        <v>8812</v>
      </c>
      <c r="G4285" s="626" t="s">
        <v>8813</v>
      </c>
      <c r="H4285" s="626" t="s">
        <v>8646</v>
      </c>
      <c r="I4285" s="626" t="s">
        <v>3768</v>
      </c>
      <c r="J4285" s="638" t="s">
        <v>1913</v>
      </c>
      <c r="K4285" s="640">
        <v>1</v>
      </c>
      <c r="L4285" s="642">
        <v>12</v>
      </c>
      <c r="M4285" s="643">
        <v>21600</v>
      </c>
      <c r="N4285" s="642">
        <v>1</v>
      </c>
      <c r="O4285" s="640">
        <v>6</v>
      </c>
      <c r="P4285" s="667">
        <v>10800</v>
      </c>
    </row>
    <row r="4286" spans="1:16" s="619" customFormat="1" ht="36" x14ac:dyDescent="0.2">
      <c r="A4286" s="626" t="s">
        <v>8643</v>
      </c>
      <c r="B4286" s="626" t="s">
        <v>1908</v>
      </c>
      <c r="C4286" s="638" t="s">
        <v>104</v>
      </c>
      <c r="D4286" s="626" t="s">
        <v>2660</v>
      </c>
      <c r="E4286" s="636">
        <v>1300</v>
      </c>
      <c r="F4286" s="637" t="s">
        <v>8814</v>
      </c>
      <c r="G4286" s="626" t="s">
        <v>8815</v>
      </c>
      <c r="H4286" s="626" t="s">
        <v>8661</v>
      </c>
      <c r="I4286" s="626" t="s">
        <v>8653</v>
      </c>
      <c r="J4286" s="638" t="s">
        <v>1931</v>
      </c>
      <c r="K4286" s="640">
        <v>7</v>
      </c>
      <c r="L4286" s="642">
        <v>12</v>
      </c>
      <c r="M4286" s="643">
        <v>15600</v>
      </c>
      <c r="N4286" s="642">
        <v>1</v>
      </c>
      <c r="O4286" s="640">
        <v>6</v>
      </c>
      <c r="P4286" s="667">
        <v>7800</v>
      </c>
    </row>
    <row r="4287" spans="1:16" s="619" customFormat="1" ht="36" x14ac:dyDescent="0.2">
      <c r="A4287" s="626" t="s">
        <v>8643</v>
      </c>
      <c r="B4287" s="626" t="s">
        <v>1908</v>
      </c>
      <c r="C4287" s="638" t="s">
        <v>104</v>
      </c>
      <c r="D4287" s="626" t="s">
        <v>3569</v>
      </c>
      <c r="E4287" s="636">
        <v>1200</v>
      </c>
      <c r="F4287" s="637" t="s">
        <v>8816</v>
      </c>
      <c r="G4287" s="626" t="s">
        <v>8817</v>
      </c>
      <c r="H4287" s="626" t="s">
        <v>8801</v>
      </c>
      <c r="I4287" s="626" t="s">
        <v>8653</v>
      </c>
      <c r="J4287" s="638" t="s">
        <v>1931</v>
      </c>
      <c r="K4287" s="640">
        <v>1</v>
      </c>
      <c r="L4287" s="642">
        <v>12</v>
      </c>
      <c r="M4287" s="643">
        <v>14400</v>
      </c>
      <c r="N4287" s="642">
        <v>1</v>
      </c>
      <c r="O4287" s="640">
        <v>6</v>
      </c>
      <c r="P4287" s="667">
        <v>7200</v>
      </c>
    </row>
    <row r="4288" spans="1:16" s="619" customFormat="1" ht="36" x14ac:dyDescent="0.2">
      <c r="A4288" s="626" t="s">
        <v>8643</v>
      </c>
      <c r="B4288" s="626" t="s">
        <v>1908</v>
      </c>
      <c r="C4288" s="638" t="s">
        <v>104</v>
      </c>
      <c r="D4288" s="626" t="s">
        <v>3545</v>
      </c>
      <c r="E4288" s="636">
        <v>1300</v>
      </c>
      <c r="F4288" s="637" t="s">
        <v>8818</v>
      </c>
      <c r="G4288" s="626" t="s">
        <v>8819</v>
      </c>
      <c r="H4288" s="626" t="s">
        <v>3545</v>
      </c>
      <c r="I4288" s="626" t="s">
        <v>8653</v>
      </c>
      <c r="J4288" s="638" t="s">
        <v>1931</v>
      </c>
      <c r="K4288" s="640">
        <v>1</v>
      </c>
      <c r="L4288" s="642">
        <v>12</v>
      </c>
      <c r="M4288" s="643">
        <v>15600</v>
      </c>
      <c r="N4288" s="642">
        <v>1</v>
      </c>
      <c r="O4288" s="640">
        <v>6</v>
      </c>
      <c r="P4288" s="667">
        <v>7800</v>
      </c>
    </row>
    <row r="4289" spans="1:16" s="619" customFormat="1" ht="36" x14ac:dyDescent="0.2">
      <c r="A4289" s="626" t="s">
        <v>8643</v>
      </c>
      <c r="B4289" s="626" t="s">
        <v>1908</v>
      </c>
      <c r="C4289" s="638" t="s">
        <v>104</v>
      </c>
      <c r="D4289" s="626" t="s">
        <v>6092</v>
      </c>
      <c r="E4289" s="636">
        <v>1800</v>
      </c>
      <c r="F4289" s="637" t="s">
        <v>8820</v>
      </c>
      <c r="G4289" s="626" t="s">
        <v>8821</v>
      </c>
      <c r="H4289" s="626" t="s">
        <v>8646</v>
      </c>
      <c r="I4289" s="626" t="s">
        <v>3768</v>
      </c>
      <c r="J4289" s="638" t="s">
        <v>1913</v>
      </c>
      <c r="K4289" s="640">
        <v>1</v>
      </c>
      <c r="L4289" s="642">
        <v>12</v>
      </c>
      <c r="M4289" s="643">
        <v>21600</v>
      </c>
      <c r="N4289" s="642">
        <v>1</v>
      </c>
      <c r="O4289" s="640">
        <v>6</v>
      </c>
      <c r="P4289" s="667">
        <v>10800</v>
      </c>
    </row>
    <row r="4290" spans="1:16" s="619" customFormat="1" ht="36" x14ac:dyDescent="0.2">
      <c r="A4290" s="626" t="s">
        <v>8643</v>
      </c>
      <c r="B4290" s="626" t="s">
        <v>1908</v>
      </c>
      <c r="C4290" s="638" t="s">
        <v>104</v>
      </c>
      <c r="D4290" s="626" t="s">
        <v>7740</v>
      </c>
      <c r="E4290" s="636">
        <v>1800</v>
      </c>
      <c r="F4290" s="637" t="s">
        <v>8822</v>
      </c>
      <c r="G4290" s="626" t="s">
        <v>8823</v>
      </c>
      <c r="H4290" s="626" t="s">
        <v>6198</v>
      </c>
      <c r="I4290" s="626" t="s">
        <v>3768</v>
      </c>
      <c r="J4290" s="638" t="s">
        <v>1913</v>
      </c>
      <c r="K4290" s="640">
        <v>8</v>
      </c>
      <c r="L4290" s="642">
        <v>12</v>
      </c>
      <c r="M4290" s="643">
        <v>21600</v>
      </c>
      <c r="N4290" s="642">
        <v>2</v>
      </c>
      <c r="O4290" s="640">
        <v>6</v>
      </c>
      <c r="P4290" s="667">
        <v>10800</v>
      </c>
    </row>
    <row r="4291" spans="1:16" s="619" customFormat="1" ht="48" x14ac:dyDescent="0.2">
      <c r="A4291" s="626" t="s">
        <v>8643</v>
      </c>
      <c r="B4291" s="626" t="s">
        <v>1908</v>
      </c>
      <c r="C4291" s="638" t="s">
        <v>104</v>
      </c>
      <c r="D4291" s="626" t="s">
        <v>2660</v>
      </c>
      <c r="E4291" s="636">
        <v>1300</v>
      </c>
      <c r="F4291" s="637" t="s">
        <v>8824</v>
      </c>
      <c r="G4291" s="626" t="s">
        <v>8825</v>
      </c>
      <c r="H4291" s="626" t="s">
        <v>8661</v>
      </c>
      <c r="I4291" s="626" t="s">
        <v>8653</v>
      </c>
      <c r="J4291" s="638" t="s">
        <v>1931</v>
      </c>
      <c r="K4291" s="640">
        <v>1</v>
      </c>
      <c r="L4291" s="642">
        <v>12</v>
      </c>
      <c r="M4291" s="643">
        <v>15600</v>
      </c>
      <c r="N4291" s="642">
        <v>1</v>
      </c>
      <c r="O4291" s="640">
        <v>6</v>
      </c>
      <c r="P4291" s="667">
        <v>7800</v>
      </c>
    </row>
    <row r="4292" spans="1:16" s="619" customFormat="1" ht="36" x14ac:dyDescent="0.2">
      <c r="A4292" s="626" t="s">
        <v>8643</v>
      </c>
      <c r="B4292" s="626" t="s">
        <v>1908</v>
      </c>
      <c r="C4292" s="638" t="s">
        <v>104</v>
      </c>
      <c r="D4292" s="626" t="s">
        <v>2660</v>
      </c>
      <c r="E4292" s="636">
        <v>1200</v>
      </c>
      <c r="F4292" s="637" t="s">
        <v>8826</v>
      </c>
      <c r="G4292" s="626" t="s">
        <v>8827</v>
      </c>
      <c r="H4292" s="626" t="s">
        <v>8661</v>
      </c>
      <c r="I4292" s="626" t="s">
        <v>8653</v>
      </c>
      <c r="J4292" s="638" t="s">
        <v>1931</v>
      </c>
      <c r="K4292" s="640">
        <v>3</v>
      </c>
      <c r="L4292" s="642">
        <v>7</v>
      </c>
      <c r="M4292" s="643">
        <v>9100</v>
      </c>
      <c r="N4292" s="642">
        <v>2</v>
      </c>
      <c r="O4292" s="640">
        <v>6</v>
      </c>
      <c r="P4292" s="667">
        <v>7200</v>
      </c>
    </row>
    <row r="4293" spans="1:16" s="619" customFormat="1" ht="36" x14ac:dyDescent="0.2">
      <c r="A4293" s="626" t="s">
        <v>8643</v>
      </c>
      <c r="B4293" s="626" t="s">
        <v>1908</v>
      </c>
      <c r="C4293" s="638" t="s">
        <v>104</v>
      </c>
      <c r="D4293" s="626" t="s">
        <v>8680</v>
      </c>
      <c r="E4293" s="636">
        <v>1200</v>
      </c>
      <c r="F4293" s="637" t="s">
        <v>8828</v>
      </c>
      <c r="G4293" s="626" t="s">
        <v>8829</v>
      </c>
      <c r="H4293" s="626" t="s">
        <v>3551</v>
      </c>
      <c r="I4293" s="626" t="s">
        <v>3551</v>
      </c>
      <c r="J4293" s="638" t="s">
        <v>8667</v>
      </c>
      <c r="K4293" s="640">
        <v>0</v>
      </c>
      <c r="L4293" s="642">
        <v>0</v>
      </c>
      <c r="M4293" s="643">
        <v>0</v>
      </c>
      <c r="N4293" s="642">
        <v>2</v>
      </c>
      <c r="O4293" s="640">
        <v>6</v>
      </c>
      <c r="P4293" s="667">
        <v>7200</v>
      </c>
    </row>
    <row r="4294" spans="1:16" s="619" customFormat="1" ht="36" x14ac:dyDescent="0.2">
      <c r="A4294" s="626" t="s">
        <v>8643</v>
      </c>
      <c r="B4294" s="626" t="s">
        <v>1908</v>
      </c>
      <c r="C4294" s="638" t="s">
        <v>104</v>
      </c>
      <c r="D4294" s="626" t="s">
        <v>6158</v>
      </c>
      <c r="E4294" s="636">
        <v>1200</v>
      </c>
      <c r="F4294" s="637" t="s">
        <v>8830</v>
      </c>
      <c r="G4294" s="626" t="s">
        <v>8831</v>
      </c>
      <c r="H4294" s="626" t="s">
        <v>3551</v>
      </c>
      <c r="I4294" s="626" t="s">
        <v>3551</v>
      </c>
      <c r="J4294" s="638" t="s">
        <v>8667</v>
      </c>
      <c r="K4294" s="640">
        <v>7</v>
      </c>
      <c r="L4294" s="642">
        <v>12</v>
      </c>
      <c r="M4294" s="643">
        <v>14400</v>
      </c>
      <c r="N4294" s="642">
        <v>2</v>
      </c>
      <c r="O4294" s="640">
        <v>6</v>
      </c>
      <c r="P4294" s="667">
        <v>7200</v>
      </c>
    </row>
    <row r="4295" spans="1:16" s="619" customFormat="1" ht="36" x14ac:dyDescent="0.2">
      <c r="A4295" s="626" t="s">
        <v>8643</v>
      </c>
      <c r="B4295" s="626" t="s">
        <v>1908</v>
      </c>
      <c r="C4295" s="638" t="s">
        <v>104</v>
      </c>
      <c r="D4295" s="626" t="s">
        <v>6158</v>
      </c>
      <c r="E4295" s="636">
        <v>1200</v>
      </c>
      <c r="F4295" s="637" t="s">
        <v>8832</v>
      </c>
      <c r="G4295" s="626" t="s">
        <v>8833</v>
      </c>
      <c r="H4295" s="626" t="s">
        <v>3551</v>
      </c>
      <c r="I4295" s="626" t="s">
        <v>3551</v>
      </c>
      <c r="J4295" s="638" t="s">
        <v>8667</v>
      </c>
      <c r="K4295" s="640">
        <v>1</v>
      </c>
      <c r="L4295" s="642">
        <v>12</v>
      </c>
      <c r="M4295" s="643">
        <v>14400</v>
      </c>
      <c r="N4295" s="642">
        <v>1</v>
      </c>
      <c r="O4295" s="640">
        <v>6</v>
      </c>
      <c r="P4295" s="667">
        <v>7200</v>
      </c>
    </row>
    <row r="4296" spans="1:16" s="619" customFormat="1" ht="36" x14ac:dyDescent="0.2">
      <c r="A4296" s="626" t="s">
        <v>8643</v>
      </c>
      <c r="B4296" s="626" t="s">
        <v>1908</v>
      </c>
      <c r="C4296" s="638" t="s">
        <v>104</v>
      </c>
      <c r="D4296" s="626" t="s">
        <v>2921</v>
      </c>
      <c r="E4296" s="636">
        <v>0</v>
      </c>
      <c r="F4296" s="637" t="s">
        <v>8834</v>
      </c>
      <c r="G4296" s="626" t="s">
        <v>8835</v>
      </c>
      <c r="H4296" s="626" t="s">
        <v>4670</v>
      </c>
      <c r="I4296" s="626" t="s">
        <v>3768</v>
      </c>
      <c r="J4296" s="638" t="s">
        <v>1913</v>
      </c>
      <c r="K4296" s="640">
        <v>0</v>
      </c>
      <c r="L4296" s="642">
        <v>0</v>
      </c>
      <c r="M4296" s="643">
        <v>0</v>
      </c>
      <c r="N4296" s="642">
        <v>0</v>
      </c>
      <c r="O4296" s="640">
        <v>0</v>
      </c>
      <c r="P4296" s="667">
        <v>0</v>
      </c>
    </row>
    <row r="4297" spans="1:16" s="619" customFormat="1" ht="36" x14ac:dyDescent="0.2">
      <c r="A4297" s="626" t="s">
        <v>8643</v>
      </c>
      <c r="B4297" s="626" t="s">
        <v>1908</v>
      </c>
      <c r="C4297" s="638" t="s">
        <v>104</v>
      </c>
      <c r="D4297" s="626" t="s">
        <v>3538</v>
      </c>
      <c r="E4297" s="636">
        <v>2000</v>
      </c>
      <c r="F4297" s="637" t="s">
        <v>8836</v>
      </c>
      <c r="G4297" s="626" t="s">
        <v>8837</v>
      </c>
      <c r="H4297" s="626" t="s">
        <v>1911</v>
      </c>
      <c r="I4297" s="626" t="s">
        <v>3768</v>
      </c>
      <c r="J4297" s="638" t="s">
        <v>1913</v>
      </c>
      <c r="K4297" s="640" t="s">
        <v>8838</v>
      </c>
      <c r="L4297" s="642">
        <v>1</v>
      </c>
      <c r="M4297" s="643">
        <v>2000</v>
      </c>
      <c r="N4297" s="642" t="s">
        <v>8838</v>
      </c>
      <c r="O4297" s="640">
        <v>6</v>
      </c>
      <c r="P4297" s="667">
        <v>12000</v>
      </c>
    </row>
    <row r="4298" spans="1:16" s="619" customFormat="1" ht="36" x14ac:dyDescent="0.2">
      <c r="A4298" s="626" t="s">
        <v>8643</v>
      </c>
      <c r="B4298" s="626" t="s">
        <v>1908</v>
      </c>
      <c r="C4298" s="638" t="s">
        <v>104</v>
      </c>
      <c r="D4298" s="626" t="s">
        <v>6274</v>
      </c>
      <c r="E4298" s="636">
        <v>1200</v>
      </c>
      <c r="F4298" s="637" t="s">
        <v>8839</v>
      </c>
      <c r="G4298" s="626" t="s">
        <v>8840</v>
      </c>
      <c r="H4298" s="626" t="s">
        <v>3551</v>
      </c>
      <c r="I4298" s="626" t="s">
        <v>3551</v>
      </c>
      <c r="J4298" s="638" t="s">
        <v>8667</v>
      </c>
      <c r="K4298" s="640">
        <v>1</v>
      </c>
      <c r="L4298" s="642">
        <v>12</v>
      </c>
      <c r="M4298" s="643">
        <v>14400</v>
      </c>
      <c r="N4298" s="642">
        <v>1</v>
      </c>
      <c r="O4298" s="640">
        <v>6</v>
      </c>
      <c r="P4298" s="667">
        <v>7200</v>
      </c>
    </row>
    <row r="4299" spans="1:16" s="619" customFormat="1" ht="36" x14ac:dyDescent="0.2">
      <c r="A4299" s="626" t="s">
        <v>8643</v>
      </c>
      <c r="B4299" s="626" t="s">
        <v>1908</v>
      </c>
      <c r="C4299" s="638" t="s">
        <v>104</v>
      </c>
      <c r="D4299" s="626" t="s">
        <v>3545</v>
      </c>
      <c r="E4299" s="636">
        <v>1300</v>
      </c>
      <c r="F4299" s="637" t="s">
        <v>8841</v>
      </c>
      <c r="G4299" s="626" t="s">
        <v>8842</v>
      </c>
      <c r="H4299" s="626" t="s">
        <v>3545</v>
      </c>
      <c r="I4299" s="626" t="s">
        <v>8653</v>
      </c>
      <c r="J4299" s="638" t="s">
        <v>1931</v>
      </c>
      <c r="K4299" s="640">
        <v>1</v>
      </c>
      <c r="L4299" s="642">
        <v>12</v>
      </c>
      <c r="M4299" s="643">
        <v>15600</v>
      </c>
      <c r="N4299" s="642">
        <v>1</v>
      </c>
      <c r="O4299" s="640">
        <v>6</v>
      </c>
      <c r="P4299" s="667">
        <v>7800</v>
      </c>
    </row>
    <row r="4300" spans="1:16" s="619" customFormat="1" ht="36" x14ac:dyDescent="0.2">
      <c r="A4300" s="626" t="s">
        <v>8643</v>
      </c>
      <c r="B4300" s="626" t="s">
        <v>1908</v>
      </c>
      <c r="C4300" s="638" t="s">
        <v>104</v>
      </c>
      <c r="D4300" s="626" t="s">
        <v>6828</v>
      </c>
      <c r="E4300" s="636">
        <v>2000</v>
      </c>
      <c r="F4300" s="637" t="s">
        <v>8843</v>
      </c>
      <c r="G4300" s="626" t="s">
        <v>8844</v>
      </c>
      <c r="H4300" s="626" t="s">
        <v>8692</v>
      </c>
      <c r="I4300" s="626" t="s">
        <v>3768</v>
      </c>
      <c r="J4300" s="638" t="s">
        <v>1913</v>
      </c>
      <c r="K4300" s="640">
        <v>1</v>
      </c>
      <c r="L4300" s="642">
        <v>12</v>
      </c>
      <c r="M4300" s="643">
        <v>24000</v>
      </c>
      <c r="N4300" s="642">
        <v>2</v>
      </c>
      <c r="O4300" s="640">
        <v>6</v>
      </c>
      <c r="P4300" s="667">
        <v>12000</v>
      </c>
    </row>
    <row r="4301" spans="1:16" s="619" customFormat="1" ht="36" x14ac:dyDescent="0.2">
      <c r="A4301" s="626" t="s">
        <v>8643</v>
      </c>
      <c r="B4301" s="626" t="s">
        <v>1908</v>
      </c>
      <c r="C4301" s="638" t="s">
        <v>104</v>
      </c>
      <c r="D4301" s="626" t="s">
        <v>7740</v>
      </c>
      <c r="E4301" s="636">
        <v>1800</v>
      </c>
      <c r="F4301" s="637" t="s">
        <v>8845</v>
      </c>
      <c r="G4301" s="626" t="s">
        <v>8846</v>
      </c>
      <c r="H4301" s="626" t="s">
        <v>6198</v>
      </c>
      <c r="I4301" s="626" t="s">
        <v>3768</v>
      </c>
      <c r="J4301" s="638" t="s">
        <v>1913</v>
      </c>
      <c r="K4301" s="640">
        <v>4</v>
      </c>
      <c r="L4301" s="642">
        <v>12</v>
      </c>
      <c r="M4301" s="643">
        <v>21600</v>
      </c>
      <c r="N4301" s="642">
        <v>2</v>
      </c>
      <c r="O4301" s="640">
        <v>6</v>
      </c>
      <c r="P4301" s="667">
        <v>10800</v>
      </c>
    </row>
    <row r="4302" spans="1:16" s="619" customFormat="1" ht="36" x14ac:dyDescent="0.2">
      <c r="A4302" s="626" t="s">
        <v>8643</v>
      </c>
      <c r="B4302" s="626" t="s">
        <v>1908</v>
      </c>
      <c r="C4302" s="638" t="s">
        <v>104</v>
      </c>
      <c r="D4302" s="626" t="s">
        <v>6158</v>
      </c>
      <c r="E4302" s="636">
        <v>1200</v>
      </c>
      <c r="F4302" s="637" t="s">
        <v>8847</v>
      </c>
      <c r="G4302" s="626" t="s">
        <v>8848</v>
      </c>
      <c r="H4302" s="626" t="s">
        <v>3551</v>
      </c>
      <c r="I4302" s="626" t="s">
        <v>3551</v>
      </c>
      <c r="J4302" s="638" t="s">
        <v>8667</v>
      </c>
      <c r="K4302" s="640">
        <v>1</v>
      </c>
      <c r="L4302" s="642">
        <v>12</v>
      </c>
      <c r="M4302" s="643">
        <v>14400</v>
      </c>
      <c r="N4302" s="642">
        <v>1</v>
      </c>
      <c r="O4302" s="640">
        <v>6</v>
      </c>
      <c r="P4302" s="667">
        <v>7200</v>
      </c>
    </row>
    <row r="4303" spans="1:16" s="619" customFormat="1" ht="36" x14ac:dyDescent="0.2">
      <c r="A4303" s="626" t="s">
        <v>8643</v>
      </c>
      <c r="B4303" s="626" t="s">
        <v>1908</v>
      </c>
      <c r="C4303" s="638" t="s">
        <v>104</v>
      </c>
      <c r="D4303" s="626" t="s">
        <v>6092</v>
      </c>
      <c r="E4303" s="636">
        <v>1800</v>
      </c>
      <c r="F4303" s="637" t="s">
        <v>8849</v>
      </c>
      <c r="G4303" s="626" t="s">
        <v>8850</v>
      </c>
      <c r="H4303" s="626" t="s">
        <v>8646</v>
      </c>
      <c r="I4303" s="626" t="s">
        <v>3768</v>
      </c>
      <c r="J4303" s="638" t="s">
        <v>1913</v>
      </c>
      <c r="K4303" s="640">
        <v>4</v>
      </c>
      <c r="L4303" s="642">
        <v>12</v>
      </c>
      <c r="M4303" s="643">
        <v>21600</v>
      </c>
      <c r="N4303" s="642">
        <v>4</v>
      </c>
      <c r="O4303" s="640">
        <v>6</v>
      </c>
      <c r="P4303" s="667">
        <v>10800</v>
      </c>
    </row>
    <row r="4304" spans="1:16" s="619" customFormat="1" ht="36" x14ac:dyDescent="0.2">
      <c r="A4304" s="626" t="s">
        <v>8643</v>
      </c>
      <c r="B4304" s="626" t="s">
        <v>1908</v>
      </c>
      <c r="C4304" s="638" t="s">
        <v>104</v>
      </c>
      <c r="D4304" s="626" t="s">
        <v>8680</v>
      </c>
      <c r="E4304" s="636">
        <v>1200</v>
      </c>
      <c r="F4304" s="637" t="s">
        <v>8851</v>
      </c>
      <c r="G4304" s="626" t="s">
        <v>8852</v>
      </c>
      <c r="H4304" s="626" t="s">
        <v>3551</v>
      </c>
      <c r="I4304" s="626" t="s">
        <v>3551</v>
      </c>
      <c r="J4304" s="638" t="s">
        <v>8667</v>
      </c>
      <c r="K4304" s="640">
        <v>2</v>
      </c>
      <c r="L4304" s="642">
        <v>3</v>
      </c>
      <c r="M4304" s="643">
        <v>3600</v>
      </c>
      <c r="N4304" s="642">
        <v>2</v>
      </c>
      <c r="O4304" s="640">
        <v>6</v>
      </c>
      <c r="P4304" s="667">
        <v>7200</v>
      </c>
    </row>
    <row r="4305" spans="1:16" s="619" customFormat="1" ht="48" x14ac:dyDescent="0.2">
      <c r="A4305" s="626" t="s">
        <v>8643</v>
      </c>
      <c r="B4305" s="626" t="s">
        <v>1908</v>
      </c>
      <c r="C4305" s="638" t="s">
        <v>104</v>
      </c>
      <c r="D4305" s="626" t="s">
        <v>6691</v>
      </c>
      <c r="E4305" s="636">
        <v>0</v>
      </c>
      <c r="F4305" s="637" t="s">
        <v>8853</v>
      </c>
      <c r="G4305" s="626" t="s">
        <v>8854</v>
      </c>
      <c r="H4305" s="626" t="s">
        <v>2143</v>
      </c>
      <c r="I4305" s="626" t="s">
        <v>3587</v>
      </c>
      <c r="J4305" s="638" t="s">
        <v>1913</v>
      </c>
      <c r="K4305" s="640">
        <v>0</v>
      </c>
      <c r="L4305" s="642">
        <v>0</v>
      </c>
      <c r="M4305" s="643">
        <v>0</v>
      </c>
      <c r="N4305" s="642">
        <v>0</v>
      </c>
      <c r="O4305" s="640">
        <v>0</v>
      </c>
      <c r="P4305" s="667">
        <v>0</v>
      </c>
    </row>
    <row r="4306" spans="1:16" s="619" customFormat="1" ht="36" x14ac:dyDescent="0.2">
      <c r="A4306" s="626" t="s">
        <v>8643</v>
      </c>
      <c r="B4306" s="626" t="s">
        <v>1908</v>
      </c>
      <c r="C4306" s="638" t="s">
        <v>104</v>
      </c>
      <c r="D4306" s="626" t="s">
        <v>2660</v>
      </c>
      <c r="E4306" s="636">
        <v>1300</v>
      </c>
      <c r="F4306" s="637" t="s">
        <v>8855</v>
      </c>
      <c r="G4306" s="626" t="s">
        <v>8856</v>
      </c>
      <c r="H4306" s="626" t="s">
        <v>8661</v>
      </c>
      <c r="I4306" s="626" t="s">
        <v>8653</v>
      </c>
      <c r="J4306" s="638" t="s">
        <v>1931</v>
      </c>
      <c r="K4306" s="640">
        <v>7</v>
      </c>
      <c r="L4306" s="642">
        <v>11</v>
      </c>
      <c r="M4306" s="643">
        <v>14300</v>
      </c>
      <c r="N4306" s="642">
        <v>4</v>
      </c>
      <c r="O4306" s="640">
        <v>6</v>
      </c>
      <c r="P4306" s="667">
        <v>7800</v>
      </c>
    </row>
    <row r="4307" spans="1:16" s="619" customFormat="1" ht="36" x14ac:dyDescent="0.2">
      <c r="A4307" s="626" t="s">
        <v>8643</v>
      </c>
      <c r="B4307" s="626" t="s">
        <v>1908</v>
      </c>
      <c r="C4307" s="638" t="s">
        <v>104</v>
      </c>
      <c r="D4307" s="626" t="s">
        <v>2660</v>
      </c>
      <c r="E4307" s="636">
        <v>1300</v>
      </c>
      <c r="F4307" s="637" t="s">
        <v>8857</v>
      </c>
      <c r="G4307" s="626" t="s">
        <v>8858</v>
      </c>
      <c r="H4307" s="626" t="s">
        <v>8661</v>
      </c>
      <c r="I4307" s="626" t="s">
        <v>8653</v>
      </c>
      <c r="J4307" s="638" t="s">
        <v>1931</v>
      </c>
      <c r="K4307" s="640">
        <v>5</v>
      </c>
      <c r="L4307" s="642">
        <v>12</v>
      </c>
      <c r="M4307" s="643">
        <v>15600</v>
      </c>
      <c r="N4307" s="642">
        <v>4</v>
      </c>
      <c r="O4307" s="640">
        <v>6</v>
      </c>
      <c r="P4307" s="667">
        <v>7800</v>
      </c>
    </row>
    <row r="4308" spans="1:16" s="619" customFormat="1" ht="48" x14ac:dyDescent="0.2">
      <c r="A4308" s="626" t="s">
        <v>8643</v>
      </c>
      <c r="B4308" s="626" t="s">
        <v>1908</v>
      </c>
      <c r="C4308" s="638" t="s">
        <v>104</v>
      </c>
      <c r="D4308" s="626" t="s">
        <v>3529</v>
      </c>
      <c r="E4308" s="636">
        <v>2000</v>
      </c>
      <c r="F4308" s="637" t="s">
        <v>8859</v>
      </c>
      <c r="G4308" s="626" t="s">
        <v>8860</v>
      </c>
      <c r="H4308" s="626" t="s">
        <v>8692</v>
      </c>
      <c r="I4308" s="626" t="s">
        <v>3768</v>
      </c>
      <c r="J4308" s="638" t="s">
        <v>1913</v>
      </c>
      <c r="K4308" s="640">
        <v>7</v>
      </c>
      <c r="L4308" s="642">
        <v>12</v>
      </c>
      <c r="M4308" s="643">
        <v>15600</v>
      </c>
      <c r="N4308" s="642">
        <v>2</v>
      </c>
      <c r="O4308" s="640">
        <v>6</v>
      </c>
      <c r="P4308" s="667">
        <v>12000</v>
      </c>
    </row>
    <row r="4309" spans="1:16" s="619" customFormat="1" ht="36" x14ac:dyDescent="0.2">
      <c r="A4309" s="626" t="s">
        <v>8643</v>
      </c>
      <c r="B4309" s="626" t="s">
        <v>1908</v>
      </c>
      <c r="C4309" s="638" t="s">
        <v>104</v>
      </c>
      <c r="D4309" s="626" t="s">
        <v>6092</v>
      </c>
      <c r="E4309" s="636">
        <v>1800</v>
      </c>
      <c r="F4309" s="637" t="s">
        <v>8861</v>
      </c>
      <c r="G4309" s="626" t="s">
        <v>8862</v>
      </c>
      <c r="H4309" s="626" t="s">
        <v>8646</v>
      </c>
      <c r="I4309" s="626" t="s">
        <v>3768</v>
      </c>
      <c r="J4309" s="638" t="s">
        <v>1913</v>
      </c>
      <c r="K4309" s="640">
        <v>5</v>
      </c>
      <c r="L4309" s="642">
        <v>12</v>
      </c>
      <c r="M4309" s="643">
        <v>21600</v>
      </c>
      <c r="N4309" s="642">
        <v>4</v>
      </c>
      <c r="O4309" s="640">
        <v>6</v>
      </c>
      <c r="P4309" s="667">
        <v>10800</v>
      </c>
    </row>
    <row r="4310" spans="1:16" s="619" customFormat="1" ht="36" x14ac:dyDescent="0.2">
      <c r="A4310" s="626" t="s">
        <v>8643</v>
      </c>
      <c r="B4310" s="626" t="s">
        <v>1908</v>
      </c>
      <c r="C4310" s="638" t="s">
        <v>104</v>
      </c>
      <c r="D4310" s="626" t="s">
        <v>2660</v>
      </c>
      <c r="E4310" s="636">
        <v>1300</v>
      </c>
      <c r="F4310" s="637" t="s">
        <v>8863</v>
      </c>
      <c r="G4310" s="626" t="s">
        <v>8864</v>
      </c>
      <c r="H4310" s="626" t="s">
        <v>8661</v>
      </c>
      <c r="I4310" s="626" t="s">
        <v>8653</v>
      </c>
      <c r="J4310" s="638" t="s">
        <v>1931</v>
      </c>
      <c r="K4310" s="640">
        <v>7</v>
      </c>
      <c r="L4310" s="642">
        <v>12</v>
      </c>
      <c r="M4310" s="643">
        <v>15600</v>
      </c>
      <c r="N4310" s="642">
        <v>1</v>
      </c>
      <c r="O4310" s="640">
        <v>6</v>
      </c>
      <c r="P4310" s="667">
        <v>7800</v>
      </c>
    </row>
    <row r="4311" spans="1:16" s="619" customFormat="1" ht="36" x14ac:dyDescent="0.2">
      <c r="A4311" s="626" t="s">
        <v>8643</v>
      </c>
      <c r="B4311" s="626" t="s">
        <v>1908</v>
      </c>
      <c r="C4311" s="638" t="s">
        <v>104</v>
      </c>
      <c r="D4311" s="626" t="s">
        <v>3545</v>
      </c>
      <c r="E4311" s="636">
        <v>1300</v>
      </c>
      <c r="F4311" s="637" t="s">
        <v>8865</v>
      </c>
      <c r="G4311" s="626" t="s">
        <v>8866</v>
      </c>
      <c r="H4311" s="626" t="s">
        <v>3545</v>
      </c>
      <c r="I4311" s="626" t="s">
        <v>8653</v>
      </c>
      <c r="J4311" s="638" t="s">
        <v>1931</v>
      </c>
      <c r="K4311" s="640">
        <v>1</v>
      </c>
      <c r="L4311" s="642">
        <v>12</v>
      </c>
      <c r="M4311" s="643">
        <v>15600</v>
      </c>
      <c r="N4311" s="642">
        <v>1</v>
      </c>
      <c r="O4311" s="640">
        <v>6</v>
      </c>
      <c r="P4311" s="667">
        <v>7800</v>
      </c>
    </row>
    <row r="4312" spans="1:16" s="619" customFormat="1" ht="36" x14ac:dyDescent="0.2">
      <c r="A4312" s="626" t="s">
        <v>8643</v>
      </c>
      <c r="B4312" s="626" t="s">
        <v>1908</v>
      </c>
      <c r="C4312" s="638" t="s">
        <v>104</v>
      </c>
      <c r="D4312" s="626" t="s">
        <v>2660</v>
      </c>
      <c r="E4312" s="636">
        <v>1200</v>
      </c>
      <c r="F4312" s="637" t="s">
        <v>8867</v>
      </c>
      <c r="G4312" s="626" t="s">
        <v>8868</v>
      </c>
      <c r="H4312" s="626" t="s">
        <v>8661</v>
      </c>
      <c r="I4312" s="626" t="s">
        <v>8653</v>
      </c>
      <c r="J4312" s="638" t="s">
        <v>1931</v>
      </c>
      <c r="K4312" s="640">
        <v>1</v>
      </c>
      <c r="L4312" s="642">
        <v>12</v>
      </c>
      <c r="M4312" s="643">
        <v>15600</v>
      </c>
      <c r="N4312" s="642">
        <v>2</v>
      </c>
      <c r="O4312" s="640">
        <v>6</v>
      </c>
      <c r="P4312" s="667">
        <v>7200</v>
      </c>
    </row>
    <row r="4313" spans="1:16" s="619" customFormat="1" ht="36" x14ac:dyDescent="0.2">
      <c r="A4313" s="626" t="s">
        <v>8643</v>
      </c>
      <c r="B4313" s="626" t="s">
        <v>1908</v>
      </c>
      <c r="C4313" s="638" t="s">
        <v>104</v>
      </c>
      <c r="D4313" s="626" t="s">
        <v>6158</v>
      </c>
      <c r="E4313" s="636">
        <v>1200</v>
      </c>
      <c r="F4313" s="637" t="s">
        <v>8869</v>
      </c>
      <c r="G4313" s="626" t="s">
        <v>8870</v>
      </c>
      <c r="H4313" s="626" t="s">
        <v>3551</v>
      </c>
      <c r="I4313" s="626" t="s">
        <v>3551</v>
      </c>
      <c r="J4313" s="638" t="s">
        <v>8667</v>
      </c>
      <c r="K4313" s="640">
        <v>3</v>
      </c>
      <c r="L4313" s="642">
        <v>12</v>
      </c>
      <c r="M4313" s="643">
        <v>14400</v>
      </c>
      <c r="N4313" s="642">
        <v>4</v>
      </c>
      <c r="O4313" s="640">
        <v>6</v>
      </c>
      <c r="P4313" s="667">
        <v>7200</v>
      </c>
    </row>
    <row r="4314" spans="1:16" s="619" customFormat="1" ht="36" x14ac:dyDescent="0.2">
      <c r="A4314" s="626" t="s">
        <v>8643</v>
      </c>
      <c r="B4314" s="626" t="s">
        <v>1908</v>
      </c>
      <c r="C4314" s="638" t="s">
        <v>104</v>
      </c>
      <c r="D4314" s="626" t="s">
        <v>6158</v>
      </c>
      <c r="E4314" s="636">
        <v>1200</v>
      </c>
      <c r="F4314" s="637" t="s">
        <v>8871</v>
      </c>
      <c r="G4314" s="626" t="s">
        <v>8872</v>
      </c>
      <c r="H4314" s="626" t="s">
        <v>3551</v>
      </c>
      <c r="I4314" s="626" t="s">
        <v>3551</v>
      </c>
      <c r="J4314" s="638" t="s">
        <v>8667</v>
      </c>
      <c r="K4314" s="640">
        <v>1</v>
      </c>
      <c r="L4314" s="642">
        <v>12</v>
      </c>
      <c r="M4314" s="643">
        <v>14400</v>
      </c>
      <c r="N4314" s="642">
        <v>2</v>
      </c>
      <c r="O4314" s="640">
        <v>6</v>
      </c>
      <c r="P4314" s="667">
        <v>7200</v>
      </c>
    </row>
    <row r="4315" spans="1:16" s="619" customFormat="1" ht="36" x14ac:dyDescent="0.2">
      <c r="A4315" s="626" t="s">
        <v>8643</v>
      </c>
      <c r="B4315" s="626" t="s">
        <v>1908</v>
      </c>
      <c r="C4315" s="638" t="s">
        <v>104</v>
      </c>
      <c r="D4315" s="626" t="s">
        <v>3606</v>
      </c>
      <c r="E4315" s="636">
        <v>1300</v>
      </c>
      <c r="F4315" s="637" t="s">
        <v>8873</v>
      </c>
      <c r="G4315" s="626" t="s">
        <v>8874</v>
      </c>
      <c r="H4315" s="626" t="s">
        <v>3545</v>
      </c>
      <c r="I4315" s="626" t="s">
        <v>8653</v>
      </c>
      <c r="J4315" s="638" t="s">
        <v>1931</v>
      </c>
      <c r="K4315" s="640">
        <v>1</v>
      </c>
      <c r="L4315" s="642">
        <v>12</v>
      </c>
      <c r="M4315" s="643">
        <v>15600</v>
      </c>
      <c r="N4315" s="642">
        <v>1</v>
      </c>
      <c r="O4315" s="640">
        <v>6</v>
      </c>
      <c r="P4315" s="667">
        <v>7800</v>
      </c>
    </row>
    <row r="4316" spans="1:16" s="619" customFormat="1" ht="36" x14ac:dyDescent="0.2">
      <c r="A4316" s="626" t="s">
        <v>8643</v>
      </c>
      <c r="B4316" s="626" t="s">
        <v>1908</v>
      </c>
      <c r="C4316" s="638" t="s">
        <v>104</v>
      </c>
      <c r="D4316" s="626" t="s">
        <v>2660</v>
      </c>
      <c r="E4316" s="636">
        <v>1300</v>
      </c>
      <c r="F4316" s="637" t="s">
        <v>8875</v>
      </c>
      <c r="G4316" s="626" t="s">
        <v>8876</v>
      </c>
      <c r="H4316" s="626" t="s">
        <v>8661</v>
      </c>
      <c r="I4316" s="626" t="s">
        <v>8653</v>
      </c>
      <c r="J4316" s="638" t="s">
        <v>1931</v>
      </c>
      <c r="K4316" s="640">
        <v>6</v>
      </c>
      <c r="L4316" s="642">
        <v>11</v>
      </c>
      <c r="M4316" s="643">
        <v>14300</v>
      </c>
      <c r="N4316" s="642">
        <v>2</v>
      </c>
      <c r="O4316" s="640">
        <v>6</v>
      </c>
      <c r="P4316" s="667">
        <v>7800</v>
      </c>
    </row>
    <row r="4317" spans="1:16" s="619" customFormat="1" ht="36" x14ac:dyDescent="0.2">
      <c r="A4317" s="626" t="s">
        <v>8643</v>
      </c>
      <c r="B4317" s="626" t="s">
        <v>1908</v>
      </c>
      <c r="C4317" s="638" t="s">
        <v>104</v>
      </c>
      <c r="D4317" s="626" t="s">
        <v>3695</v>
      </c>
      <c r="E4317" s="636">
        <v>1800</v>
      </c>
      <c r="F4317" s="637" t="s">
        <v>8877</v>
      </c>
      <c r="G4317" s="626" t="s">
        <v>8878</v>
      </c>
      <c r="H4317" s="626" t="s">
        <v>8879</v>
      </c>
      <c r="I4317" s="626" t="s">
        <v>3768</v>
      </c>
      <c r="J4317" s="638" t="s">
        <v>1913</v>
      </c>
      <c r="K4317" s="640">
        <v>1</v>
      </c>
      <c r="L4317" s="642">
        <v>12</v>
      </c>
      <c r="M4317" s="643">
        <v>21600</v>
      </c>
      <c r="N4317" s="642">
        <v>1</v>
      </c>
      <c r="O4317" s="640">
        <v>6</v>
      </c>
      <c r="P4317" s="667">
        <v>10800</v>
      </c>
    </row>
    <row r="4318" spans="1:16" s="619" customFormat="1" ht="36" x14ac:dyDescent="0.2">
      <c r="A4318" s="626" t="s">
        <v>8643</v>
      </c>
      <c r="B4318" s="626" t="s">
        <v>1908</v>
      </c>
      <c r="C4318" s="638" t="s">
        <v>104</v>
      </c>
      <c r="D4318" s="626" t="s">
        <v>2660</v>
      </c>
      <c r="E4318" s="636">
        <v>1300</v>
      </c>
      <c r="F4318" s="637" t="s">
        <v>8880</v>
      </c>
      <c r="G4318" s="626" t="s">
        <v>8881</v>
      </c>
      <c r="H4318" s="626" t="s">
        <v>8661</v>
      </c>
      <c r="I4318" s="626" t="s">
        <v>8653</v>
      </c>
      <c r="J4318" s="638" t="s">
        <v>1931</v>
      </c>
      <c r="K4318" s="640">
        <v>1</v>
      </c>
      <c r="L4318" s="642">
        <v>12</v>
      </c>
      <c r="M4318" s="643">
        <v>15600</v>
      </c>
      <c r="N4318" s="642">
        <v>1</v>
      </c>
      <c r="O4318" s="640">
        <v>6</v>
      </c>
      <c r="P4318" s="667">
        <v>7800</v>
      </c>
    </row>
    <row r="4319" spans="1:16" s="619" customFormat="1" ht="36" x14ac:dyDescent="0.2">
      <c r="A4319" s="626" t="s">
        <v>8643</v>
      </c>
      <c r="B4319" s="626" t="s">
        <v>1908</v>
      </c>
      <c r="C4319" s="638" t="s">
        <v>104</v>
      </c>
      <c r="D4319" s="626" t="s">
        <v>6092</v>
      </c>
      <c r="E4319" s="636">
        <v>1800</v>
      </c>
      <c r="F4319" s="637" t="s">
        <v>8882</v>
      </c>
      <c r="G4319" s="626" t="s">
        <v>8883</v>
      </c>
      <c r="H4319" s="626" t="s">
        <v>8646</v>
      </c>
      <c r="I4319" s="626" t="s">
        <v>3768</v>
      </c>
      <c r="J4319" s="638" t="s">
        <v>1913</v>
      </c>
      <c r="K4319" s="640">
        <v>1</v>
      </c>
      <c r="L4319" s="642">
        <v>12</v>
      </c>
      <c r="M4319" s="643">
        <v>21600</v>
      </c>
      <c r="N4319" s="642">
        <v>1</v>
      </c>
      <c r="O4319" s="640">
        <v>6</v>
      </c>
      <c r="P4319" s="667">
        <v>10800</v>
      </c>
    </row>
    <row r="4320" spans="1:16" s="619" customFormat="1" ht="36" x14ac:dyDescent="0.2">
      <c r="A4320" s="626" t="s">
        <v>8643</v>
      </c>
      <c r="B4320" s="626" t="s">
        <v>1908</v>
      </c>
      <c r="C4320" s="638" t="s">
        <v>104</v>
      </c>
      <c r="D4320" s="626" t="s">
        <v>6092</v>
      </c>
      <c r="E4320" s="636">
        <v>1800</v>
      </c>
      <c r="F4320" s="637" t="s">
        <v>8884</v>
      </c>
      <c r="G4320" s="626" t="s">
        <v>8885</v>
      </c>
      <c r="H4320" s="626" t="s">
        <v>8646</v>
      </c>
      <c r="I4320" s="626" t="s">
        <v>3768</v>
      </c>
      <c r="J4320" s="638" t="s">
        <v>1913</v>
      </c>
      <c r="K4320" s="640">
        <v>2</v>
      </c>
      <c r="L4320" s="642">
        <v>4</v>
      </c>
      <c r="M4320" s="643">
        <v>7200</v>
      </c>
      <c r="N4320" s="642">
        <v>2</v>
      </c>
      <c r="O4320" s="640">
        <v>6</v>
      </c>
      <c r="P4320" s="667">
        <v>10800</v>
      </c>
    </row>
    <row r="4321" spans="1:16" s="619" customFormat="1" ht="36" x14ac:dyDescent="0.2">
      <c r="A4321" s="626" t="s">
        <v>8643</v>
      </c>
      <c r="B4321" s="626" t="s">
        <v>1908</v>
      </c>
      <c r="C4321" s="638" t="s">
        <v>104</v>
      </c>
      <c r="D4321" s="626" t="s">
        <v>6092</v>
      </c>
      <c r="E4321" s="636">
        <v>1800</v>
      </c>
      <c r="F4321" s="637" t="s">
        <v>8886</v>
      </c>
      <c r="G4321" s="626" t="s">
        <v>8887</v>
      </c>
      <c r="H4321" s="626" t="s">
        <v>8646</v>
      </c>
      <c r="I4321" s="626" t="s">
        <v>3768</v>
      </c>
      <c r="J4321" s="638" t="s">
        <v>1913</v>
      </c>
      <c r="K4321" s="640">
        <v>3</v>
      </c>
      <c r="L4321" s="642">
        <v>12</v>
      </c>
      <c r="M4321" s="643">
        <v>21600</v>
      </c>
      <c r="N4321" s="642">
        <v>4</v>
      </c>
      <c r="O4321" s="640">
        <v>6</v>
      </c>
      <c r="P4321" s="667">
        <v>10800</v>
      </c>
    </row>
    <row r="4322" spans="1:16" s="619" customFormat="1" ht="36" x14ac:dyDescent="0.2">
      <c r="A4322" s="626" t="s">
        <v>8643</v>
      </c>
      <c r="B4322" s="626" t="s">
        <v>1908</v>
      </c>
      <c r="C4322" s="638" t="s">
        <v>104</v>
      </c>
      <c r="D4322" s="626" t="s">
        <v>6092</v>
      </c>
      <c r="E4322" s="636">
        <v>1800</v>
      </c>
      <c r="F4322" s="637" t="s">
        <v>8888</v>
      </c>
      <c r="G4322" s="626" t="s">
        <v>8889</v>
      </c>
      <c r="H4322" s="626" t="s">
        <v>8646</v>
      </c>
      <c r="I4322" s="626" t="s">
        <v>3768</v>
      </c>
      <c r="J4322" s="638" t="s">
        <v>1913</v>
      </c>
      <c r="K4322" s="640">
        <v>1</v>
      </c>
      <c r="L4322" s="642">
        <v>12</v>
      </c>
      <c r="M4322" s="643">
        <v>21600</v>
      </c>
      <c r="N4322" s="642">
        <v>1</v>
      </c>
      <c r="O4322" s="640">
        <v>6</v>
      </c>
      <c r="P4322" s="667">
        <v>10800</v>
      </c>
    </row>
    <row r="4323" spans="1:16" s="619" customFormat="1" ht="36" x14ac:dyDescent="0.2">
      <c r="A4323" s="626" t="s">
        <v>8643</v>
      </c>
      <c r="B4323" s="626" t="s">
        <v>1908</v>
      </c>
      <c r="C4323" s="638" t="s">
        <v>104</v>
      </c>
      <c r="D4323" s="626" t="s">
        <v>7740</v>
      </c>
      <c r="E4323" s="636">
        <v>1800</v>
      </c>
      <c r="F4323" s="637" t="s">
        <v>8890</v>
      </c>
      <c r="G4323" s="626" t="s">
        <v>8891</v>
      </c>
      <c r="H4323" s="626" t="s">
        <v>6198</v>
      </c>
      <c r="I4323" s="626" t="s">
        <v>3768</v>
      </c>
      <c r="J4323" s="638" t="s">
        <v>1913</v>
      </c>
      <c r="K4323" s="640">
        <v>3</v>
      </c>
      <c r="L4323" s="642">
        <v>5</v>
      </c>
      <c r="M4323" s="643">
        <v>9000</v>
      </c>
      <c r="N4323" s="642">
        <v>2</v>
      </c>
      <c r="O4323" s="640">
        <v>6</v>
      </c>
      <c r="P4323" s="667">
        <v>10800</v>
      </c>
    </row>
    <row r="4324" spans="1:16" s="619" customFormat="1" ht="36" x14ac:dyDescent="0.2">
      <c r="A4324" s="626" t="s">
        <v>8643</v>
      </c>
      <c r="B4324" s="626" t="s">
        <v>1908</v>
      </c>
      <c r="C4324" s="638" t="s">
        <v>104</v>
      </c>
      <c r="D4324" s="626" t="s">
        <v>6092</v>
      </c>
      <c r="E4324" s="636">
        <v>1800</v>
      </c>
      <c r="F4324" s="637" t="s">
        <v>8892</v>
      </c>
      <c r="G4324" s="626" t="s">
        <v>8893</v>
      </c>
      <c r="H4324" s="626" t="s">
        <v>8646</v>
      </c>
      <c r="I4324" s="626" t="s">
        <v>3768</v>
      </c>
      <c r="J4324" s="638" t="s">
        <v>1913</v>
      </c>
      <c r="K4324" s="640">
        <v>3</v>
      </c>
      <c r="L4324" s="642">
        <v>7</v>
      </c>
      <c r="M4324" s="643">
        <v>12600</v>
      </c>
      <c r="N4324" s="642">
        <v>2</v>
      </c>
      <c r="O4324" s="640">
        <v>6</v>
      </c>
      <c r="P4324" s="667">
        <v>10800</v>
      </c>
    </row>
    <row r="4325" spans="1:16" s="619" customFormat="1" ht="36" x14ac:dyDescent="0.2">
      <c r="A4325" s="626" t="s">
        <v>8643</v>
      </c>
      <c r="B4325" s="626" t="s">
        <v>1908</v>
      </c>
      <c r="C4325" s="638" t="s">
        <v>104</v>
      </c>
      <c r="D4325" s="626" t="s">
        <v>2660</v>
      </c>
      <c r="E4325" s="636">
        <v>1300</v>
      </c>
      <c r="F4325" s="637" t="s">
        <v>8894</v>
      </c>
      <c r="G4325" s="626" t="s">
        <v>8895</v>
      </c>
      <c r="H4325" s="626" t="s">
        <v>8661</v>
      </c>
      <c r="I4325" s="626" t="s">
        <v>8653</v>
      </c>
      <c r="J4325" s="638" t="s">
        <v>1931</v>
      </c>
      <c r="K4325" s="640">
        <v>1</v>
      </c>
      <c r="L4325" s="642">
        <v>12</v>
      </c>
      <c r="M4325" s="643">
        <v>15600</v>
      </c>
      <c r="N4325" s="642">
        <v>1</v>
      </c>
      <c r="O4325" s="640">
        <v>6</v>
      </c>
      <c r="P4325" s="667">
        <v>7800</v>
      </c>
    </row>
    <row r="4326" spans="1:16" s="619" customFormat="1" ht="36" x14ac:dyDescent="0.2">
      <c r="A4326" s="626" t="s">
        <v>8643</v>
      </c>
      <c r="B4326" s="626" t="s">
        <v>1908</v>
      </c>
      <c r="C4326" s="638" t="s">
        <v>104</v>
      </c>
      <c r="D4326" s="626" t="s">
        <v>3569</v>
      </c>
      <c r="E4326" s="636">
        <v>1200</v>
      </c>
      <c r="F4326" s="637" t="s">
        <v>8896</v>
      </c>
      <c r="G4326" s="626" t="s">
        <v>8897</v>
      </c>
      <c r="H4326" s="626" t="s">
        <v>8898</v>
      </c>
      <c r="I4326" s="626" t="s">
        <v>8899</v>
      </c>
      <c r="J4326" s="638" t="s">
        <v>3878</v>
      </c>
      <c r="K4326" s="640">
        <v>7</v>
      </c>
      <c r="L4326" s="642">
        <v>12</v>
      </c>
      <c r="M4326" s="643">
        <v>14400</v>
      </c>
      <c r="N4326" s="642">
        <v>1</v>
      </c>
      <c r="O4326" s="640">
        <v>6</v>
      </c>
      <c r="P4326" s="667">
        <v>7200</v>
      </c>
    </row>
    <row r="4327" spans="1:16" s="619" customFormat="1" ht="36" x14ac:dyDescent="0.2">
      <c r="A4327" s="626" t="s">
        <v>8643</v>
      </c>
      <c r="B4327" s="626" t="s">
        <v>1908</v>
      </c>
      <c r="C4327" s="638" t="s">
        <v>104</v>
      </c>
      <c r="D4327" s="626" t="s">
        <v>6418</v>
      </c>
      <c r="E4327" s="636">
        <v>4500</v>
      </c>
      <c r="F4327" s="637" t="s">
        <v>8900</v>
      </c>
      <c r="G4327" s="626" t="s">
        <v>8901</v>
      </c>
      <c r="H4327" s="626" t="s">
        <v>1911</v>
      </c>
      <c r="I4327" s="626" t="s">
        <v>3768</v>
      </c>
      <c r="J4327" s="638" t="s">
        <v>1913</v>
      </c>
      <c r="K4327" s="640">
        <v>2</v>
      </c>
      <c r="L4327" s="642">
        <v>12</v>
      </c>
      <c r="M4327" s="643">
        <v>24000</v>
      </c>
      <c r="N4327" s="642">
        <v>1</v>
      </c>
      <c r="O4327" s="640">
        <v>6</v>
      </c>
      <c r="P4327" s="667">
        <v>0</v>
      </c>
    </row>
    <row r="4328" spans="1:16" s="619" customFormat="1" ht="36" x14ac:dyDescent="0.2">
      <c r="A4328" s="626" t="s">
        <v>8643</v>
      </c>
      <c r="B4328" s="626" t="s">
        <v>1908</v>
      </c>
      <c r="C4328" s="638" t="s">
        <v>104</v>
      </c>
      <c r="D4328" s="626" t="s">
        <v>8680</v>
      </c>
      <c r="E4328" s="636">
        <v>1200</v>
      </c>
      <c r="F4328" s="637" t="s">
        <v>8902</v>
      </c>
      <c r="G4328" s="626" t="s">
        <v>8903</v>
      </c>
      <c r="H4328" s="626" t="s">
        <v>3551</v>
      </c>
      <c r="I4328" s="626" t="s">
        <v>3551</v>
      </c>
      <c r="J4328" s="638" t="s">
        <v>8667</v>
      </c>
      <c r="K4328" s="640">
        <v>1</v>
      </c>
      <c r="L4328" s="642">
        <v>12</v>
      </c>
      <c r="M4328" s="643">
        <v>14400</v>
      </c>
      <c r="N4328" s="642">
        <v>1</v>
      </c>
      <c r="O4328" s="640">
        <v>6</v>
      </c>
      <c r="P4328" s="667">
        <v>7200</v>
      </c>
    </row>
    <row r="4329" spans="1:16" s="619" customFormat="1" ht="36" x14ac:dyDescent="0.2">
      <c r="A4329" s="626" t="s">
        <v>8643</v>
      </c>
      <c r="B4329" s="626" t="s">
        <v>1908</v>
      </c>
      <c r="C4329" s="638" t="s">
        <v>104</v>
      </c>
      <c r="D4329" s="626" t="s">
        <v>3548</v>
      </c>
      <c r="E4329" s="636">
        <v>1200</v>
      </c>
      <c r="F4329" s="637" t="s">
        <v>8904</v>
      </c>
      <c r="G4329" s="626" t="s">
        <v>8905</v>
      </c>
      <c r="H4329" s="626" t="s">
        <v>3551</v>
      </c>
      <c r="I4329" s="626" t="s">
        <v>3551</v>
      </c>
      <c r="J4329" s="638" t="s">
        <v>8667</v>
      </c>
      <c r="K4329" s="640">
        <v>1</v>
      </c>
      <c r="L4329" s="642">
        <v>12</v>
      </c>
      <c r="M4329" s="643">
        <v>14400</v>
      </c>
      <c r="N4329" s="642">
        <v>1</v>
      </c>
      <c r="O4329" s="640">
        <v>6</v>
      </c>
      <c r="P4329" s="667">
        <v>7200</v>
      </c>
    </row>
    <row r="4330" spans="1:16" s="619" customFormat="1" ht="36" x14ac:dyDescent="0.2">
      <c r="A4330" s="626" t="s">
        <v>8643</v>
      </c>
      <c r="B4330" s="626" t="s">
        <v>1908</v>
      </c>
      <c r="C4330" s="638" t="s">
        <v>104</v>
      </c>
      <c r="D4330" s="626" t="s">
        <v>6092</v>
      </c>
      <c r="E4330" s="636">
        <v>1800</v>
      </c>
      <c r="F4330" s="637" t="s">
        <v>8906</v>
      </c>
      <c r="G4330" s="626" t="s">
        <v>8907</v>
      </c>
      <c r="H4330" s="626" t="s">
        <v>8646</v>
      </c>
      <c r="I4330" s="626" t="s">
        <v>3768</v>
      </c>
      <c r="J4330" s="638" t="s">
        <v>1913</v>
      </c>
      <c r="K4330" s="640">
        <v>1</v>
      </c>
      <c r="L4330" s="642">
        <v>12</v>
      </c>
      <c r="M4330" s="643">
        <v>21600</v>
      </c>
      <c r="N4330" s="642">
        <v>1</v>
      </c>
      <c r="O4330" s="640">
        <v>6</v>
      </c>
      <c r="P4330" s="667">
        <v>10800</v>
      </c>
    </row>
    <row r="4331" spans="1:16" s="619" customFormat="1" ht="36" x14ac:dyDescent="0.2">
      <c r="A4331" s="626" t="s">
        <v>8643</v>
      </c>
      <c r="B4331" s="626" t="s">
        <v>1908</v>
      </c>
      <c r="C4331" s="638" t="s">
        <v>104</v>
      </c>
      <c r="D4331" s="626" t="s">
        <v>6092</v>
      </c>
      <c r="E4331" s="636">
        <v>1800</v>
      </c>
      <c r="F4331" s="637" t="s">
        <v>8908</v>
      </c>
      <c r="G4331" s="626" t="s">
        <v>8909</v>
      </c>
      <c r="H4331" s="626" t="s">
        <v>8646</v>
      </c>
      <c r="I4331" s="626" t="s">
        <v>3768</v>
      </c>
      <c r="J4331" s="638" t="s">
        <v>1913</v>
      </c>
      <c r="K4331" s="640">
        <v>4</v>
      </c>
      <c r="L4331" s="642">
        <v>12</v>
      </c>
      <c r="M4331" s="643">
        <v>21600</v>
      </c>
      <c r="N4331" s="642">
        <v>4</v>
      </c>
      <c r="O4331" s="640">
        <v>6</v>
      </c>
      <c r="P4331" s="667">
        <v>10800</v>
      </c>
    </row>
    <row r="4332" spans="1:16" s="619" customFormat="1" ht="36" x14ac:dyDescent="0.2">
      <c r="A4332" s="626" t="s">
        <v>8643</v>
      </c>
      <c r="B4332" s="626" t="s">
        <v>1908</v>
      </c>
      <c r="C4332" s="638" t="s">
        <v>104</v>
      </c>
      <c r="D4332" s="626" t="s">
        <v>6187</v>
      </c>
      <c r="E4332" s="636">
        <v>1200</v>
      </c>
      <c r="F4332" s="637" t="s">
        <v>8910</v>
      </c>
      <c r="G4332" s="626" t="s">
        <v>8911</v>
      </c>
      <c r="H4332" s="626" t="s">
        <v>8801</v>
      </c>
      <c r="I4332" s="626" t="s">
        <v>8653</v>
      </c>
      <c r="J4332" s="638" t="s">
        <v>1931</v>
      </c>
      <c r="K4332" s="640">
        <v>3</v>
      </c>
      <c r="L4332" s="642">
        <v>7</v>
      </c>
      <c r="M4332" s="643">
        <v>7700</v>
      </c>
      <c r="N4332" s="642">
        <v>2</v>
      </c>
      <c r="O4332" s="640">
        <v>6</v>
      </c>
      <c r="P4332" s="667">
        <v>7200</v>
      </c>
    </row>
    <row r="4333" spans="1:16" s="619" customFormat="1" ht="36" x14ac:dyDescent="0.2">
      <c r="A4333" s="626" t="s">
        <v>8643</v>
      </c>
      <c r="B4333" s="626" t="s">
        <v>1908</v>
      </c>
      <c r="C4333" s="638" t="s">
        <v>104</v>
      </c>
      <c r="D4333" s="626" t="s">
        <v>2660</v>
      </c>
      <c r="E4333" s="636">
        <v>1300</v>
      </c>
      <c r="F4333" s="637" t="s">
        <v>8912</v>
      </c>
      <c r="G4333" s="626" t="s">
        <v>8913</v>
      </c>
      <c r="H4333" s="626" t="s">
        <v>8661</v>
      </c>
      <c r="I4333" s="626" t="s">
        <v>8653</v>
      </c>
      <c r="J4333" s="638" t="s">
        <v>1931</v>
      </c>
      <c r="K4333" s="640">
        <v>1</v>
      </c>
      <c r="L4333" s="642">
        <v>12</v>
      </c>
      <c r="M4333" s="643">
        <v>15600</v>
      </c>
      <c r="N4333" s="642">
        <v>1</v>
      </c>
      <c r="O4333" s="640">
        <v>6</v>
      </c>
      <c r="P4333" s="667">
        <v>7800</v>
      </c>
    </row>
    <row r="4334" spans="1:16" s="619" customFormat="1" ht="48" x14ac:dyDescent="0.2">
      <c r="A4334" s="626" t="s">
        <v>8643</v>
      </c>
      <c r="B4334" s="626" t="s">
        <v>1908</v>
      </c>
      <c r="C4334" s="638" t="s">
        <v>104</v>
      </c>
      <c r="D4334" s="626" t="s">
        <v>3569</v>
      </c>
      <c r="E4334" s="636">
        <v>1200</v>
      </c>
      <c r="F4334" s="637" t="s">
        <v>8914</v>
      </c>
      <c r="G4334" s="626" t="s">
        <v>8915</v>
      </c>
      <c r="H4334" s="626" t="s">
        <v>8801</v>
      </c>
      <c r="I4334" s="626" t="s">
        <v>8653</v>
      </c>
      <c r="J4334" s="638" t="s">
        <v>1931</v>
      </c>
      <c r="K4334" s="640">
        <v>1</v>
      </c>
      <c r="L4334" s="642">
        <v>12</v>
      </c>
      <c r="M4334" s="643">
        <v>14400</v>
      </c>
      <c r="N4334" s="642">
        <v>1</v>
      </c>
      <c r="O4334" s="640">
        <v>6</v>
      </c>
      <c r="P4334" s="667">
        <v>7200</v>
      </c>
    </row>
    <row r="4335" spans="1:16" s="619" customFormat="1" ht="48" x14ac:dyDescent="0.2">
      <c r="A4335" s="626" t="s">
        <v>8643</v>
      </c>
      <c r="B4335" s="626" t="s">
        <v>1908</v>
      </c>
      <c r="C4335" s="638" t="s">
        <v>104</v>
      </c>
      <c r="D4335" s="626" t="s">
        <v>6198</v>
      </c>
      <c r="E4335" s="636">
        <v>1800</v>
      </c>
      <c r="F4335" s="637" t="s">
        <v>8916</v>
      </c>
      <c r="G4335" s="626" t="s">
        <v>8917</v>
      </c>
      <c r="H4335" s="626" t="s">
        <v>6198</v>
      </c>
      <c r="I4335" s="626" t="s">
        <v>3768</v>
      </c>
      <c r="J4335" s="638" t="s">
        <v>1913</v>
      </c>
      <c r="K4335" s="640">
        <v>1</v>
      </c>
      <c r="L4335" s="642">
        <v>12</v>
      </c>
      <c r="M4335" s="643">
        <v>21600</v>
      </c>
      <c r="N4335" s="642">
        <v>1</v>
      </c>
      <c r="O4335" s="640">
        <v>6</v>
      </c>
      <c r="P4335" s="667">
        <v>10800</v>
      </c>
    </row>
    <row r="4336" spans="1:16" s="619" customFormat="1" ht="36" x14ac:dyDescent="0.2">
      <c r="A4336" s="626" t="s">
        <v>8643</v>
      </c>
      <c r="B4336" s="626" t="s">
        <v>1908</v>
      </c>
      <c r="C4336" s="638" t="s">
        <v>104</v>
      </c>
      <c r="D4336" s="626" t="s">
        <v>6092</v>
      </c>
      <c r="E4336" s="636">
        <v>1800</v>
      </c>
      <c r="F4336" s="637" t="s">
        <v>8918</v>
      </c>
      <c r="G4336" s="626" t="s">
        <v>8919</v>
      </c>
      <c r="H4336" s="626" t="s">
        <v>8646</v>
      </c>
      <c r="I4336" s="626" t="s">
        <v>3768</v>
      </c>
      <c r="J4336" s="638" t="s">
        <v>1913</v>
      </c>
      <c r="K4336" s="640">
        <v>4</v>
      </c>
      <c r="L4336" s="642">
        <v>12</v>
      </c>
      <c r="M4336" s="643">
        <v>21600</v>
      </c>
      <c r="N4336" s="642">
        <v>4</v>
      </c>
      <c r="O4336" s="640">
        <v>6</v>
      </c>
      <c r="P4336" s="667">
        <v>10800</v>
      </c>
    </row>
    <row r="4337" spans="1:16" s="619" customFormat="1" ht="36" x14ac:dyDescent="0.2">
      <c r="A4337" s="626" t="s">
        <v>8643</v>
      </c>
      <c r="B4337" s="626" t="s">
        <v>1908</v>
      </c>
      <c r="C4337" s="638" t="s">
        <v>104</v>
      </c>
      <c r="D4337" s="626" t="s">
        <v>2660</v>
      </c>
      <c r="E4337" s="636">
        <v>1300</v>
      </c>
      <c r="F4337" s="637" t="s">
        <v>8920</v>
      </c>
      <c r="G4337" s="626" t="s">
        <v>8921</v>
      </c>
      <c r="H4337" s="626" t="s">
        <v>8661</v>
      </c>
      <c r="I4337" s="626" t="s">
        <v>8653</v>
      </c>
      <c r="J4337" s="638" t="s">
        <v>1931</v>
      </c>
      <c r="K4337" s="640">
        <v>4</v>
      </c>
      <c r="L4337" s="642">
        <v>12</v>
      </c>
      <c r="M4337" s="643">
        <v>15600</v>
      </c>
      <c r="N4337" s="642">
        <v>4</v>
      </c>
      <c r="O4337" s="640">
        <v>6</v>
      </c>
      <c r="P4337" s="667">
        <v>7800</v>
      </c>
    </row>
    <row r="4338" spans="1:16" s="619" customFormat="1" ht="36" x14ac:dyDescent="0.2">
      <c r="A4338" s="626" t="s">
        <v>8643</v>
      </c>
      <c r="B4338" s="626" t="s">
        <v>1908</v>
      </c>
      <c r="C4338" s="638" t="s">
        <v>104</v>
      </c>
      <c r="D4338" s="626" t="s">
        <v>8680</v>
      </c>
      <c r="E4338" s="636">
        <v>1200</v>
      </c>
      <c r="F4338" s="637" t="s">
        <v>8922</v>
      </c>
      <c r="G4338" s="626" t="s">
        <v>8923</v>
      </c>
      <c r="H4338" s="626" t="s">
        <v>3551</v>
      </c>
      <c r="I4338" s="626" t="s">
        <v>3551</v>
      </c>
      <c r="J4338" s="638" t="s">
        <v>8667</v>
      </c>
      <c r="K4338" s="640">
        <v>0</v>
      </c>
      <c r="L4338" s="642">
        <v>0</v>
      </c>
      <c r="M4338" s="643">
        <v>0</v>
      </c>
      <c r="N4338" s="642">
        <v>2</v>
      </c>
      <c r="O4338" s="640">
        <v>6</v>
      </c>
      <c r="P4338" s="667">
        <v>7200</v>
      </c>
    </row>
    <row r="4339" spans="1:16" s="619" customFormat="1" ht="36" x14ac:dyDescent="0.2">
      <c r="A4339" s="626" t="s">
        <v>8643</v>
      </c>
      <c r="B4339" s="626" t="s">
        <v>1908</v>
      </c>
      <c r="C4339" s="638" t="s">
        <v>104</v>
      </c>
      <c r="D4339" s="626" t="s">
        <v>8924</v>
      </c>
      <c r="E4339" s="636">
        <v>4500</v>
      </c>
      <c r="F4339" s="637" t="s">
        <v>8925</v>
      </c>
      <c r="G4339" s="626" t="s">
        <v>8926</v>
      </c>
      <c r="H4339" s="626" t="s">
        <v>8927</v>
      </c>
      <c r="I4339" s="626" t="s">
        <v>8653</v>
      </c>
      <c r="J4339" s="638" t="s">
        <v>1931</v>
      </c>
      <c r="K4339" s="640">
        <v>0</v>
      </c>
      <c r="L4339" s="642">
        <v>0</v>
      </c>
      <c r="M4339" s="643">
        <v>0</v>
      </c>
      <c r="N4339" s="642">
        <v>1</v>
      </c>
      <c r="O4339" s="640">
        <v>6</v>
      </c>
      <c r="P4339" s="667">
        <v>27000</v>
      </c>
    </row>
    <row r="4340" spans="1:16" s="619" customFormat="1" ht="36" x14ac:dyDescent="0.2">
      <c r="A4340" s="626" t="s">
        <v>8643</v>
      </c>
      <c r="B4340" s="626" t="s">
        <v>1908</v>
      </c>
      <c r="C4340" s="638" t="s">
        <v>104</v>
      </c>
      <c r="D4340" s="626" t="s">
        <v>6092</v>
      </c>
      <c r="E4340" s="636">
        <v>1800</v>
      </c>
      <c r="F4340" s="637" t="s">
        <v>8928</v>
      </c>
      <c r="G4340" s="626" t="s">
        <v>8929</v>
      </c>
      <c r="H4340" s="626" t="s">
        <v>8646</v>
      </c>
      <c r="I4340" s="626" t="s">
        <v>3768</v>
      </c>
      <c r="J4340" s="638" t="s">
        <v>1913</v>
      </c>
      <c r="K4340" s="640">
        <v>3</v>
      </c>
      <c r="L4340" s="642">
        <v>12</v>
      </c>
      <c r="M4340" s="643">
        <v>21600</v>
      </c>
      <c r="N4340" s="642">
        <v>4</v>
      </c>
      <c r="O4340" s="640">
        <v>6</v>
      </c>
      <c r="P4340" s="667">
        <v>10800</v>
      </c>
    </row>
    <row r="4341" spans="1:16" s="619" customFormat="1" ht="36" x14ac:dyDescent="0.2">
      <c r="A4341" s="626" t="s">
        <v>8643</v>
      </c>
      <c r="B4341" s="626" t="s">
        <v>1908</v>
      </c>
      <c r="C4341" s="638" t="s">
        <v>104</v>
      </c>
      <c r="D4341" s="626" t="s">
        <v>6187</v>
      </c>
      <c r="E4341" s="636">
        <v>1200</v>
      </c>
      <c r="F4341" s="637" t="s">
        <v>8930</v>
      </c>
      <c r="G4341" s="626" t="s">
        <v>8931</v>
      </c>
      <c r="H4341" s="626" t="s">
        <v>8801</v>
      </c>
      <c r="I4341" s="626" t="s">
        <v>8653</v>
      </c>
      <c r="J4341" s="638" t="s">
        <v>1931</v>
      </c>
      <c r="K4341" s="640">
        <v>1</v>
      </c>
      <c r="L4341" s="642">
        <v>12</v>
      </c>
      <c r="M4341" s="643">
        <v>14400</v>
      </c>
      <c r="N4341" s="642">
        <v>1</v>
      </c>
      <c r="O4341" s="640">
        <v>6</v>
      </c>
      <c r="P4341" s="667">
        <v>7200</v>
      </c>
    </row>
    <row r="4342" spans="1:16" s="619" customFormat="1" ht="36" x14ac:dyDescent="0.2">
      <c r="A4342" s="626" t="s">
        <v>8643</v>
      </c>
      <c r="B4342" s="626" t="s">
        <v>1908</v>
      </c>
      <c r="C4342" s="638" t="s">
        <v>104</v>
      </c>
      <c r="D4342" s="626" t="s">
        <v>6120</v>
      </c>
      <c r="E4342" s="636">
        <v>1300</v>
      </c>
      <c r="F4342" s="637" t="s">
        <v>8932</v>
      </c>
      <c r="G4342" s="626" t="s">
        <v>8933</v>
      </c>
      <c r="H4342" s="626" t="s">
        <v>8801</v>
      </c>
      <c r="I4342" s="626" t="s">
        <v>8653</v>
      </c>
      <c r="J4342" s="638" t="s">
        <v>1931</v>
      </c>
      <c r="K4342" s="640">
        <v>1</v>
      </c>
      <c r="L4342" s="642">
        <v>12</v>
      </c>
      <c r="M4342" s="643">
        <v>15600</v>
      </c>
      <c r="N4342" s="642">
        <v>1</v>
      </c>
      <c r="O4342" s="640">
        <v>6</v>
      </c>
      <c r="P4342" s="667">
        <v>7800</v>
      </c>
    </row>
    <row r="4343" spans="1:16" s="619" customFormat="1" ht="36" x14ac:dyDescent="0.2">
      <c r="A4343" s="626" t="s">
        <v>8643</v>
      </c>
      <c r="B4343" s="626" t="s">
        <v>1908</v>
      </c>
      <c r="C4343" s="638" t="s">
        <v>104</v>
      </c>
      <c r="D4343" s="626" t="s">
        <v>3606</v>
      </c>
      <c r="E4343" s="636">
        <v>1200</v>
      </c>
      <c r="F4343" s="637" t="s">
        <v>8934</v>
      </c>
      <c r="G4343" s="626" t="s">
        <v>8935</v>
      </c>
      <c r="H4343" s="626" t="s">
        <v>8801</v>
      </c>
      <c r="I4343" s="626" t="s">
        <v>8653</v>
      </c>
      <c r="J4343" s="638" t="s">
        <v>1931</v>
      </c>
      <c r="K4343" s="640">
        <v>3</v>
      </c>
      <c r="L4343" s="642">
        <v>7</v>
      </c>
      <c r="M4343" s="643">
        <v>8400</v>
      </c>
      <c r="N4343" s="642">
        <v>2</v>
      </c>
      <c r="O4343" s="640">
        <v>6</v>
      </c>
      <c r="P4343" s="667">
        <v>7200</v>
      </c>
    </row>
    <row r="4344" spans="1:16" s="619" customFormat="1" ht="36" x14ac:dyDescent="0.2">
      <c r="A4344" s="626" t="s">
        <v>8643</v>
      </c>
      <c r="B4344" s="626" t="s">
        <v>1908</v>
      </c>
      <c r="C4344" s="638" t="s">
        <v>104</v>
      </c>
      <c r="D4344" s="626" t="s">
        <v>8680</v>
      </c>
      <c r="E4344" s="636">
        <v>1200</v>
      </c>
      <c r="F4344" s="637" t="s">
        <v>8936</v>
      </c>
      <c r="G4344" s="626" t="s">
        <v>8937</v>
      </c>
      <c r="H4344" s="626" t="s">
        <v>3551</v>
      </c>
      <c r="I4344" s="626" t="s">
        <v>3551</v>
      </c>
      <c r="J4344" s="638" t="s">
        <v>8667</v>
      </c>
      <c r="K4344" s="640">
        <v>1</v>
      </c>
      <c r="L4344" s="642">
        <v>12</v>
      </c>
      <c r="M4344" s="643">
        <v>14400</v>
      </c>
      <c r="N4344" s="642">
        <v>1</v>
      </c>
      <c r="O4344" s="640">
        <v>6</v>
      </c>
      <c r="P4344" s="667">
        <v>7200</v>
      </c>
    </row>
    <row r="4345" spans="1:16" s="619" customFormat="1" ht="36" x14ac:dyDescent="0.2">
      <c r="A4345" s="626" t="s">
        <v>8643</v>
      </c>
      <c r="B4345" s="626" t="s">
        <v>1908</v>
      </c>
      <c r="C4345" s="638" t="s">
        <v>104</v>
      </c>
      <c r="D4345" s="626" t="s">
        <v>2660</v>
      </c>
      <c r="E4345" s="636">
        <v>1300</v>
      </c>
      <c r="F4345" s="637" t="s">
        <v>8938</v>
      </c>
      <c r="G4345" s="626" t="s">
        <v>8939</v>
      </c>
      <c r="H4345" s="626" t="s">
        <v>8661</v>
      </c>
      <c r="I4345" s="626" t="s">
        <v>8653</v>
      </c>
      <c r="J4345" s="638" t="s">
        <v>1931</v>
      </c>
      <c r="K4345" s="640">
        <v>1</v>
      </c>
      <c r="L4345" s="642">
        <v>12</v>
      </c>
      <c r="M4345" s="643">
        <v>15600</v>
      </c>
      <c r="N4345" s="642">
        <v>1</v>
      </c>
      <c r="O4345" s="640">
        <v>6</v>
      </c>
      <c r="P4345" s="667">
        <v>7800</v>
      </c>
    </row>
    <row r="4346" spans="1:16" s="619" customFormat="1" ht="36" x14ac:dyDescent="0.2">
      <c r="A4346" s="626" t="s">
        <v>8643</v>
      </c>
      <c r="B4346" s="626" t="s">
        <v>1908</v>
      </c>
      <c r="C4346" s="638" t="s">
        <v>104</v>
      </c>
      <c r="D4346" s="626" t="s">
        <v>3529</v>
      </c>
      <c r="E4346" s="636">
        <v>4500</v>
      </c>
      <c r="F4346" s="637" t="s">
        <v>8940</v>
      </c>
      <c r="G4346" s="626" t="s">
        <v>8941</v>
      </c>
      <c r="H4346" s="626" t="s">
        <v>8692</v>
      </c>
      <c r="I4346" s="626" t="s">
        <v>3768</v>
      </c>
      <c r="J4346" s="638" t="s">
        <v>1913</v>
      </c>
      <c r="K4346" s="640">
        <v>0</v>
      </c>
      <c r="L4346" s="642">
        <v>0</v>
      </c>
      <c r="M4346" s="643">
        <v>0</v>
      </c>
      <c r="N4346" s="642">
        <v>1</v>
      </c>
      <c r="O4346" s="640">
        <v>6</v>
      </c>
      <c r="P4346" s="667">
        <v>27000</v>
      </c>
    </row>
    <row r="4347" spans="1:16" s="619" customFormat="1" ht="48" x14ac:dyDescent="0.2">
      <c r="A4347" s="626" t="s">
        <v>8643</v>
      </c>
      <c r="B4347" s="626" t="s">
        <v>1908</v>
      </c>
      <c r="C4347" s="638" t="s">
        <v>104</v>
      </c>
      <c r="D4347" s="626" t="s">
        <v>3569</v>
      </c>
      <c r="E4347" s="636">
        <v>1200</v>
      </c>
      <c r="F4347" s="637" t="s">
        <v>8942</v>
      </c>
      <c r="G4347" s="626" t="s">
        <v>8943</v>
      </c>
      <c r="H4347" s="626" t="s">
        <v>8801</v>
      </c>
      <c r="I4347" s="626" t="s">
        <v>8653</v>
      </c>
      <c r="J4347" s="638" t="s">
        <v>1931</v>
      </c>
      <c r="K4347" s="640">
        <v>6</v>
      </c>
      <c r="L4347" s="642">
        <v>12</v>
      </c>
      <c r="M4347" s="643">
        <v>14400</v>
      </c>
      <c r="N4347" s="642">
        <v>2</v>
      </c>
      <c r="O4347" s="640">
        <v>6</v>
      </c>
      <c r="P4347" s="667">
        <v>7200</v>
      </c>
    </row>
    <row r="4348" spans="1:16" s="619" customFormat="1" ht="48" x14ac:dyDescent="0.2">
      <c r="A4348" s="626" t="s">
        <v>8643</v>
      </c>
      <c r="B4348" s="626" t="s">
        <v>1908</v>
      </c>
      <c r="C4348" s="638" t="s">
        <v>104</v>
      </c>
      <c r="D4348" s="626" t="s">
        <v>8944</v>
      </c>
      <c r="E4348" s="636">
        <v>2000</v>
      </c>
      <c r="F4348" s="637" t="s">
        <v>8945</v>
      </c>
      <c r="G4348" s="626" t="s">
        <v>8946</v>
      </c>
      <c r="H4348" s="626" t="s">
        <v>2232</v>
      </c>
      <c r="I4348" s="626" t="s">
        <v>3768</v>
      </c>
      <c r="J4348" s="638" t="s">
        <v>1913</v>
      </c>
      <c r="K4348" s="640">
        <v>0</v>
      </c>
      <c r="L4348" s="642">
        <v>0</v>
      </c>
      <c r="M4348" s="643">
        <v>0</v>
      </c>
      <c r="N4348" s="642">
        <v>1</v>
      </c>
      <c r="O4348" s="640">
        <v>6</v>
      </c>
      <c r="P4348" s="667">
        <v>12000</v>
      </c>
    </row>
    <row r="4349" spans="1:16" s="619" customFormat="1" ht="36" x14ac:dyDescent="0.2">
      <c r="A4349" s="626" t="s">
        <v>8643</v>
      </c>
      <c r="B4349" s="626" t="s">
        <v>1908</v>
      </c>
      <c r="C4349" s="638" t="s">
        <v>104</v>
      </c>
      <c r="D4349" s="626" t="s">
        <v>6158</v>
      </c>
      <c r="E4349" s="636">
        <v>1200</v>
      </c>
      <c r="F4349" s="637" t="s">
        <v>8947</v>
      </c>
      <c r="G4349" s="626" t="s">
        <v>8948</v>
      </c>
      <c r="H4349" s="626" t="s">
        <v>3551</v>
      </c>
      <c r="I4349" s="626" t="s">
        <v>3551</v>
      </c>
      <c r="J4349" s="638" t="s">
        <v>8667</v>
      </c>
      <c r="K4349" s="640">
        <v>1</v>
      </c>
      <c r="L4349" s="642">
        <v>12</v>
      </c>
      <c r="M4349" s="643">
        <v>14400</v>
      </c>
      <c r="N4349" s="642">
        <v>1</v>
      </c>
      <c r="O4349" s="640">
        <v>6</v>
      </c>
      <c r="P4349" s="667">
        <v>7200</v>
      </c>
    </row>
    <row r="4350" spans="1:16" s="619" customFormat="1" ht="36" x14ac:dyDescent="0.2">
      <c r="A4350" s="626" t="s">
        <v>8643</v>
      </c>
      <c r="B4350" s="626" t="s">
        <v>1908</v>
      </c>
      <c r="C4350" s="638" t="s">
        <v>104</v>
      </c>
      <c r="D4350" s="626" t="s">
        <v>6158</v>
      </c>
      <c r="E4350" s="636">
        <v>1200</v>
      </c>
      <c r="F4350" s="637" t="s">
        <v>8949</v>
      </c>
      <c r="G4350" s="626" t="s">
        <v>8950</v>
      </c>
      <c r="H4350" s="626" t="s">
        <v>3551</v>
      </c>
      <c r="I4350" s="626" t="s">
        <v>3551</v>
      </c>
      <c r="J4350" s="638" t="s">
        <v>8667</v>
      </c>
      <c r="K4350" s="640">
        <v>3</v>
      </c>
      <c r="L4350" s="642">
        <v>12</v>
      </c>
      <c r="M4350" s="643">
        <v>14400</v>
      </c>
      <c r="N4350" s="642">
        <v>4</v>
      </c>
      <c r="O4350" s="640">
        <v>6</v>
      </c>
      <c r="P4350" s="667">
        <v>7200</v>
      </c>
    </row>
    <row r="4351" spans="1:16" s="619" customFormat="1" ht="36" x14ac:dyDescent="0.2">
      <c r="A4351" s="626" t="s">
        <v>8643</v>
      </c>
      <c r="B4351" s="626" t="s">
        <v>1908</v>
      </c>
      <c r="C4351" s="638" t="s">
        <v>104</v>
      </c>
      <c r="D4351" s="626" t="s">
        <v>6092</v>
      </c>
      <c r="E4351" s="636">
        <v>1800</v>
      </c>
      <c r="F4351" s="637" t="s">
        <v>8951</v>
      </c>
      <c r="G4351" s="626" t="s">
        <v>8952</v>
      </c>
      <c r="H4351" s="626" t="s">
        <v>8646</v>
      </c>
      <c r="I4351" s="626" t="s">
        <v>3768</v>
      </c>
      <c r="J4351" s="638" t="s">
        <v>1913</v>
      </c>
      <c r="K4351" s="640">
        <v>7</v>
      </c>
      <c r="L4351" s="642">
        <v>12</v>
      </c>
      <c r="M4351" s="643">
        <v>21600</v>
      </c>
      <c r="N4351" s="642">
        <v>4</v>
      </c>
      <c r="O4351" s="640">
        <v>6</v>
      </c>
      <c r="P4351" s="667">
        <v>10800</v>
      </c>
    </row>
    <row r="4352" spans="1:16" s="619" customFormat="1" ht="36" x14ac:dyDescent="0.2">
      <c r="A4352" s="626" t="s">
        <v>8643</v>
      </c>
      <c r="B4352" s="626" t="s">
        <v>2275</v>
      </c>
      <c r="C4352" s="638" t="s">
        <v>3556</v>
      </c>
      <c r="D4352" s="626" t="s">
        <v>8953</v>
      </c>
      <c r="E4352" s="636">
        <v>1200</v>
      </c>
      <c r="F4352" s="637">
        <v>40851817</v>
      </c>
      <c r="G4352" s="626" t="s">
        <v>8954</v>
      </c>
      <c r="H4352" s="626" t="s">
        <v>8953</v>
      </c>
      <c r="I4352" s="626" t="s">
        <v>1931</v>
      </c>
      <c r="J4352" s="638" t="s">
        <v>8953</v>
      </c>
      <c r="K4352" s="719">
        <v>2</v>
      </c>
      <c r="L4352" s="717">
        <v>2</v>
      </c>
      <c r="M4352" s="643">
        <v>2400</v>
      </c>
      <c r="N4352" s="700"/>
      <c r="O4352" s="668"/>
      <c r="P4352" s="667"/>
    </row>
    <row r="4353" spans="1:16" s="619" customFormat="1" ht="36" x14ac:dyDescent="0.2">
      <c r="A4353" s="626" t="s">
        <v>8643</v>
      </c>
      <c r="B4353" s="626" t="s">
        <v>1908</v>
      </c>
      <c r="C4353" s="638" t="s">
        <v>3556</v>
      </c>
      <c r="D4353" s="626" t="s">
        <v>8953</v>
      </c>
      <c r="E4353" s="636">
        <v>1200</v>
      </c>
      <c r="F4353" s="637">
        <v>46982909</v>
      </c>
      <c r="G4353" s="626" t="s">
        <v>8955</v>
      </c>
      <c r="H4353" s="626" t="s">
        <v>8953</v>
      </c>
      <c r="I4353" s="626" t="s">
        <v>4556</v>
      </c>
      <c r="J4353" s="638" t="s">
        <v>8953</v>
      </c>
      <c r="K4353" s="719">
        <v>2</v>
      </c>
      <c r="L4353" s="717">
        <v>2</v>
      </c>
      <c r="M4353" s="643">
        <v>2400</v>
      </c>
      <c r="N4353" s="700"/>
      <c r="O4353" s="668"/>
      <c r="P4353" s="667"/>
    </row>
    <row r="4354" spans="1:16" s="619" customFormat="1" ht="48" x14ac:dyDescent="0.2">
      <c r="A4354" s="626" t="s">
        <v>8643</v>
      </c>
      <c r="B4354" s="626" t="s">
        <v>2275</v>
      </c>
      <c r="C4354" s="638" t="s">
        <v>3556</v>
      </c>
      <c r="D4354" s="626" t="s">
        <v>8956</v>
      </c>
      <c r="E4354" s="636">
        <v>1100</v>
      </c>
      <c r="F4354" s="637">
        <v>33814032</v>
      </c>
      <c r="G4354" s="626" t="s">
        <v>8957</v>
      </c>
      <c r="H4354" s="626" t="s">
        <v>8956</v>
      </c>
      <c r="I4354" s="626" t="s">
        <v>3614</v>
      </c>
      <c r="J4354" s="638" t="s">
        <v>8956</v>
      </c>
      <c r="K4354" s="719">
        <v>2</v>
      </c>
      <c r="L4354" s="717">
        <v>2</v>
      </c>
      <c r="M4354" s="643">
        <v>2200</v>
      </c>
      <c r="N4354" s="700"/>
      <c r="O4354" s="668"/>
      <c r="P4354" s="667"/>
    </row>
    <row r="4355" spans="1:16" s="619" customFormat="1" ht="36" x14ac:dyDescent="0.2">
      <c r="A4355" s="626" t="s">
        <v>8643</v>
      </c>
      <c r="B4355" s="626" t="s">
        <v>2275</v>
      </c>
      <c r="C4355" s="638" t="s">
        <v>3556</v>
      </c>
      <c r="D4355" s="626" t="s">
        <v>8953</v>
      </c>
      <c r="E4355" s="636">
        <v>1200</v>
      </c>
      <c r="F4355" s="637">
        <v>40719255</v>
      </c>
      <c r="G4355" s="626" t="s">
        <v>8673</v>
      </c>
      <c r="H4355" s="626" t="s">
        <v>8953</v>
      </c>
      <c r="I4355" s="626" t="s">
        <v>4556</v>
      </c>
      <c r="J4355" s="638" t="s">
        <v>8953</v>
      </c>
      <c r="K4355" s="719">
        <v>1</v>
      </c>
      <c r="L4355" s="717">
        <v>1</v>
      </c>
      <c r="M4355" s="643">
        <v>1200</v>
      </c>
      <c r="N4355" s="700"/>
      <c r="O4355" s="668"/>
      <c r="P4355" s="667"/>
    </row>
    <row r="4356" spans="1:16" s="619" customFormat="1" ht="36" x14ac:dyDescent="0.2">
      <c r="A4356" s="626" t="s">
        <v>8643</v>
      </c>
      <c r="B4356" s="626" t="s">
        <v>1861</v>
      </c>
      <c r="C4356" s="638" t="s">
        <v>3556</v>
      </c>
      <c r="D4356" s="626" t="s">
        <v>8958</v>
      </c>
      <c r="E4356" s="636">
        <v>2000</v>
      </c>
      <c r="F4356" s="637">
        <v>75769832</v>
      </c>
      <c r="G4356" s="626" t="s">
        <v>8959</v>
      </c>
      <c r="H4356" s="626" t="s">
        <v>8960</v>
      </c>
      <c r="I4356" s="626" t="s">
        <v>1913</v>
      </c>
      <c r="J4356" s="638" t="s">
        <v>8960</v>
      </c>
      <c r="K4356" s="719">
        <v>1</v>
      </c>
      <c r="L4356" s="717">
        <v>3</v>
      </c>
      <c r="M4356" s="643">
        <f>E4356*L4356</f>
        <v>6000</v>
      </c>
      <c r="N4356" s="700"/>
      <c r="O4356" s="668"/>
      <c r="P4356" s="667"/>
    </row>
    <row r="4357" spans="1:16" s="619" customFormat="1" ht="36" x14ac:dyDescent="0.2">
      <c r="A4357" s="626" t="s">
        <v>8643</v>
      </c>
      <c r="B4357" s="626" t="s">
        <v>1861</v>
      </c>
      <c r="C4357" s="638" t="s">
        <v>3556</v>
      </c>
      <c r="D4357" s="626" t="s">
        <v>8953</v>
      </c>
      <c r="E4357" s="636">
        <v>1200</v>
      </c>
      <c r="F4357" s="637">
        <v>43518469</v>
      </c>
      <c r="G4357" s="626" t="s">
        <v>8961</v>
      </c>
      <c r="H4357" s="626" t="s">
        <v>8953</v>
      </c>
      <c r="I4357" s="626" t="s">
        <v>1931</v>
      </c>
      <c r="J4357" s="638" t="s">
        <v>8953</v>
      </c>
      <c r="K4357" s="719">
        <v>2</v>
      </c>
      <c r="L4357" s="717">
        <v>2</v>
      </c>
      <c r="M4357" s="643">
        <f t="shared" ref="M4357:M4414" si="48">E4357*L4357</f>
        <v>2400</v>
      </c>
      <c r="N4357" s="700"/>
      <c r="O4357" s="668"/>
      <c r="P4357" s="667"/>
    </row>
    <row r="4358" spans="1:16" s="619" customFormat="1" ht="60" x14ac:dyDescent="0.2">
      <c r="A4358" s="626" t="s">
        <v>8643</v>
      </c>
      <c r="B4358" s="626" t="s">
        <v>8962</v>
      </c>
      <c r="C4358" s="638" t="s">
        <v>3556</v>
      </c>
      <c r="D4358" s="626" t="s">
        <v>8680</v>
      </c>
      <c r="E4358" s="636">
        <v>1100</v>
      </c>
      <c r="F4358" s="637">
        <v>33424052</v>
      </c>
      <c r="G4358" s="626" t="s">
        <v>8682</v>
      </c>
      <c r="H4358" s="626" t="s">
        <v>8680</v>
      </c>
      <c r="I4358" s="626" t="s">
        <v>3614</v>
      </c>
      <c r="J4358" s="638" t="s">
        <v>8680</v>
      </c>
      <c r="K4358" s="719">
        <v>2</v>
      </c>
      <c r="L4358" s="717">
        <v>2</v>
      </c>
      <c r="M4358" s="643">
        <f t="shared" si="48"/>
        <v>2200</v>
      </c>
      <c r="N4358" s="700"/>
      <c r="O4358" s="668"/>
      <c r="P4358" s="667"/>
    </row>
    <row r="4359" spans="1:16" s="619" customFormat="1" ht="36" x14ac:dyDescent="0.2">
      <c r="A4359" s="626" t="s">
        <v>8643</v>
      </c>
      <c r="B4359" s="626" t="s">
        <v>1861</v>
      </c>
      <c r="C4359" s="638" t="s">
        <v>3556</v>
      </c>
      <c r="D4359" s="626" t="s">
        <v>8963</v>
      </c>
      <c r="E4359" s="636">
        <v>6500</v>
      </c>
      <c r="F4359" s="637">
        <v>45872479</v>
      </c>
      <c r="G4359" s="626" t="s">
        <v>8964</v>
      </c>
      <c r="H4359" s="626" t="s">
        <v>8965</v>
      </c>
      <c r="I4359" s="626" t="s">
        <v>1913</v>
      </c>
      <c r="J4359" s="638" t="s">
        <v>8965</v>
      </c>
      <c r="K4359" s="719">
        <v>1</v>
      </c>
      <c r="L4359" s="717">
        <v>3</v>
      </c>
      <c r="M4359" s="643">
        <f t="shared" si="48"/>
        <v>19500</v>
      </c>
      <c r="N4359" s="700"/>
      <c r="O4359" s="668"/>
      <c r="P4359" s="667"/>
    </row>
    <row r="4360" spans="1:16" s="619" customFormat="1" ht="36" x14ac:dyDescent="0.2">
      <c r="A4360" s="626" t="s">
        <v>8643</v>
      </c>
      <c r="B4360" s="626" t="s">
        <v>2275</v>
      </c>
      <c r="C4360" s="638" t="s">
        <v>3556</v>
      </c>
      <c r="D4360" s="626" t="s">
        <v>8966</v>
      </c>
      <c r="E4360" s="636">
        <v>1800</v>
      </c>
      <c r="F4360" s="637">
        <v>43139642</v>
      </c>
      <c r="G4360" s="626" t="s">
        <v>8967</v>
      </c>
      <c r="H4360" s="626" t="s">
        <v>8966</v>
      </c>
      <c r="I4360" s="626" t="s">
        <v>1913</v>
      </c>
      <c r="J4360" s="638" t="s">
        <v>8966</v>
      </c>
      <c r="K4360" s="719">
        <v>1</v>
      </c>
      <c r="L4360" s="717">
        <v>1</v>
      </c>
      <c r="M4360" s="643">
        <f t="shared" si="48"/>
        <v>1800</v>
      </c>
      <c r="N4360" s="700"/>
      <c r="O4360" s="668"/>
      <c r="P4360" s="667"/>
    </row>
    <row r="4361" spans="1:16" s="619" customFormat="1" ht="36" x14ac:dyDescent="0.2">
      <c r="A4361" s="626" t="s">
        <v>8643</v>
      </c>
      <c r="B4361" s="626" t="s">
        <v>1908</v>
      </c>
      <c r="C4361" s="638" t="s">
        <v>3556</v>
      </c>
      <c r="D4361" s="626" t="s">
        <v>8966</v>
      </c>
      <c r="E4361" s="636">
        <v>840</v>
      </c>
      <c r="F4361" s="637">
        <v>70084462</v>
      </c>
      <c r="G4361" s="626" t="s">
        <v>8968</v>
      </c>
      <c r="H4361" s="626" t="s">
        <v>8966</v>
      </c>
      <c r="I4361" s="626" t="s">
        <v>1913</v>
      </c>
      <c r="J4361" s="638" t="s">
        <v>8966</v>
      </c>
      <c r="K4361" s="719">
        <v>1</v>
      </c>
      <c r="L4361" s="717">
        <v>1</v>
      </c>
      <c r="M4361" s="643">
        <f t="shared" si="48"/>
        <v>840</v>
      </c>
      <c r="N4361" s="700"/>
      <c r="O4361" s="668"/>
      <c r="P4361" s="667"/>
    </row>
    <row r="4362" spans="1:16" s="619" customFormat="1" ht="36" x14ac:dyDescent="0.2">
      <c r="A4362" s="626" t="s">
        <v>8643</v>
      </c>
      <c r="B4362" s="626" t="s">
        <v>1861</v>
      </c>
      <c r="C4362" s="638" t="s">
        <v>3556</v>
      </c>
      <c r="D4362" s="626" t="s">
        <v>8969</v>
      </c>
      <c r="E4362" s="636">
        <v>2200</v>
      </c>
      <c r="F4362" s="637">
        <v>71505206</v>
      </c>
      <c r="G4362" s="626" t="s">
        <v>8970</v>
      </c>
      <c r="H4362" s="626" t="s">
        <v>8969</v>
      </c>
      <c r="I4362" s="626" t="s">
        <v>1913</v>
      </c>
      <c r="J4362" s="638" t="s">
        <v>8969</v>
      </c>
      <c r="K4362" s="719">
        <v>1</v>
      </c>
      <c r="L4362" s="717">
        <v>3</v>
      </c>
      <c r="M4362" s="643">
        <f t="shared" si="48"/>
        <v>6600</v>
      </c>
      <c r="N4362" s="700"/>
      <c r="O4362" s="668"/>
      <c r="P4362" s="667"/>
    </row>
    <row r="4363" spans="1:16" s="619" customFormat="1" ht="60" x14ac:dyDescent="0.2">
      <c r="A4363" s="626" t="s">
        <v>8643</v>
      </c>
      <c r="B4363" s="626" t="s">
        <v>8962</v>
      </c>
      <c r="C4363" s="638" t="s">
        <v>3556</v>
      </c>
      <c r="D4363" s="626" t="s">
        <v>8680</v>
      </c>
      <c r="E4363" s="636">
        <v>1100</v>
      </c>
      <c r="F4363" s="637">
        <v>41951498</v>
      </c>
      <c r="G4363" s="626" t="s">
        <v>8706</v>
      </c>
      <c r="H4363" s="626" t="s">
        <v>8680</v>
      </c>
      <c r="I4363" s="626" t="s">
        <v>3614</v>
      </c>
      <c r="J4363" s="638" t="s">
        <v>8680</v>
      </c>
      <c r="K4363" s="719">
        <v>4</v>
      </c>
      <c r="L4363" s="717">
        <v>4</v>
      </c>
      <c r="M4363" s="643">
        <f t="shared" si="48"/>
        <v>4400</v>
      </c>
      <c r="N4363" s="700"/>
      <c r="O4363" s="668"/>
      <c r="P4363" s="667"/>
    </row>
    <row r="4364" spans="1:16" s="619" customFormat="1" ht="36" x14ac:dyDescent="0.2">
      <c r="A4364" s="626" t="s">
        <v>8643</v>
      </c>
      <c r="B4364" s="626" t="s">
        <v>2275</v>
      </c>
      <c r="C4364" s="638" t="s">
        <v>3556</v>
      </c>
      <c r="D4364" s="626" t="s">
        <v>8971</v>
      </c>
      <c r="E4364" s="636">
        <v>2000</v>
      </c>
      <c r="F4364" s="637">
        <v>74422919</v>
      </c>
      <c r="G4364" s="626" t="s">
        <v>8710</v>
      </c>
      <c r="H4364" s="626" t="s">
        <v>3614</v>
      </c>
      <c r="I4364" s="626" t="s">
        <v>3614</v>
      </c>
      <c r="J4364" s="638" t="s">
        <v>3614</v>
      </c>
      <c r="K4364" s="719">
        <v>1</v>
      </c>
      <c r="L4364" s="717">
        <v>1</v>
      </c>
      <c r="M4364" s="643">
        <f t="shared" si="48"/>
        <v>2000</v>
      </c>
      <c r="N4364" s="700"/>
      <c r="O4364" s="668"/>
      <c r="P4364" s="667"/>
    </row>
    <row r="4365" spans="1:16" s="619" customFormat="1" ht="48" x14ac:dyDescent="0.2">
      <c r="A4365" s="626" t="s">
        <v>8643</v>
      </c>
      <c r="B4365" s="626" t="s">
        <v>1908</v>
      </c>
      <c r="C4365" s="638" t="s">
        <v>3556</v>
      </c>
      <c r="D4365" s="626" t="s">
        <v>3569</v>
      </c>
      <c r="E4365" s="636">
        <v>1100</v>
      </c>
      <c r="F4365" s="637">
        <v>47232945</v>
      </c>
      <c r="G4365" s="626" t="s">
        <v>8972</v>
      </c>
      <c r="H4365" s="626" t="s">
        <v>3569</v>
      </c>
      <c r="I4365" s="626" t="s">
        <v>3614</v>
      </c>
      <c r="J4365" s="638" t="s">
        <v>3569</v>
      </c>
      <c r="K4365" s="719">
        <v>2</v>
      </c>
      <c r="L4365" s="717">
        <v>2</v>
      </c>
      <c r="M4365" s="643">
        <f t="shared" si="48"/>
        <v>2200</v>
      </c>
      <c r="N4365" s="700"/>
      <c r="O4365" s="668"/>
      <c r="P4365" s="667"/>
    </row>
    <row r="4366" spans="1:16" s="619" customFormat="1" ht="36" x14ac:dyDescent="0.2">
      <c r="A4366" s="626" t="s">
        <v>8643</v>
      </c>
      <c r="B4366" s="626" t="s">
        <v>1908</v>
      </c>
      <c r="C4366" s="638" t="s">
        <v>3556</v>
      </c>
      <c r="D4366" s="626" t="s">
        <v>3583</v>
      </c>
      <c r="E4366" s="636">
        <v>1500</v>
      </c>
      <c r="F4366" s="637">
        <v>40661906</v>
      </c>
      <c r="G4366" s="626" t="s">
        <v>8973</v>
      </c>
      <c r="H4366" s="626" t="s">
        <v>3583</v>
      </c>
      <c r="I4366" s="626" t="s">
        <v>5555</v>
      </c>
      <c r="J4366" s="638" t="s">
        <v>3583</v>
      </c>
      <c r="K4366" s="719">
        <v>2</v>
      </c>
      <c r="L4366" s="717">
        <v>2</v>
      </c>
      <c r="M4366" s="643">
        <f t="shared" si="48"/>
        <v>3000</v>
      </c>
      <c r="N4366" s="700"/>
      <c r="O4366" s="668"/>
      <c r="P4366" s="667"/>
    </row>
    <row r="4367" spans="1:16" s="619" customFormat="1" ht="48" x14ac:dyDescent="0.2">
      <c r="A4367" s="626" t="s">
        <v>8643</v>
      </c>
      <c r="B4367" s="626" t="s">
        <v>2275</v>
      </c>
      <c r="C4367" s="638" t="s">
        <v>3556</v>
      </c>
      <c r="D4367" s="626" t="s">
        <v>8953</v>
      </c>
      <c r="E4367" s="636">
        <v>1200</v>
      </c>
      <c r="F4367" s="637">
        <v>33432627</v>
      </c>
      <c r="G4367" s="626" t="s">
        <v>6863</v>
      </c>
      <c r="H4367" s="626" t="s">
        <v>8953</v>
      </c>
      <c r="I4367" s="626" t="s">
        <v>1931</v>
      </c>
      <c r="J4367" s="638" t="s">
        <v>8953</v>
      </c>
      <c r="K4367" s="719">
        <v>2</v>
      </c>
      <c r="L4367" s="717">
        <v>2</v>
      </c>
      <c r="M4367" s="643">
        <f t="shared" si="48"/>
        <v>2400</v>
      </c>
      <c r="N4367" s="700"/>
      <c r="O4367" s="668"/>
      <c r="P4367" s="667"/>
    </row>
    <row r="4368" spans="1:16" s="619" customFormat="1" ht="60" x14ac:dyDescent="0.2">
      <c r="A4368" s="626" t="s">
        <v>8643</v>
      </c>
      <c r="B4368" s="626" t="s">
        <v>8962</v>
      </c>
      <c r="C4368" s="638" t="s">
        <v>3556</v>
      </c>
      <c r="D4368" s="626" t="s">
        <v>3583</v>
      </c>
      <c r="E4368" s="636">
        <v>1200</v>
      </c>
      <c r="F4368" s="637">
        <v>46832422</v>
      </c>
      <c r="G4368" s="626" t="s">
        <v>8718</v>
      </c>
      <c r="H4368" s="626" t="s">
        <v>3583</v>
      </c>
      <c r="I4368" s="626" t="s">
        <v>5555</v>
      </c>
      <c r="J4368" s="638" t="s">
        <v>3583</v>
      </c>
      <c r="K4368" s="719">
        <v>4</v>
      </c>
      <c r="L4368" s="717">
        <v>5</v>
      </c>
      <c r="M4368" s="643">
        <f t="shared" si="48"/>
        <v>6000</v>
      </c>
      <c r="N4368" s="700"/>
      <c r="O4368" s="668"/>
      <c r="P4368" s="667"/>
    </row>
    <row r="4369" spans="1:16" s="619" customFormat="1" ht="36" x14ac:dyDescent="0.2">
      <c r="A4369" s="626" t="s">
        <v>8643</v>
      </c>
      <c r="B4369" s="626" t="s">
        <v>1861</v>
      </c>
      <c r="C4369" s="638" t="s">
        <v>3556</v>
      </c>
      <c r="D4369" s="626" t="s">
        <v>8974</v>
      </c>
      <c r="E4369" s="636">
        <v>6500</v>
      </c>
      <c r="F4369" s="637">
        <v>18142891</v>
      </c>
      <c r="G4369" s="626" t="s">
        <v>8975</v>
      </c>
      <c r="H4369" s="626" t="s">
        <v>8974</v>
      </c>
      <c r="I4369" s="626" t="s">
        <v>1913</v>
      </c>
      <c r="J4369" s="638" t="s">
        <v>8974</v>
      </c>
      <c r="K4369" s="719">
        <v>1</v>
      </c>
      <c r="L4369" s="717">
        <v>3</v>
      </c>
      <c r="M4369" s="643">
        <f t="shared" si="48"/>
        <v>19500</v>
      </c>
      <c r="N4369" s="700"/>
      <c r="O4369" s="668"/>
      <c r="P4369" s="667"/>
    </row>
    <row r="4370" spans="1:16" s="619" customFormat="1" ht="36" x14ac:dyDescent="0.2">
      <c r="A4370" s="626" t="s">
        <v>8643</v>
      </c>
      <c r="B4370" s="626" t="s">
        <v>1908</v>
      </c>
      <c r="C4370" s="638" t="s">
        <v>3556</v>
      </c>
      <c r="D4370" s="626" t="s">
        <v>8953</v>
      </c>
      <c r="E4370" s="636">
        <v>1200</v>
      </c>
      <c r="F4370" s="637">
        <v>45747286</v>
      </c>
      <c r="G4370" s="626" t="s">
        <v>8722</v>
      </c>
      <c r="H4370" s="626" t="s">
        <v>8953</v>
      </c>
      <c r="I4370" s="626" t="s">
        <v>1931</v>
      </c>
      <c r="J4370" s="638" t="s">
        <v>8953</v>
      </c>
      <c r="K4370" s="719">
        <v>1</v>
      </c>
      <c r="L4370" s="717">
        <v>1</v>
      </c>
      <c r="M4370" s="643">
        <f t="shared" si="48"/>
        <v>1200</v>
      </c>
      <c r="N4370" s="700"/>
      <c r="O4370" s="668"/>
      <c r="P4370" s="667"/>
    </row>
    <row r="4371" spans="1:16" s="619" customFormat="1" ht="60" x14ac:dyDescent="0.2">
      <c r="A4371" s="626" t="s">
        <v>8643</v>
      </c>
      <c r="B4371" s="626" t="s">
        <v>8962</v>
      </c>
      <c r="C4371" s="638" t="s">
        <v>3556</v>
      </c>
      <c r="D4371" s="626" t="s">
        <v>8953</v>
      </c>
      <c r="E4371" s="636">
        <v>1200</v>
      </c>
      <c r="F4371" s="637">
        <v>77677474</v>
      </c>
      <c r="G4371" s="626" t="s">
        <v>8976</v>
      </c>
      <c r="H4371" s="626" t="s">
        <v>8953</v>
      </c>
      <c r="I4371" s="626" t="s">
        <v>1931</v>
      </c>
      <c r="J4371" s="638" t="s">
        <v>8953</v>
      </c>
      <c r="K4371" s="719">
        <v>2</v>
      </c>
      <c r="L4371" s="717">
        <v>2</v>
      </c>
      <c r="M4371" s="643">
        <f t="shared" si="48"/>
        <v>2400</v>
      </c>
      <c r="N4371" s="700"/>
      <c r="O4371" s="668"/>
      <c r="P4371" s="667"/>
    </row>
    <row r="4372" spans="1:16" s="619" customFormat="1" ht="36" x14ac:dyDescent="0.2">
      <c r="A4372" s="626" t="s">
        <v>8643</v>
      </c>
      <c r="B4372" s="626" t="s">
        <v>2275</v>
      </c>
      <c r="C4372" s="638" t="s">
        <v>3556</v>
      </c>
      <c r="D4372" s="626" t="s">
        <v>8966</v>
      </c>
      <c r="E4372" s="636">
        <v>3600</v>
      </c>
      <c r="F4372" s="637">
        <v>48167646</v>
      </c>
      <c r="G4372" s="626" t="s">
        <v>8977</v>
      </c>
      <c r="H4372" s="626" t="s">
        <v>8966</v>
      </c>
      <c r="I4372" s="626" t="s">
        <v>1913</v>
      </c>
      <c r="J4372" s="638" t="s">
        <v>8966</v>
      </c>
      <c r="K4372" s="719">
        <v>1</v>
      </c>
      <c r="L4372" s="717">
        <v>1</v>
      </c>
      <c r="M4372" s="643">
        <f t="shared" si="48"/>
        <v>3600</v>
      </c>
      <c r="N4372" s="700"/>
      <c r="O4372" s="668"/>
      <c r="P4372" s="667"/>
    </row>
    <row r="4373" spans="1:16" s="619" customFormat="1" ht="36" x14ac:dyDescent="0.2">
      <c r="A4373" s="626" t="s">
        <v>8643</v>
      </c>
      <c r="B4373" s="626" t="s">
        <v>1908</v>
      </c>
      <c r="C4373" s="638" t="s">
        <v>3556</v>
      </c>
      <c r="D4373" s="626" t="s">
        <v>6691</v>
      </c>
      <c r="E4373" s="636">
        <v>1500</v>
      </c>
      <c r="F4373" s="637">
        <v>72889474</v>
      </c>
      <c r="G4373" s="626" t="s">
        <v>8733</v>
      </c>
      <c r="H4373" s="626" t="s">
        <v>6691</v>
      </c>
      <c r="I4373" s="626" t="s">
        <v>5555</v>
      </c>
      <c r="J4373" s="638" t="s">
        <v>6691</v>
      </c>
      <c r="K4373" s="719">
        <v>1</v>
      </c>
      <c r="L4373" s="717">
        <v>1</v>
      </c>
      <c r="M4373" s="643">
        <f t="shared" si="48"/>
        <v>1500</v>
      </c>
      <c r="N4373" s="700"/>
      <c r="O4373" s="668"/>
      <c r="P4373" s="667"/>
    </row>
    <row r="4374" spans="1:16" s="619" customFormat="1" ht="36" x14ac:dyDescent="0.2">
      <c r="A4374" s="626" t="s">
        <v>8643</v>
      </c>
      <c r="B4374" s="626" t="s">
        <v>1861</v>
      </c>
      <c r="C4374" s="638" t="s">
        <v>3556</v>
      </c>
      <c r="D4374" s="626" t="s">
        <v>8966</v>
      </c>
      <c r="E4374" s="636">
        <v>1800</v>
      </c>
      <c r="F4374" s="637">
        <v>71005885</v>
      </c>
      <c r="G4374" s="626" t="s">
        <v>8978</v>
      </c>
      <c r="H4374" s="626" t="s">
        <v>8966</v>
      </c>
      <c r="I4374" s="626" t="s">
        <v>1913</v>
      </c>
      <c r="J4374" s="638" t="s">
        <v>8966</v>
      </c>
      <c r="K4374" s="719">
        <v>2</v>
      </c>
      <c r="L4374" s="717">
        <v>4</v>
      </c>
      <c r="M4374" s="643">
        <f t="shared" si="48"/>
        <v>7200</v>
      </c>
      <c r="N4374" s="700"/>
      <c r="O4374" s="668"/>
      <c r="P4374" s="667"/>
    </row>
    <row r="4375" spans="1:16" s="619" customFormat="1" ht="48" x14ac:dyDescent="0.2">
      <c r="A4375" s="626" t="s">
        <v>8643</v>
      </c>
      <c r="B4375" s="626" t="s">
        <v>1861</v>
      </c>
      <c r="C4375" s="638" t="s">
        <v>3556</v>
      </c>
      <c r="D4375" s="626" t="s">
        <v>8979</v>
      </c>
      <c r="E4375" s="636">
        <v>6500</v>
      </c>
      <c r="F4375" s="637">
        <v>45302476</v>
      </c>
      <c r="G4375" s="626" t="s">
        <v>8980</v>
      </c>
      <c r="H4375" s="626" t="s">
        <v>8979</v>
      </c>
      <c r="I4375" s="626" t="s">
        <v>1913</v>
      </c>
      <c r="J4375" s="638" t="s">
        <v>8979</v>
      </c>
      <c r="K4375" s="719">
        <v>2</v>
      </c>
      <c r="L4375" s="717">
        <v>2</v>
      </c>
      <c r="M4375" s="643">
        <f t="shared" si="48"/>
        <v>13000</v>
      </c>
      <c r="N4375" s="700"/>
      <c r="O4375" s="668"/>
      <c r="P4375" s="667"/>
    </row>
    <row r="4376" spans="1:16" s="619" customFormat="1" ht="36" x14ac:dyDescent="0.2">
      <c r="A4376" s="626" t="s">
        <v>8643</v>
      </c>
      <c r="B4376" s="626" t="s">
        <v>1908</v>
      </c>
      <c r="C4376" s="638" t="s">
        <v>3556</v>
      </c>
      <c r="D4376" s="626" t="s">
        <v>8981</v>
      </c>
      <c r="E4376" s="636">
        <v>1200</v>
      </c>
      <c r="F4376" s="637">
        <v>44763305</v>
      </c>
      <c r="G4376" s="626" t="s">
        <v>6875</v>
      </c>
      <c r="H4376" s="626" t="s">
        <v>8981</v>
      </c>
      <c r="I4376" s="626" t="s">
        <v>1931</v>
      </c>
      <c r="J4376" s="638" t="s">
        <v>8981</v>
      </c>
      <c r="K4376" s="719">
        <v>2</v>
      </c>
      <c r="L4376" s="717">
        <v>2</v>
      </c>
      <c r="M4376" s="643">
        <f t="shared" si="48"/>
        <v>2400</v>
      </c>
      <c r="N4376" s="700"/>
      <c r="O4376" s="668"/>
      <c r="P4376" s="667"/>
    </row>
    <row r="4377" spans="1:16" s="619" customFormat="1" ht="36" x14ac:dyDescent="0.2">
      <c r="A4377" s="626" t="s">
        <v>8643</v>
      </c>
      <c r="B4377" s="626" t="s">
        <v>1861</v>
      </c>
      <c r="C4377" s="638" t="s">
        <v>3556</v>
      </c>
      <c r="D4377" s="626" t="s">
        <v>8982</v>
      </c>
      <c r="E4377" s="636">
        <v>1200</v>
      </c>
      <c r="F4377" s="637">
        <v>70129589</v>
      </c>
      <c r="G4377" s="626" t="s">
        <v>8747</v>
      </c>
      <c r="H4377" s="626" t="s">
        <v>3614</v>
      </c>
      <c r="I4377" s="626" t="s">
        <v>3614</v>
      </c>
      <c r="J4377" s="638" t="s">
        <v>3614</v>
      </c>
      <c r="K4377" s="719">
        <v>5</v>
      </c>
      <c r="L4377" s="717">
        <v>5</v>
      </c>
      <c r="M4377" s="643">
        <f t="shared" si="48"/>
        <v>6000</v>
      </c>
      <c r="N4377" s="700"/>
      <c r="O4377" s="668"/>
      <c r="P4377" s="667"/>
    </row>
    <row r="4378" spans="1:16" s="619" customFormat="1" ht="60" x14ac:dyDescent="0.2">
      <c r="A4378" s="626" t="s">
        <v>8643</v>
      </c>
      <c r="B4378" s="626" t="s">
        <v>8962</v>
      </c>
      <c r="C4378" s="638" t="s">
        <v>3556</v>
      </c>
      <c r="D4378" s="626" t="s">
        <v>8680</v>
      </c>
      <c r="E4378" s="636">
        <v>1100</v>
      </c>
      <c r="F4378" s="637">
        <v>41149597</v>
      </c>
      <c r="G4378" s="626" t="s">
        <v>8753</v>
      </c>
      <c r="H4378" s="626" t="s">
        <v>8680</v>
      </c>
      <c r="I4378" s="626" t="s">
        <v>3614</v>
      </c>
      <c r="J4378" s="638" t="s">
        <v>8680</v>
      </c>
      <c r="K4378" s="719">
        <v>5</v>
      </c>
      <c r="L4378" s="717">
        <v>5</v>
      </c>
      <c r="M4378" s="643">
        <f t="shared" si="48"/>
        <v>5500</v>
      </c>
      <c r="N4378" s="700"/>
      <c r="O4378" s="668"/>
      <c r="P4378" s="667"/>
    </row>
    <row r="4379" spans="1:16" s="619" customFormat="1" ht="60" x14ac:dyDescent="0.2">
      <c r="A4379" s="626" t="s">
        <v>8643</v>
      </c>
      <c r="B4379" s="626" t="s">
        <v>8962</v>
      </c>
      <c r="C4379" s="638" t="s">
        <v>3556</v>
      </c>
      <c r="D4379" s="626" t="s">
        <v>8680</v>
      </c>
      <c r="E4379" s="636">
        <v>1100</v>
      </c>
      <c r="F4379" s="637">
        <v>33431069</v>
      </c>
      <c r="G4379" s="626" t="s">
        <v>8755</v>
      </c>
      <c r="H4379" s="626" t="s">
        <v>8680</v>
      </c>
      <c r="I4379" s="626" t="s">
        <v>8680</v>
      </c>
      <c r="J4379" s="638" t="s">
        <v>8680</v>
      </c>
      <c r="K4379" s="719">
        <v>4</v>
      </c>
      <c r="L4379" s="717">
        <v>5</v>
      </c>
      <c r="M4379" s="643">
        <f t="shared" si="48"/>
        <v>5500</v>
      </c>
      <c r="N4379" s="700"/>
      <c r="O4379" s="668"/>
      <c r="P4379" s="667"/>
    </row>
    <row r="4380" spans="1:16" s="619" customFormat="1" ht="60" x14ac:dyDescent="0.2">
      <c r="A4380" s="626" t="s">
        <v>8643</v>
      </c>
      <c r="B4380" s="626" t="s">
        <v>8962</v>
      </c>
      <c r="C4380" s="638" t="s">
        <v>3556</v>
      </c>
      <c r="D4380" s="626" t="s">
        <v>8953</v>
      </c>
      <c r="E4380" s="636">
        <v>1200</v>
      </c>
      <c r="F4380" s="637">
        <v>33816436</v>
      </c>
      <c r="G4380" s="626" t="s">
        <v>8983</v>
      </c>
      <c r="H4380" s="626" t="s">
        <v>8953</v>
      </c>
      <c r="I4380" s="626" t="s">
        <v>1931</v>
      </c>
      <c r="J4380" s="638" t="s">
        <v>8953</v>
      </c>
      <c r="K4380" s="719">
        <v>3</v>
      </c>
      <c r="L4380" s="717">
        <v>3</v>
      </c>
      <c r="M4380" s="643">
        <f t="shared" si="48"/>
        <v>3600</v>
      </c>
      <c r="N4380" s="700"/>
      <c r="O4380" s="668"/>
      <c r="P4380" s="667"/>
    </row>
    <row r="4381" spans="1:16" s="619" customFormat="1" ht="60" x14ac:dyDescent="0.2">
      <c r="A4381" s="626" t="s">
        <v>8643</v>
      </c>
      <c r="B4381" s="626" t="s">
        <v>8962</v>
      </c>
      <c r="C4381" s="638" t="s">
        <v>3556</v>
      </c>
      <c r="D4381" s="626" t="s">
        <v>8981</v>
      </c>
      <c r="E4381" s="636">
        <v>1200</v>
      </c>
      <c r="F4381" s="637">
        <v>70198435</v>
      </c>
      <c r="G4381" s="626" t="s">
        <v>8984</v>
      </c>
      <c r="H4381" s="626" t="s">
        <v>8981</v>
      </c>
      <c r="I4381" s="626" t="s">
        <v>1931</v>
      </c>
      <c r="J4381" s="638" t="s">
        <v>8981</v>
      </c>
      <c r="K4381" s="719">
        <v>3</v>
      </c>
      <c r="L4381" s="717">
        <v>4</v>
      </c>
      <c r="M4381" s="643">
        <f t="shared" si="48"/>
        <v>4800</v>
      </c>
      <c r="N4381" s="700"/>
      <c r="O4381" s="668"/>
      <c r="P4381" s="667"/>
    </row>
    <row r="4382" spans="1:16" s="619" customFormat="1" ht="36" x14ac:dyDescent="0.2">
      <c r="A4382" s="626" t="s">
        <v>8643</v>
      </c>
      <c r="B4382" s="626" t="s">
        <v>1861</v>
      </c>
      <c r="C4382" s="638" t="s">
        <v>3556</v>
      </c>
      <c r="D4382" s="626" t="s">
        <v>8985</v>
      </c>
      <c r="E4382" s="636">
        <v>1200</v>
      </c>
      <c r="F4382" s="637">
        <v>43591132</v>
      </c>
      <c r="G4382" s="626" t="s">
        <v>8986</v>
      </c>
      <c r="H4382" s="626" t="s">
        <v>8985</v>
      </c>
      <c r="I4382" s="626" t="s">
        <v>1931</v>
      </c>
      <c r="J4382" s="638" t="s">
        <v>8985</v>
      </c>
      <c r="K4382" s="719">
        <v>2</v>
      </c>
      <c r="L4382" s="717">
        <v>5</v>
      </c>
      <c r="M4382" s="643">
        <f t="shared" si="48"/>
        <v>6000</v>
      </c>
      <c r="N4382" s="700"/>
      <c r="O4382" s="668"/>
      <c r="P4382" s="667"/>
    </row>
    <row r="4383" spans="1:16" s="619" customFormat="1" ht="36" x14ac:dyDescent="0.2">
      <c r="A4383" s="626" t="s">
        <v>8643</v>
      </c>
      <c r="B4383" s="626" t="s">
        <v>2275</v>
      </c>
      <c r="C4383" s="638" t="s">
        <v>3556</v>
      </c>
      <c r="D4383" s="626" t="s">
        <v>6198</v>
      </c>
      <c r="E4383" s="636">
        <v>960</v>
      </c>
      <c r="F4383" s="637">
        <v>26694694</v>
      </c>
      <c r="G4383" s="626" t="s">
        <v>8766</v>
      </c>
      <c r="H4383" s="626" t="s">
        <v>6198</v>
      </c>
      <c r="I4383" s="626" t="s">
        <v>1913</v>
      </c>
      <c r="J4383" s="638" t="s">
        <v>6198</v>
      </c>
      <c r="K4383" s="719">
        <v>1</v>
      </c>
      <c r="L4383" s="717">
        <v>1</v>
      </c>
      <c r="M4383" s="643">
        <f t="shared" si="48"/>
        <v>960</v>
      </c>
      <c r="N4383" s="700"/>
      <c r="O4383" s="668"/>
      <c r="P4383" s="667"/>
    </row>
    <row r="4384" spans="1:16" s="619" customFormat="1" ht="36" x14ac:dyDescent="0.2">
      <c r="A4384" s="626" t="s">
        <v>8643</v>
      </c>
      <c r="B4384" s="626" t="s">
        <v>2275</v>
      </c>
      <c r="C4384" s="638" t="s">
        <v>3556</v>
      </c>
      <c r="D4384" s="626" t="s">
        <v>8987</v>
      </c>
      <c r="E4384" s="636">
        <v>1800</v>
      </c>
      <c r="F4384" s="637">
        <v>73658578</v>
      </c>
      <c r="G4384" s="626" t="s">
        <v>8988</v>
      </c>
      <c r="H4384" s="626" t="s">
        <v>8987</v>
      </c>
      <c r="I4384" s="626" t="s">
        <v>1913</v>
      </c>
      <c r="J4384" s="638" t="s">
        <v>8987</v>
      </c>
      <c r="K4384" s="719">
        <v>2</v>
      </c>
      <c r="L4384" s="717">
        <v>2</v>
      </c>
      <c r="M4384" s="643">
        <f t="shared" si="48"/>
        <v>3600</v>
      </c>
      <c r="N4384" s="700"/>
      <c r="O4384" s="668"/>
      <c r="P4384" s="667"/>
    </row>
    <row r="4385" spans="1:16" s="619" customFormat="1" ht="36" x14ac:dyDescent="0.2">
      <c r="A4385" s="626" t="s">
        <v>8643</v>
      </c>
      <c r="B4385" s="626" t="s">
        <v>1908</v>
      </c>
      <c r="C4385" s="638" t="s">
        <v>3556</v>
      </c>
      <c r="D4385" s="626" t="s">
        <v>8987</v>
      </c>
      <c r="E4385" s="636">
        <v>1800</v>
      </c>
      <c r="F4385" s="637">
        <v>73077409</v>
      </c>
      <c r="G4385" s="626" t="s">
        <v>8989</v>
      </c>
      <c r="H4385" s="626" t="s">
        <v>8987</v>
      </c>
      <c r="I4385" s="626" t="s">
        <v>1913</v>
      </c>
      <c r="J4385" s="638" t="s">
        <v>8987</v>
      </c>
      <c r="K4385" s="719">
        <v>3</v>
      </c>
      <c r="L4385" s="717">
        <v>3</v>
      </c>
      <c r="M4385" s="643">
        <f t="shared" si="48"/>
        <v>5400</v>
      </c>
      <c r="N4385" s="700"/>
      <c r="O4385" s="668"/>
      <c r="P4385" s="667"/>
    </row>
    <row r="4386" spans="1:16" s="619" customFormat="1" ht="36" x14ac:dyDescent="0.2">
      <c r="A4386" s="626" t="s">
        <v>8643</v>
      </c>
      <c r="B4386" s="626" t="s">
        <v>1908</v>
      </c>
      <c r="C4386" s="638" t="s">
        <v>3556</v>
      </c>
      <c r="D4386" s="626" t="s">
        <v>8990</v>
      </c>
      <c r="E4386" s="636">
        <v>1200</v>
      </c>
      <c r="F4386" s="637">
        <v>46003329</v>
      </c>
      <c r="G4386" s="626" t="s">
        <v>8991</v>
      </c>
      <c r="H4386" s="626" t="s">
        <v>3545</v>
      </c>
      <c r="I4386" s="626" t="s">
        <v>3545</v>
      </c>
      <c r="J4386" s="638" t="s">
        <v>3545</v>
      </c>
      <c r="K4386" s="719">
        <v>1</v>
      </c>
      <c r="L4386" s="717">
        <v>1</v>
      </c>
      <c r="M4386" s="643">
        <f t="shared" si="48"/>
        <v>1200</v>
      </c>
      <c r="N4386" s="700"/>
      <c r="O4386" s="668"/>
      <c r="P4386" s="667"/>
    </row>
    <row r="4387" spans="1:16" s="619" customFormat="1" ht="36" x14ac:dyDescent="0.2">
      <c r="A4387" s="626" t="s">
        <v>8643</v>
      </c>
      <c r="B4387" s="626" t="s">
        <v>1908</v>
      </c>
      <c r="C4387" s="638" t="s">
        <v>3556</v>
      </c>
      <c r="D4387" s="626" t="s">
        <v>8953</v>
      </c>
      <c r="E4387" s="636">
        <v>1200</v>
      </c>
      <c r="F4387" s="637">
        <v>70151716</v>
      </c>
      <c r="G4387" s="626" t="s">
        <v>8992</v>
      </c>
      <c r="H4387" s="626" t="s">
        <v>8953</v>
      </c>
      <c r="I4387" s="626" t="s">
        <v>1931</v>
      </c>
      <c r="J4387" s="638" t="s">
        <v>8953</v>
      </c>
      <c r="K4387" s="719">
        <v>1</v>
      </c>
      <c r="L4387" s="717">
        <v>1</v>
      </c>
      <c r="M4387" s="643">
        <f t="shared" si="48"/>
        <v>1200</v>
      </c>
      <c r="N4387" s="700"/>
      <c r="O4387" s="668"/>
      <c r="P4387" s="733"/>
    </row>
    <row r="4388" spans="1:16" s="619" customFormat="1" ht="36" x14ac:dyDescent="0.2">
      <c r="A4388" s="626" t="s">
        <v>8643</v>
      </c>
      <c r="B4388" s="626" t="s">
        <v>1908</v>
      </c>
      <c r="C4388" s="638" t="s">
        <v>3556</v>
      </c>
      <c r="D4388" s="626" t="s">
        <v>8993</v>
      </c>
      <c r="E4388" s="636">
        <v>1100</v>
      </c>
      <c r="F4388" s="637">
        <v>41696260</v>
      </c>
      <c r="G4388" s="626" t="s">
        <v>8790</v>
      </c>
      <c r="H4388" s="626" t="s">
        <v>8993</v>
      </c>
      <c r="I4388" s="626" t="s">
        <v>1931</v>
      </c>
      <c r="J4388" s="638" t="s">
        <v>8993</v>
      </c>
      <c r="K4388" s="719">
        <v>3</v>
      </c>
      <c r="L4388" s="717">
        <v>3</v>
      </c>
      <c r="M4388" s="643">
        <f t="shared" si="48"/>
        <v>3300</v>
      </c>
      <c r="N4388" s="700"/>
      <c r="O4388" s="668"/>
      <c r="P4388" s="733"/>
    </row>
    <row r="4389" spans="1:16" s="619" customFormat="1" ht="48" x14ac:dyDescent="0.2">
      <c r="A4389" s="626" t="s">
        <v>8643</v>
      </c>
      <c r="B4389" s="626" t="s">
        <v>1908</v>
      </c>
      <c r="C4389" s="638" t="s">
        <v>3556</v>
      </c>
      <c r="D4389" s="626" t="s">
        <v>7716</v>
      </c>
      <c r="E4389" s="636">
        <v>1800</v>
      </c>
      <c r="F4389" s="637">
        <v>46074975</v>
      </c>
      <c r="G4389" s="626" t="s">
        <v>8994</v>
      </c>
      <c r="H4389" s="626" t="s">
        <v>7716</v>
      </c>
      <c r="I4389" s="626" t="s">
        <v>1913</v>
      </c>
      <c r="J4389" s="638" t="s">
        <v>7716</v>
      </c>
      <c r="K4389" s="719">
        <v>1</v>
      </c>
      <c r="L4389" s="717">
        <v>2</v>
      </c>
      <c r="M4389" s="643">
        <f t="shared" si="48"/>
        <v>3600</v>
      </c>
      <c r="N4389" s="700"/>
      <c r="O4389" s="668"/>
      <c r="P4389" s="733"/>
    </row>
    <row r="4390" spans="1:16" s="619" customFormat="1" ht="36" x14ac:dyDescent="0.2">
      <c r="A4390" s="626" t="s">
        <v>8643</v>
      </c>
      <c r="B4390" s="626" t="s">
        <v>1908</v>
      </c>
      <c r="C4390" s="638" t="s">
        <v>3556</v>
      </c>
      <c r="D4390" s="626" t="s">
        <v>8987</v>
      </c>
      <c r="E4390" s="636">
        <v>1800</v>
      </c>
      <c r="F4390" s="637">
        <v>70793469</v>
      </c>
      <c r="G4390" s="626" t="s">
        <v>8995</v>
      </c>
      <c r="H4390" s="626" t="s">
        <v>8987</v>
      </c>
      <c r="I4390" s="626" t="s">
        <v>1913</v>
      </c>
      <c r="J4390" s="638" t="s">
        <v>8987</v>
      </c>
      <c r="K4390" s="719">
        <v>2</v>
      </c>
      <c r="L4390" s="717">
        <v>2</v>
      </c>
      <c r="M4390" s="643">
        <f t="shared" si="48"/>
        <v>3600</v>
      </c>
      <c r="N4390" s="700"/>
      <c r="O4390" s="668"/>
      <c r="P4390" s="733"/>
    </row>
    <row r="4391" spans="1:16" s="619" customFormat="1" ht="36" x14ac:dyDescent="0.2">
      <c r="A4391" s="626" t="s">
        <v>8643</v>
      </c>
      <c r="B4391" s="626" t="s">
        <v>1908</v>
      </c>
      <c r="C4391" s="638" t="s">
        <v>3556</v>
      </c>
      <c r="D4391" s="626" t="s">
        <v>8996</v>
      </c>
      <c r="E4391" s="636">
        <v>1200</v>
      </c>
      <c r="F4391" s="637">
        <v>72516678</v>
      </c>
      <c r="G4391" s="626" t="s">
        <v>8997</v>
      </c>
      <c r="H4391" s="626" t="s">
        <v>3614</v>
      </c>
      <c r="I4391" s="626" t="s">
        <v>3614</v>
      </c>
      <c r="J4391" s="638" t="s">
        <v>3614</v>
      </c>
      <c r="K4391" s="719">
        <v>4</v>
      </c>
      <c r="L4391" s="717">
        <v>5</v>
      </c>
      <c r="M4391" s="643">
        <f t="shared" si="48"/>
        <v>6000</v>
      </c>
      <c r="N4391" s="700"/>
      <c r="O4391" s="668"/>
      <c r="P4391" s="733"/>
    </row>
    <row r="4392" spans="1:16" s="619" customFormat="1" ht="36" x14ac:dyDescent="0.2">
      <c r="A4392" s="626" t="s">
        <v>8643</v>
      </c>
      <c r="B4392" s="626" t="s">
        <v>2275</v>
      </c>
      <c r="C4392" s="638" t="s">
        <v>3556</v>
      </c>
      <c r="D4392" s="626" t="s">
        <v>8966</v>
      </c>
      <c r="E4392" s="636">
        <v>1800</v>
      </c>
      <c r="F4392" s="637">
        <v>42760356</v>
      </c>
      <c r="G4392" s="626" t="s">
        <v>8998</v>
      </c>
      <c r="H4392" s="626" t="s">
        <v>8966</v>
      </c>
      <c r="I4392" s="626" t="s">
        <v>1913</v>
      </c>
      <c r="J4392" s="638" t="s">
        <v>8966</v>
      </c>
      <c r="K4392" s="719">
        <v>1</v>
      </c>
      <c r="L4392" s="717">
        <v>1</v>
      </c>
      <c r="M4392" s="643">
        <f t="shared" si="48"/>
        <v>1800</v>
      </c>
      <c r="N4392" s="700"/>
      <c r="O4392" s="668"/>
      <c r="P4392" s="733"/>
    </row>
    <row r="4393" spans="1:16" s="619" customFormat="1" ht="48" x14ac:dyDescent="0.2">
      <c r="A4393" s="626" t="s">
        <v>8643</v>
      </c>
      <c r="B4393" s="626" t="s">
        <v>1861</v>
      </c>
      <c r="C4393" s="638" t="s">
        <v>3556</v>
      </c>
      <c r="D4393" s="626" t="s">
        <v>8999</v>
      </c>
      <c r="E4393" s="636">
        <v>2200</v>
      </c>
      <c r="F4393" s="637">
        <v>46704941</v>
      </c>
      <c r="G4393" s="626" t="s">
        <v>9000</v>
      </c>
      <c r="H4393" s="626" t="s">
        <v>8999</v>
      </c>
      <c r="I4393" s="626" t="s">
        <v>1913</v>
      </c>
      <c r="J4393" s="638" t="s">
        <v>8999</v>
      </c>
      <c r="K4393" s="719">
        <v>1</v>
      </c>
      <c r="L4393" s="717">
        <v>3</v>
      </c>
      <c r="M4393" s="643">
        <f t="shared" si="48"/>
        <v>6600</v>
      </c>
      <c r="N4393" s="700"/>
      <c r="O4393" s="668"/>
      <c r="P4393" s="733"/>
    </row>
    <row r="4394" spans="1:16" s="619" customFormat="1" ht="36" x14ac:dyDescent="0.2">
      <c r="A4394" s="626" t="s">
        <v>8643</v>
      </c>
      <c r="B4394" s="626" t="s">
        <v>2275</v>
      </c>
      <c r="C4394" s="638" t="s">
        <v>3556</v>
      </c>
      <c r="D4394" s="626" t="s">
        <v>8953</v>
      </c>
      <c r="E4394" s="636">
        <v>1200</v>
      </c>
      <c r="F4394" s="637">
        <v>40016794</v>
      </c>
      <c r="G4394" s="626" t="s">
        <v>9001</v>
      </c>
      <c r="H4394" s="626" t="s">
        <v>8953</v>
      </c>
      <c r="I4394" s="626" t="s">
        <v>1931</v>
      </c>
      <c r="J4394" s="638" t="s">
        <v>8953</v>
      </c>
      <c r="K4394" s="719">
        <v>1</v>
      </c>
      <c r="L4394" s="717">
        <v>1</v>
      </c>
      <c r="M4394" s="643">
        <f t="shared" si="48"/>
        <v>1200</v>
      </c>
      <c r="N4394" s="700"/>
      <c r="O4394" s="668"/>
      <c r="P4394" s="733"/>
    </row>
    <row r="4395" spans="1:16" s="619" customFormat="1" ht="60" x14ac:dyDescent="0.2">
      <c r="A4395" s="626" t="s">
        <v>8643</v>
      </c>
      <c r="B4395" s="626" t="s">
        <v>8962</v>
      </c>
      <c r="C4395" s="638" t="s">
        <v>3556</v>
      </c>
      <c r="D4395" s="626" t="s">
        <v>9002</v>
      </c>
      <c r="E4395" s="636">
        <v>1800</v>
      </c>
      <c r="F4395" s="637">
        <v>45598734</v>
      </c>
      <c r="G4395" s="626" t="s">
        <v>9003</v>
      </c>
      <c r="H4395" s="626" t="s">
        <v>9002</v>
      </c>
      <c r="I4395" s="626" t="s">
        <v>1913</v>
      </c>
      <c r="J4395" s="638" t="s">
        <v>9002</v>
      </c>
      <c r="K4395" s="719">
        <v>4</v>
      </c>
      <c r="L4395" s="717">
        <v>5</v>
      </c>
      <c r="M4395" s="643">
        <f t="shared" si="48"/>
        <v>9000</v>
      </c>
      <c r="N4395" s="700"/>
      <c r="O4395" s="668"/>
      <c r="P4395" s="733"/>
    </row>
    <row r="4396" spans="1:16" s="619" customFormat="1" ht="36" x14ac:dyDescent="0.2">
      <c r="A4396" s="626" t="s">
        <v>8643</v>
      </c>
      <c r="B4396" s="626" t="s">
        <v>1861</v>
      </c>
      <c r="C4396" s="638" t="s">
        <v>3556</v>
      </c>
      <c r="D4396" s="626" t="s">
        <v>8953</v>
      </c>
      <c r="E4396" s="636">
        <v>1200</v>
      </c>
      <c r="F4396" s="637">
        <v>46982898</v>
      </c>
      <c r="G4396" s="626" t="s">
        <v>8827</v>
      </c>
      <c r="H4396" s="626" t="s">
        <v>8953</v>
      </c>
      <c r="I4396" s="626" t="s">
        <v>1931</v>
      </c>
      <c r="J4396" s="638" t="s">
        <v>8953</v>
      </c>
      <c r="K4396" s="719">
        <v>2</v>
      </c>
      <c r="L4396" s="717">
        <v>5</v>
      </c>
      <c r="M4396" s="643">
        <f t="shared" si="48"/>
        <v>6000</v>
      </c>
      <c r="N4396" s="700"/>
      <c r="O4396" s="668"/>
      <c r="P4396" s="733"/>
    </row>
    <row r="4397" spans="1:16" s="619" customFormat="1" ht="60" x14ac:dyDescent="0.2">
      <c r="A4397" s="626" t="s">
        <v>8643</v>
      </c>
      <c r="B4397" s="626" t="s">
        <v>8962</v>
      </c>
      <c r="C4397" s="638" t="s">
        <v>3556</v>
      </c>
      <c r="D4397" s="626" t="s">
        <v>9004</v>
      </c>
      <c r="E4397" s="636">
        <v>1100</v>
      </c>
      <c r="F4397" s="637">
        <v>40659869</v>
      </c>
      <c r="G4397" s="626" t="s">
        <v>9005</v>
      </c>
      <c r="H4397" s="626" t="s">
        <v>9004</v>
      </c>
      <c r="I4397" s="626" t="s">
        <v>3614</v>
      </c>
      <c r="J4397" s="638" t="s">
        <v>9004</v>
      </c>
      <c r="K4397" s="719">
        <v>2</v>
      </c>
      <c r="L4397" s="717">
        <v>2</v>
      </c>
      <c r="M4397" s="643">
        <f t="shared" si="48"/>
        <v>2200</v>
      </c>
      <c r="N4397" s="700"/>
      <c r="O4397" s="668"/>
      <c r="P4397" s="733"/>
    </row>
    <row r="4398" spans="1:16" s="619" customFormat="1" ht="36" x14ac:dyDescent="0.2">
      <c r="A4398" s="626" t="s">
        <v>8643</v>
      </c>
      <c r="B4398" s="626" t="s">
        <v>2275</v>
      </c>
      <c r="C4398" s="638" t="s">
        <v>3556</v>
      </c>
      <c r="D4398" s="626" t="s">
        <v>8966</v>
      </c>
      <c r="E4398" s="636">
        <v>1800</v>
      </c>
      <c r="F4398" s="637">
        <v>33425742</v>
      </c>
      <c r="G4398" s="626" t="s">
        <v>9006</v>
      </c>
      <c r="H4398" s="626" t="s">
        <v>8966</v>
      </c>
      <c r="I4398" s="626" t="s">
        <v>1913</v>
      </c>
      <c r="J4398" s="638" t="s">
        <v>8966</v>
      </c>
      <c r="K4398" s="719">
        <v>1</v>
      </c>
      <c r="L4398" s="717">
        <v>1</v>
      </c>
      <c r="M4398" s="643">
        <f t="shared" si="48"/>
        <v>1800</v>
      </c>
      <c r="N4398" s="700"/>
      <c r="O4398" s="668"/>
      <c r="P4398" s="733"/>
    </row>
    <row r="4399" spans="1:16" s="619" customFormat="1" ht="36" x14ac:dyDescent="0.2">
      <c r="A4399" s="626" t="s">
        <v>8643</v>
      </c>
      <c r="B4399" s="626" t="s">
        <v>2275</v>
      </c>
      <c r="C4399" s="638" t="s">
        <v>3556</v>
      </c>
      <c r="D4399" s="626" t="s">
        <v>9007</v>
      </c>
      <c r="E4399" s="636">
        <v>800</v>
      </c>
      <c r="F4399" s="637">
        <v>42966912</v>
      </c>
      <c r="G4399" s="626" t="s">
        <v>8844</v>
      </c>
      <c r="H4399" s="626" t="s">
        <v>9007</v>
      </c>
      <c r="I4399" s="626" t="s">
        <v>1913</v>
      </c>
      <c r="J4399" s="638" t="s">
        <v>9007</v>
      </c>
      <c r="K4399" s="719">
        <v>1</v>
      </c>
      <c r="L4399" s="717">
        <v>1</v>
      </c>
      <c r="M4399" s="643">
        <f t="shared" si="48"/>
        <v>800</v>
      </c>
      <c r="N4399" s="700"/>
      <c r="O4399" s="668"/>
      <c r="P4399" s="733"/>
    </row>
    <row r="4400" spans="1:16" s="619" customFormat="1" ht="36" x14ac:dyDescent="0.2">
      <c r="A4400" s="626" t="s">
        <v>8643</v>
      </c>
      <c r="B4400" s="626" t="s">
        <v>2275</v>
      </c>
      <c r="C4400" s="638" t="s">
        <v>3556</v>
      </c>
      <c r="D4400" s="626" t="s">
        <v>8953</v>
      </c>
      <c r="E4400" s="636">
        <v>1200</v>
      </c>
      <c r="F4400" s="637">
        <v>33425821</v>
      </c>
      <c r="G4400" s="626" t="s">
        <v>9008</v>
      </c>
      <c r="H4400" s="626" t="s">
        <v>8953</v>
      </c>
      <c r="I4400" s="626" t="s">
        <v>1931</v>
      </c>
      <c r="J4400" s="638" t="s">
        <v>8953</v>
      </c>
      <c r="K4400" s="719">
        <v>2</v>
      </c>
      <c r="L4400" s="717">
        <v>2</v>
      </c>
      <c r="M4400" s="643">
        <f t="shared" si="48"/>
        <v>2400</v>
      </c>
      <c r="N4400" s="700"/>
      <c r="O4400" s="668"/>
      <c r="P4400" s="733"/>
    </row>
    <row r="4401" spans="1:16" s="619" customFormat="1" ht="36" x14ac:dyDescent="0.2">
      <c r="A4401" s="626" t="s">
        <v>8643</v>
      </c>
      <c r="B4401" s="626" t="s">
        <v>1861</v>
      </c>
      <c r="C4401" s="638" t="s">
        <v>3556</v>
      </c>
      <c r="D4401" s="626" t="s">
        <v>9009</v>
      </c>
      <c r="E4401" s="636">
        <v>6500</v>
      </c>
      <c r="F4401" s="637">
        <v>44178870</v>
      </c>
      <c r="G4401" s="626" t="s">
        <v>9010</v>
      </c>
      <c r="H4401" s="626" t="s">
        <v>9009</v>
      </c>
      <c r="I4401" s="626" t="s">
        <v>1913</v>
      </c>
      <c r="J4401" s="638" t="s">
        <v>9009</v>
      </c>
      <c r="K4401" s="719">
        <v>1</v>
      </c>
      <c r="L4401" s="717">
        <v>1</v>
      </c>
      <c r="M4401" s="643">
        <f t="shared" si="48"/>
        <v>6500</v>
      </c>
      <c r="N4401" s="700"/>
      <c r="O4401" s="668"/>
      <c r="P4401" s="733"/>
    </row>
    <row r="4402" spans="1:16" s="619" customFormat="1" ht="36" x14ac:dyDescent="0.2">
      <c r="A4402" s="626" t="s">
        <v>8643</v>
      </c>
      <c r="B4402" s="626" t="s">
        <v>1908</v>
      </c>
      <c r="C4402" s="638" t="s">
        <v>3556</v>
      </c>
      <c r="D4402" s="626" t="s">
        <v>8953</v>
      </c>
      <c r="E4402" s="636">
        <v>1200</v>
      </c>
      <c r="F4402" s="637">
        <v>42625433</v>
      </c>
      <c r="G4402" s="626" t="s">
        <v>8856</v>
      </c>
      <c r="H4402" s="626" t="s">
        <v>8953</v>
      </c>
      <c r="I4402" s="626" t="s">
        <v>1931</v>
      </c>
      <c r="J4402" s="638" t="s">
        <v>8953</v>
      </c>
      <c r="K4402" s="719">
        <v>1</v>
      </c>
      <c r="L4402" s="717">
        <v>1</v>
      </c>
      <c r="M4402" s="643">
        <f t="shared" si="48"/>
        <v>1200</v>
      </c>
      <c r="N4402" s="700"/>
      <c r="O4402" s="668"/>
      <c r="P4402" s="733"/>
    </row>
    <row r="4403" spans="1:16" s="619" customFormat="1" ht="36" x14ac:dyDescent="0.2">
      <c r="A4403" s="626" t="s">
        <v>8643</v>
      </c>
      <c r="B4403" s="626" t="s">
        <v>1908</v>
      </c>
      <c r="C4403" s="638" t="s">
        <v>3556</v>
      </c>
      <c r="D4403" s="626" t="s">
        <v>1931</v>
      </c>
      <c r="E4403" s="636">
        <v>1200</v>
      </c>
      <c r="F4403" s="637" t="s">
        <v>9011</v>
      </c>
      <c r="G4403" s="626" t="s">
        <v>9012</v>
      </c>
      <c r="H4403" s="626" t="s">
        <v>1931</v>
      </c>
      <c r="I4403" s="626" t="s">
        <v>1931</v>
      </c>
      <c r="J4403" s="638" t="s">
        <v>1931</v>
      </c>
      <c r="K4403" s="719">
        <v>1</v>
      </c>
      <c r="L4403" s="717">
        <v>1</v>
      </c>
      <c r="M4403" s="643">
        <f t="shared" si="48"/>
        <v>1200</v>
      </c>
      <c r="N4403" s="700"/>
      <c r="O4403" s="668"/>
      <c r="P4403" s="733"/>
    </row>
    <row r="4404" spans="1:16" s="619" customFormat="1" ht="36" x14ac:dyDescent="0.2">
      <c r="A4404" s="626" t="s">
        <v>8643</v>
      </c>
      <c r="B4404" s="626" t="s">
        <v>1908</v>
      </c>
      <c r="C4404" s="638" t="s">
        <v>3556</v>
      </c>
      <c r="D4404" s="626" t="s">
        <v>8953</v>
      </c>
      <c r="E4404" s="636">
        <v>1200</v>
      </c>
      <c r="F4404" s="637">
        <v>41868103</v>
      </c>
      <c r="G4404" s="626" t="s">
        <v>8876</v>
      </c>
      <c r="H4404" s="626" t="s">
        <v>8953</v>
      </c>
      <c r="I4404" s="626" t="s">
        <v>1931</v>
      </c>
      <c r="J4404" s="638" t="s">
        <v>8953</v>
      </c>
      <c r="K4404" s="719">
        <v>1</v>
      </c>
      <c r="L4404" s="717">
        <v>1</v>
      </c>
      <c r="M4404" s="643">
        <f t="shared" si="48"/>
        <v>1200</v>
      </c>
      <c r="N4404" s="700"/>
      <c r="O4404" s="668"/>
      <c r="P4404" s="733"/>
    </row>
    <row r="4405" spans="1:16" s="619" customFormat="1" ht="36" x14ac:dyDescent="0.2">
      <c r="A4405" s="626" t="s">
        <v>8643</v>
      </c>
      <c r="B4405" s="626" t="s">
        <v>1908</v>
      </c>
      <c r="C4405" s="638" t="s">
        <v>3556</v>
      </c>
      <c r="D4405" s="626" t="s">
        <v>8953</v>
      </c>
      <c r="E4405" s="636">
        <v>1200</v>
      </c>
      <c r="F4405" s="637">
        <v>47518528</v>
      </c>
      <c r="G4405" s="626" t="s">
        <v>9013</v>
      </c>
      <c r="H4405" s="626" t="s">
        <v>8953</v>
      </c>
      <c r="I4405" s="626" t="s">
        <v>1931</v>
      </c>
      <c r="J4405" s="638" t="s">
        <v>8953</v>
      </c>
      <c r="K4405" s="719">
        <v>2</v>
      </c>
      <c r="L4405" s="717">
        <v>2</v>
      </c>
      <c r="M4405" s="643">
        <f t="shared" si="48"/>
        <v>2400</v>
      </c>
      <c r="N4405" s="700"/>
      <c r="O4405" s="668"/>
      <c r="P4405" s="733"/>
    </row>
    <row r="4406" spans="1:16" s="619" customFormat="1" ht="60" x14ac:dyDescent="0.2">
      <c r="A4406" s="626" t="s">
        <v>8643</v>
      </c>
      <c r="B4406" s="626" t="s">
        <v>8962</v>
      </c>
      <c r="C4406" s="638" t="s">
        <v>3556</v>
      </c>
      <c r="D4406" s="626" t="s">
        <v>9014</v>
      </c>
      <c r="E4406" s="636">
        <v>1100</v>
      </c>
      <c r="F4406" s="637">
        <v>74369904</v>
      </c>
      <c r="G4406" s="626" t="s">
        <v>9015</v>
      </c>
      <c r="H4406" s="626" t="s">
        <v>9014</v>
      </c>
      <c r="I4406" s="626" t="s">
        <v>3614</v>
      </c>
      <c r="J4406" s="638" t="s">
        <v>9014</v>
      </c>
      <c r="K4406" s="719">
        <v>1</v>
      </c>
      <c r="L4406" s="717">
        <v>1</v>
      </c>
      <c r="M4406" s="643">
        <f t="shared" si="48"/>
        <v>1100</v>
      </c>
      <c r="N4406" s="700"/>
      <c r="O4406" s="668"/>
      <c r="P4406" s="733"/>
    </row>
    <row r="4407" spans="1:16" s="619" customFormat="1" ht="60" x14ac:dyDescent="0.2">
      <c r="A4407" s="626" t="s">
        <v>8643</v>
      </c>
      <c r="B4407" s="626" t="s">
        <v>8962</v>
      </c>
      <c r="C4407" s="638" t="s">
        <v>3556</v>
      </c>
      <c r="D4407" s="626" t="s">
        <v>8966</v>
      </c>
      <c r="E4407" s="636">
        <v>1800</v>
      </c>
      <c r="F4407" s="637">
        <v>71718837</v>
      </c>
      <c r="G4407" s="626" t="s">
        <v>7268</v>
      </c>
      <c r="H4407" s="626" t="s">
        <v>8966</v>
      </c>
      <c r="I4407" s="626"/>
      <c r="J4407" s="638" t="s">
        <v>8966</v>
      </c>
      <c r="K4407" s="719">
        <v>2</v>
      </c>
      <c r="L4407" s="717">
        <v>2</v>
      </c>
      <c r="M4407" s="643">
        <f t="shared" si="48"/>
        <v>3600</v>
      </c>
      <c r="N4407" s="700"/>
      <c r="O4407" s="668"/>
      <c r="P4407" s="733"/>
    </row>
    <row r="4408" spans="1:16" s="619" customFormat="1" ht="36" x14ac:dyDescent="0.2">
      <c r="A4408" s="626" t="s">
        <v>8643</v>
      </c>
      <c r="B4408" s="626" t="s">
        <v>1861</v>
      </c>
      <c r="C4408" s="638" t="s">
        <v>3556</v>
      </c>
      <c r="D4408" s="626" t="s">
        <v>9016</v>
      </c>
      <c r="E4408" s="636">
        <v>1200</v>
      </c>
      <c r="F4408" s="637">
        <v>72807403</v>
      </c>
      <c r="G4408" s="626" t="s">
        <v>8911</v>
      </c>
      <c r="H4408" s="626" t="s">
        <v>9016</v>
      </c>
      <c r="I4408" s="626" t="s">
        <v>7624</v>
      </c>
      <c r="J4408" s="638" t="s">
        <v>9016</v>
      </c>
      <c r="K4408" s="719">
        <v>2</v>
      </c>
      <c r="L4408" s="717">
        <v>5</v>
      </c>
      <c r="M4408" s="643">
        <f t="shared" si="48"/>
        <v>6000</v>
      </c>
      <c r="N4408" s="700"/>
      <c r="O4408" s="668"/>
      <c r="P4408" s="733"/>
    </row>
    <row r="4409" spans="1:16" s="619" customFormat="1" ht="36" x14ac:dyDescent="0.2">
      <c r="A4409" s="626" t="s">
        <v>8643</v>
      </c>
      <c r="B4409" s="626" t="s">
        <v>1908</v>
      </c>
      <c r="C4409" s="638" t="s">
        <v>3556</v>
      </c>
      <c r="D4409" s="626" t="s">
        <v>8966</v>
      </c>
      <c r="E4409" s="636">
        <v>1800</v>
      </c>
      <c r="F4409" s="637">
        <v>45455551</v>
      </c>
      <c r="G4409" s="626" t="s">
        <v>9017</v>
      </c>
      <c r="H4409" s="626" t="s">
        <v>8966</v>
      </c>
      <c r="I4409" s="626" t="s">
        <v>1913</v>
      </c>
      <c r="J4409" s="638" t="s">
        <v>8966</v>
      </c>
      <c r="K4409" s="719">
        <v>2</v>
      </c>
      <c r="L4409" s="717">
        <v>2</v>
      </c>
      <c r="M4409" s="643">
        <f t="shared" si="48"/>
        <v>3600</v>
      </c>
      <c r="N4409" s="700"/>
      <c r="O4409" s="668"/>
      <c r="P4409" s="733"/>
    </row>
    <row r="4410" spans="1:16" s="619" customFormat="1" ht="36" x14ac:dyDescent="0.2">
      <c r="A4410" s="626" t="s">
        <v>8643</v>
      </c>
      <c r="B4410" s="626" t="s">
        <v>1861</v>
      </c>
      <c r="C4410" s="638" t="s">
        <v>3556</v>
      </c>
      <c r="D4410" s="626" t="s">
        <v>9018</v>
      </c>
      <c r="E4410" s="636">
        <v>2200</v>
      </c>
      <c r="F4410" s="637">
        <v>77015575</v>
      </c>
      <c r="G4410" s="626" t="s">
        <v>9019</v>
      </c>
      <c r="H4410" s="626" t="s">
        <v>9020</v>
      </c>
      <c r="I4410" s="626" t="s">
        <v>1913</v>
      </c>
      <c r="J4410" s="638" t="s">
        <v>9020</v>
      </c>
      <c r="K4410" s="719">
        <v>3</v>
      </c>
      <c r="L4410" s="717">
        <v>3</v>
      </c>
      <c r="M4410" s="643">
        <f t="shared" si="48"/>
        <v>6600</v>
      </c>
      <c r="N4410" s="700"/>
      <c r="O4410" s="668"/>
      <c r="P4410" s="733"/>
    </row>
    <row r="4411" spans="1:16" s="619" customFormat="1" ht="36" x14ac:dyDescent="0.2">
      <c r="A4411" s="626" t="s">
        <v>8643</v>
      </c>
      <c r="B4411" s="626" t="s">
        <v>1861</v>
      </c>
      <c r="C4411" s="638" t="s">
        <v>3556</v>
      </c>
      <c r="D4411" s="626" t="s">
        <v>9021</v>
      </c>
      <c r="E4411" s="636">
        <v>6500</v>
      </c>
      <c r="F4411" s="637">
        <v>43819452</v>
      </c>
      <c r="G4411" s="626" t="s">
        <v>9022</v>
      </c>
      <c r="H4411" s="626" t="s">
        <v>9021</v>
      </c>
      <c r="I4411" s="626" t="s">
        <v>1913</v>
      </c>
      <c r="J4411" s="638" t="s">
        <v>9021</v>
      </c>
      <c r="K4411" s="719">
        <v>2</v>
      </c>
      <c r="L4411" s="717">
        <v>2</v>
      </c>
      <c r="M4411" s="643">
        <f t="shared" si="48"/>
        <v>13000</v>
      </c>
      <c r="N4411" s="700"/>
      <c r="O4411" s="668"/>
      <c r="P4411" s="733"/>
    </row>
    <row r="4412" spans="1:16" s="619" customFormat="1" ht="36" x14ac:dyDescent="0.2">
      <c r="A4412" s="626" t="s">
        <v>8643</v>
      </c>
      <c r="B4412" s="626" t="s">
        <v>1908</v>
      </c>
      <c r="C4412" s="638" t="s">
        <v>3556</v>
      </c>
      <c r="D4412" s="626" t="s">
        <v>3614</v>
      </c>
      <c r="E4412" s="636">
        <v>1200</v>
      </c>
      <c r="F4412" s="637">
        <v>72245244</v>
      </c>
      <c r="G4412" s="626" t="s">
        <v>8935</v>
      </c>
      <c r="H4412" s="626" t="s">
        <v>3614</v>
      </c>
      <c r="I4412" s="626" t="s">
        <v>3614</v>
      </c>
      <c r="J4412" s="638" t="s">
        <v>3614</v>
      </c>
      <c r="K4412" s="719">
        <v>4</v>
      </c>
      <c r="L4412" s="717">
        <v>5</v>
      </c>
      <c r="M4412" s="643">
        <f t="shared" si="48"/>
        <v>6000</v>
      </c>
      <c r="N4412" s="653"/>
      <c r="O4412" s="654"/>
      <c r="P4412" s="667"/>
    </row>
    <row r="4413" spans="1:16" s="619" customFormat="1" ht="36" x14ac:dyDescent="0.2">
      <c r="A4413" s="626" t="s">
        <v>8643</v>
      </c>
      <c r="B4413" s="626" t="s">
        <v>2275</v>
      </c>
      <c r="C4413" s="638" t="s">
        <v>3556</v>
      </c>
      <c r="D4413" s="626" t="s">
        <v>9023</v>
      </c>
      <c r="E4413" s="636">
        <v>2000</v>
      </c>
      <c r="F4413" s="637">
        <v>44017200</v>
      </c>
      <c r="G4413" s="626" t="s">
        <v>9024</v>
      </c>
      <c r="H4413" s="626" t="s">
        <v>9023</v>
      </c>
      <c r="I4413" s="626" t="s">
        <v>1913</v>
      </c>
      <c r="J4413" s="638" t="s">
        <v>9023</v>
      </c>
      <c r="K4413" s="719">
        <v>1</v>
      </c>
      <c r="L4413" s="717">
        <v>1</v>
      </c>
      <c r="M4413" s="643">
        <f t="shared" si="48"/>
        <v>2000</v>
      </c>
      <c r="N4413" s="653"/>
      <c r="O4413" s="654"/>
      <c r="P4413" s="667"/>
    </row>
    <row r="4414" spans="1:16" s="619" customFormat="1" ht="36" x14ac:dyDescent="0.2">
      <c r="A4414" s="626" t="s">
        <v>8643</v>
      </c>
      <c r="B4414" s="626" t="s">
        <v>1908</v>
      </c>
      <c r="C4414" s="638" t="s">
        <v>3556</v>
      </c>
      <c r="D4414" s="626" t="s">
        <v>8953</v>
      </c>
      <c r="E4414" s="636">
        <v>1200</v>
      </c>
      <c r="F4414" s="637">
        <v>45056997</v>
      </c>
      <c r="G4414" s="626" t="s">
        <v>9025</v>
      </c>
      <c r="H4414" s="626" t="s">
        <v>8953</v>
      </c>
      <c r="I4414" s="626" t="s">
        <v>1931</v>
      </c>
      <c r="J4414" s="638" t="s">
        <v>8953</v>
      </c>
      <c r="K4414" s="719">
        <v>2</v>
      </c>
      <c r="L4414" s="717">
        <v>2</v>
      </c>
      <c r="M4414" s="643">
        <f t="shared" si="48"/>
        <v>2400</v>
      </c>
      <c r="N4414" s="653"/>
      <c r="O4414" s="654"/>
      <c r="P4414" s="667"/>
    </row>
    <row r="4415" spans="1:16" s="619" customFormat="1" ht="36" x14ac:dyDescent="0.2">
      <c r="A4415" s="626" t="s">
        <v>8643</v>
      </c>
      <c r="B4415" s="626" t="s">
        <v>1908</v>
      </c>
      <c r="C4415" s="638" t="s">
        <v>3556</v>
      </c>
      <c r="D4415" s="626" t="s">
        <v>9026</v>
      </c>
      <c r="E4415" s="636">
        <v>3500</v>
      </c>
      <c r="F4415" s="637">
        <v>72217955</v>
      </c>
      <c r="G4415" s="626" t="s">
        <v>7274</v>
      </c>
      <c r="H4415" s="626" t="s">
        <v>9027</v>
      </c>
      <c r="I4415" s="626" t="s">
        <v>1912</v>
      </c>
      <c r="J4415" s="638" t="s">
        <v>1913</v>
      </c>
      <c r="K4415" s="719"/>
      <c r="L4415" s="717"/>
      <c r="M4415" s="643"/>
      <c r="N4415" s="717">
        <v>4</v>
      </c>
      <c r="O4415" s="719">
        <v>4</v>
      </c>
      <c r="P4415" s="667">
        <f>E4415*O4415</f>
        <v>14000</v>
      </c>
    </row>
    <row r="4416" spans="1:16" s="619" customFormat="1" ht="36" x14ac:dyDescent="0.2">
      <c r="A4416" s="626" t="s">
        <v>8643</v>
      </c>
      <c r="B4416" s="626" t="s">
        <v>1908</v>
      </c>
      <c r="C4416" s="638" t="s">
        <v>3556</v>
      </c>
      <c r="D4416" s="626" t="s">
        <v>9028</v>
      </c>
      <c r="E4416" s="636">
        <v>2500</v>
      </c>
      <c r="F4416" s="637">
        <v>42752961</v>
      </c>
      <c r="G4416" s="626" t="s">
        <v>9029</v>
      </c>
      <c r="H4416" s="626" t="s">
        <v>9028</v>
      </c>
      <c r="I4416" s="626" t="s">
        <v>1931</v>
      </c>
      <c r="J4416" s="638" t="s">
        <v>1931</v>
      </c>
      <c r="K4416" s="719"/>
      <c r="L4416" s="717"/>
      <c r="M4416" s="734"/>
      <c r="N4416" s="717">
        <v>5</v>
      </c>
      <c r="O4416" s="719">
        <v>6</v>
      </c>
      <c r="P4416" s="667">
        <f t="shared" ref="P4416:P4422" si="49">E4416*O4416</f>
        <v>15000</v>
      </c>
    </row>
    <row r="4417" spans="1:16" s="619" customFormat="1" ht="36" x14ac:dyDescent="0.2">
      <c r="A4417" s="626" t="s">
        <v>8643</v>
      </c>
      <c r="B4417" s="626" t="s">
        <v>2275</v>
      </c>
      <c r="C4417" s="638" t="s">
        <v>3556</v>
      </c>
      <c r="D4417" s="626" t="s">
        <v>3583</v>
      </c>
      <c r="E4417" s="636">
        <v>1200</v>
      </c>
      <c r="F4417" s="637">
        <v>74422919</v>
      </c>
      <c r="G4417" s="626" t="s">
        <v>8710</v>
      </c>
      <c r="H4417" s="626" t="s">
        <v>9030</v>
      </c>
      <c r="I4417" s="626" t="s">
        <v>1912</v>
      </c>
      <c r="J4417" s="638" t="s">
        <v>1913</v>
      </c>
      <c r="K4417" s="735"/>
      <c r="L4417" s="717"/>
      <c r="M4417" s="734"/>
      <c r="N4417" s="717">
        <v>1</v>
      </c>
      <c r="O4417" s="719">
        <v>1</v>
      </c>
      <c r="P4417" s="667">
        <f t="shared" si="49"/>
        <v>1200</v>
      </c>
    </row>
    <row r="4418" spans="1:16" s="619" customFormat="1" ht="36" x14ac:dyDescent="0.2">
      <c r="A4418" s="626" t="s">
        <v>8643</v>
      </c>
      <c r="B4418" s="626" t="s">
        <v>2275</v>
      </c>
      <c r="C4418" s="638" t="s">
        <v>3556</v>
      </c>
      <c r="D4418" s="626" t="s">
        <v>3583</v>
      </c>
      <c r="E4418" s="636">
        <v>1800</v>
      </c>
      <c r="F4418" s="637">
        <v>42506910</v>
      </c>
      <c r="G4418" s="626" t="s">
        <v>9031</v>
      </c>
      <c r="H4418" s="626" t="s">
        <v>1931</v>
      </c>
      <c r="I4418" s="626" t="s">
        <v>1931</v>
      </c>
      <c r="J4418" s="638" t="s">
        <v>1931</v>
      </c>
      <c r="K4418" s="735"/>
      <c r="L4418" s="717"/>
      <c r="M4418" s="734"/>
      <c r="N4418" s="717">
        <v>3</v>
      </c>
      <c r="O4418" s="719">
        <v>6</v>
      </c>
      <c r="P4418" s="667">
        <f t="shared" si="49"/>
        <v>10800</v>
      </c>
    </row>
    <row r="4419" spans="1:16" s="619" customFormat="1" ht="36" x14ac:dyDescent="0.2">
      <c r="A4419" s="626" t="s">
        <v>8643</v>
      </c>
      <c r="B4419" s="626" t="s">
        <v>2275</v>
      </c>
      <c r="C4419" s="638" t="s">
        <v>3556</v>
      </c>
      <c r="D4419" s="626" t="s">
        <v>9002</v>
      </c>
      <c r="E4419" s="636">
        <v>1800</v>
      </c>
      <c r="F4419" s="637">
        <v>46156096</v>
      </c>
      <c r="G4419" s="626" t="s">
        <v>9032</v>
      </c>
      <c r="H4419" s="626" t="s">
        <v>9002</v>
      </c>
      <c r="I4419" s="626" t="s">
        <v>1912</v>
      </c>
      <c r="J4419" s="638" t="s">
        <v>1913</v>
      </c>
      <c r="K4419" s="735"/>
      <c r="L4419" s="717"/>
      <c r="M4419" s="734"/>
      <c r="N4419" s="717">
        <v>1</v>
      </c>
      <c r="O4419" s="719">
        <v>2</v>
      </c>
      <c r="P4419" s="667">
        <f t="shared" si="49"/>
        <v>3600</v>
      </c>
    </row>
    <row r="4420" spans="1:16" s="619" customFormat="1" ht="36" x14ac:dyDescent="0.2">
      <c r="A4420" s="626" t="s">
        <v>8643</v>
      </c>
      <c r="B4420" s="626" t="s">
        <v>2275</v>
      </c>
      <c r="C4420" s="638" t="s">
        <v>3556</v>
      </c>
      <c r="D4420" s="626" t="s">
        <v>9033</v>
      </c>
      <c r="E4420" s="636">
        <v>1500</v>
      </c>
      <c r="F4420" s="637">
        <v>47870351</v>
      </c>
      <c r="G4420" s="626" t="s">
        <v>8854</v>
      </c>
      <c r="H4420" s="626" t="s">
        <v>3079</v>
      </c>
      <c r="I4420" s="626" t="s">
        <v>3587</v>
      </c>
      <c r="J4420" s="638" t="s">
        <v>3587</v>
      </c>
      <c r="K4420" s="735"/>
      <c r="L4420" s="717"/>
      <c r="M4420" s="734"/>
      <c r="N4420" s="717">
        <v>3</v>
      </c>
      <c r="O4420" s="719">
        <v>4</v>
      </c>
      <c r="P4420" s="667">
        <f t="shared" si="49"/>
        <v>6000</v>
      </c>
    </row>
    <row r="4421" spans="1:16" s="619" customFormat="1" ht="36" x14ac:dyDescent="0.2">
      <c r="A4421" s="626" t="s">
        <v>8643</v>
      </c>
      <c r="B4421" s="626" t="s">
        <v>1861</v>
      </c>
      <c r="C4421" s="638" t="s">
        <v>3556</v>
      </c>
      <c r="D4421" s="626" t="s">
        <v>3583</v>
      </c>
      <c r="E4421" s="636">
        <v>1200</v>
      </c>
      <c r="F4421" s="637">
        <v>74422919</v>
      </c>
      <c r="G4421" s="626" t="s">
        <v>8710</v>
      </c>
      <c r="H4421" s="626" t="s">
        <v>9030</v>
      </c>
      <c r="I4421" s="626" t="s">
        <v>1912</v>
      </c>
      <c r="J4421" s="638" t="s">
        <v>1913</v>
      </c>
      <c r="K4421" s="735"/>
      <c r="L4421" s="717"/>
      <c r="M4421" s="734"/>
      <c r="N4421" s="717">
        <v>1</v>
      </c>
      <c r="O4421" s="719">
        <v>6</v>
      </c>
      <c r="P4421" s="667">
        <f t="shared" si="49"/>
        <v>7200</v>
      </c>
    </row>
    <row r="4422" spans="1:16" s="619" customFormat="1" ht="36.75" thickBot="1" x14ac:dyDescent="0.25">
      <c r="A4422" s="626" t="s">
        <v>8643</v>
      </c>
      <c r="B4422" s="626" t="s">
        <v>1908</v>
      </c>
      <c r="C4422" s="638" t="s">
        <v>3556</v>
      </c>
      <c r="D4422" s="626" t="s">
        <v>9034</v>
      </c>
      <c r="E4422" s="636">
        <v>6500</v>
      </c>
      <c r="F4422" s="637">
        <v>42908221</v>
      </c>
      <c r="G4422" s="626" t="s">
        <v>9035</v>
      </c>
      <c r="H4422" s="626" t="s">
        <v>9034</v>
      </c>
      <c r="I4422" s="626" t="s">
        <v>1912</v>
      </c>
      <c r="J4422" s="638" t="s">
        <v>1913</v>
      </c>
      <c r="K4422" s="736"/>
      <c r="L4422" s="737"/>
      <c r="M4422" s="738"/>
      <c r="N4422" s="737">
        <v>1</v>
      </c>
      <c r="O4422" s="728">
        <v>5</v>
      </c>
      <c r="P4422" s="739">
        <f t="shared" si="49"/>
        <v>32500</v>
      </c>
    </row>
    <row r="4423" spans="1:16" s="619" customFormat="1" ht="13.5" customHeight="1" thickBot="1" x14ac:dyDescent="0.25">
      <c r="A4423" s="1149" t="s">
        <v>1887</v>
      </c>
      <c r="B4423" s="1150"/>
      <c r="C4423" s="1150"/>
      <c r="D4423" s="1151"/>
      <c r="E4423" s="610">
        <f>SUM(E4206:E4422)</f>
        <v>367700</v>
      </c>
      <c r="F4423" s="623"/>
      <c r="G4423" s="109"/>
      <c r="H4423" s="109"/>
      <c r="I4423" s="109"/>
      <c r="J4423" s="109"/>
      <c r="K4423" s="623"/>
      <c r="L4423" s="109"/>
      <c r="M4423" s="624">
        <f>SUM(M4206:M4422)</f>
        <v>2477300</v>
      </c>
      <c r="N4423" s="623"/>
      <c r="O4423" s="623"/>
      <c r="P4423" s="624">
        <f>SUM(P4206:P4422)</f>
        <v>1445300</v>
      </c>
    </row>
    <row r="4424" spans="1:16" s="619" customFormat="1" ht="36" x14ac:dyDescent="0.2">
      <c r="A4424" s="625" t="s">
        <v>9036</v>
      </c>
      <c r="B4424" s="640" t="s">
        <v>1908</v>
      </c>
      <c r="C4424" s="638" t="s">
        <v>104</v>
      </c>
      <c r="D4424" s="626" t="s">
        <v>9037</v>
      </c>
      <c r="E4424" s="636">
        <v>2500</v>
      </c>
      <c r="F4424" s="637" t="s">
        <v>9038</v>
      </c>
      <c r="G4424" s="626" t="s">
        <v>9039</v>
      </c>
      <c r="H4424" s="626" t="s">
        <v>6418</v>
      </c>
      <c r="I4424" s="626" t="s">
        <v>3567</v>
      </c>
      <c r="J4424" s="638" t="s">
        <v>6418</v>
      </c>
      <c r="K4424" s="719">
        <v>2</v>
      </c>
      <c r="L4424" s="719">
        <v>7</v>
      </c>
      <c r="M4424" s="740">
        <v>17500</v>
      </c>
      <c r="N4424" s="719">
        <v>1</v>
      </c>
      <c r="O4424" s="719">
        <v>2</v>
      </c>
      <c r="P4424" s="688">
        <v>5000</v>
      </c>
    </row>
    <row r="4425" spans="1:16" s="619" customFormat="1" ht="48" x14ac:dyDescent="0.2">
      <c r="A4425" s="625" t="s">
        <v>9036</v>
      </c>
      <c r="B4425" s="640" t="s">
        <v>1908</v>
      </c>
      <c r="C4425" s="638" t="s">
        <v>104</v>
      </c>
      <c r="D4425" s="626" t="s">
        <v>9037</v>
      </c>
      <c r="E4425" s="636">
        <v>2500</v>
      </c>
      <c r="F4425" s="637" t="s">
        <v>9040</v>
      </c>
      <c r="G4425" s="626" t="s">
        <v>9041</v>
      </c>
      <c r="H4425" s="626" t="s">
        <v>6418</v>
      </c>
      <c r="I4425" s="626" t="s">
        <v>3567</v>
      </c>
      <c r="J4425" s="638" t="s">
        <v>6418</v>
      </c>
      <c r="K4425" s="719">
        <v>3</v>
      </c>
      <c r="L4425" s="719">
        <v>12</v>
      </c>
      <c r="M4425" s="740">
        <v>30000</v>
      </c>
      <c r="N4425" s="719">
        <v>1</v>
      </c>
      <c r="O4425" s="719">
        <v>6</v>
      </c>
      <c r="P4425" s="651">
        <v>15000</v>
      </c>
    </row>
    <row r="4426" spans="1:16" s="619" customFormat="1" ht="48" x14ac:dyDescent="0.2">
      <c r="A4426" s="625" t="s">
        <v>9036</v>
      </c>
      <c r="B4426" s="640" t="s">
        <v>1908</v>
      </c>
      <c r="C4426" s="638" t="s">
        <v>104</v>
      </c>
      <c r="D4426" s="626" t="s">
        <v>9037</v>
      </c>
      <c r="E4426" s="636">
        <v>2000</v>
      </c>
      <c r="F4426" s="637" t="s">
        <v>9042</v>
      </c>
      <c r="G4426" s="626" t="s">
        <v>9043</v>
      </c>
      <c r="H4426" s="626" t="s">
        <v>6418</v>
      </c>
      <c r="I4426" s="626" t="s">
        <v>3567</v>
      </c>
      <c r="J4426" s="638" t="s">
        <v>6418</v>
      </c>
      <c r="K4426" s="719">
        <v>2</v>
      </c>
      <c r="L4426" s="719">
        <v>5</v>
      </c>
      <c r="M4426" s="740">
        <v>10000</v>
      </c>
      <c r="N4426" s="719">
        <v>1</v>
      </c>
      <c r="O4426" s="719">
        <v>6</v>
      </c>
      <c r="P4426" s="651">
        <v>12000</v>
      </c>
    </row>
    <row r="4427" spans="1:16" s="619" customFormat="1" ht="36" x14ac:dyDescent="0.2">
      <c r="A4427" s="625" t="s">
        <v>9036</v>
      </c>
      <c r="B4427" s="640" t="s">
        <v>1908</v>
      </c>
      <c r="C4427" s="638" t="s">
        <v>104</v>
      </c>
      <c r="D4427" s="626" t="s">
        <v>9037</v>
      </c>
      <c r="E4427" s="636">
        <v>2500</v>
      </c>
      <c r="F4427" s="637" t="s">
        <v>9044</v>
      </c>
      <c r="G4427" s="626" t="s">
        <v>9045</v>
      </c>
      <c r="H4427" s="626" t="s">
        <v>6418</v>
      </c>
      <c r="I4427" s="626" t="s">
        <v>3567</v>
      </c>
      <c r="J4427" s="638" t="s">
        <v>6418</v>
      </c>
      <c r="K4427" s="719">
        <v>0</v>
      </c>
      <c r="L4427" s="719">
        <v>0</v>
      </c>
      <c r="M4427" s="740">
        <v>0</v>
      </c>
      <c r="N4427" s="719">
        <v>1</v>
      </c>
      <c r="O4427" s="719">
        <v>6</v>
      </c>
      <c r="P4427" s="651">
        <v>15000</v>
      </c>
    </row>
    <row r="4428" spans="1:16" s="619" customFormat="1" ht="36" x14ac:dyDescent="0.2">
      <c r="A4428" s="625" t="s">
        <v>9036</v>
      </c>
      <c r="B4428" s="640" t="s">
        <v>1908</v>
      </c>
      <c r="C4428" s="638" t="s">
        <v>104</v>
      </c>
      <c r="D4428" s="626" t="s">
        <v>9037</v>
      </c>
      <c r="E4428" s="636">
        <v>1500</v>
      </c>
      <c r="F4428" s="637" t="s">
        <v>9046</v>
      </c>
      <c r="G4428" s="626" t="s">
        <v>9047</v>
      </c>
      <c r="H4428" s="626" t="s">
        <v>9048</v>
      </c>
      <c r="I4428" s="626" t="s">
        <v>1931</v>
      </c>
      <c r="J4428" s="638" t="s">
        <v>9048</v>
      </c>
      <c r="K4428" s="719">
        <v>0</v>
      </c>
      <c r="L4428" s="719">
        <v>0</v>
      </c>
      <c r="M4428" s="740">
        <v>0</v>
      </c>
      <c r="N4428" s="719">
        <v>1</v>
      </c>
      <c r="O4428" s="719">
        <v>6</v>
      </c>
      <c r="P4428" s="651">
        <v>9000</v>
      </c>
    </row>
    <row r="4429" spans="1:16" s="619" customFormat="1" ht="36" x14ac:dyDescent="0.2">
      <c r="A4429" s="625" t="s">
        <v>9036</v>
      </c>
      <c r="B4429" s="640" t="s">
        <v>1908</v>
      </c>
      <c r="C4429" s="638" t="s">
        <v>104</v>
      </c>
      <c r="D4429" s="626" t="s">
        <v>9037</v>
      </c>
      <c r="E4429" s="636">
        <v>1500</v>
      </c>
      <c r="F4429" s="637" t="s">
        <v>9049</v>
      </c>
      <c r="G4429" s="626" t="s">
        <v>9050</v>
      </c>
      <c r="H4429" s="626" t="s">
        <v>3583</v>
      </c>
      <c r="I4429" s="626" t="s">
        <v>3551</v>
      </c>
      <c r="J4429" s="638" t="s">
        <v>3583</v>
      </c>
      <c r="K4429" s="719">
        <v>0</v>
      </c>
      <c r="L4429" s="719">
        <v>0</v>
      </c>
      <c r="M4429" s="740">
        <v>0</v>
      </c>
      <c r="N4429" s="719">
        <v>1</v>
      </c>
      <c r="O4429" s="719">
        <v>6</v>
      </c>
      <c r="P4429" s="651">
        <v>9000</v>
      </c>
    </row>
    <row r="4430" spans="1:16" s="619" customFormat="1" ht="48" x14ac:dyDescent="0.2">
      <c r="A4430" s="625" t="s">
        <v>9036</v>
      </c>
      <c r="B4430" s="640" t="s">
        <v>1908</v>
      </c>
      <c r="C4430" s="638" t="s">
        <v>104</v>
      </c>
      <c r="D4430" s="626" t="s">
        <v>9051</v>
      </c>
      <c r="E4430" s="636">
        <v>1500</v>
      </c>
      <c r="F4430" s="637" t="s">
        <v>9052</v>
      </c>
      <c r="G4430" s="626" t="s">
        <v>9053</v>
      </c>
      <c r="H4430" s="626" t="s">
        <v>9054</v>
      </c>
      <c r="I4430" s="626" t="s">
        <v>3567</v>
      </c>
      <c r="J4430" s="638" t="s">
        <v>9054</v>
      </c>
      <c r="K4430" s="719">
        <v>1</v>
      </c>
      <c r="L4430" s="719">
        <v>2</v>
      </c>
      <c r="M4430" s="740">
        <v>3000</v>
      </c>
      <c r="N4430" s="719">
        <v>1</v>
      </c>
      <c r="O4430" s="719">
        <v>6</v>
      </c>
      <c r="P4430" s="651">
        <v>9000</v>
      </c>
    </row>
    <row r="4431" spans="1:16" s="619" customFormat="1" ht="36" x14ac:dyDescent="0.2">
      <c r="A4431" s="625" t="s">
        <v>9036</v>
      </c>
      <c r="B4431" s="640" t="s">
        <v>1908</v>
      </c>
      <c r="C4431" s="638" t="s">
        <v>104</v>
      </c>
      <c r="D4431" s="626" t="s">
        <v>9051</v>
      </c>
      <c r="E4431" s="636">
        <v>1800</v>
      </c>
      <c r="F4431" s="637" t="s">
        <v>9055</v>
      </c>
      <c r="G4431" s="626" t="s">
        <v>9056</v>
      </c>
      <c r="H4431" s="626" t="s">
        <v>9054</v>
      </c>
      <c r="I4431" s="626" t="s">
        <v>3567</v>
      </c>
      <c r="J4431" s="638" t="s">
        <v>9054</v>
      </c>
      <c r="K4431" s="719">
        <v>1</v>
      </c>
      <c r="L4431" s="719">
        <v>2</v>
      </c>
      <c r="M4431" s="740">
        <v>3600</v>
      </c>
      <c r="N4431" s="719">
        <v>1</v>
      </c>
      <c r="O4431" s="719">
        <v>6</v>
      </c>
      <c r="P4431" s="651">
        <v>10800</v>
      </c>
    </row>
    <row r="4432" spans="1:16" s="619" customFormat="1" ht="36" x14ac:dyDescent="0.2">
      <c r="A4432" s="625" t="s">
        <v>9036</v>
      </c>
      <c r="B4432" s="640" t="s">
        <v>1908</v>
      </c>
      <c r="C4432" s="638" t="s">
        <v>104</v>
      </c>
      <c r="D4432" s="626" t="s">
        <v>9051</v>
      </c>
      <c r="E4432" s="636">
        <v>4000</v>
      </c>
      <c r="F4432" s="637" t="s">
        <v>9057</v>
      </c>
      <c r="G4432" s="626" t="s">
        <v>8618</v>
      </c>
      <c r="H4432" s="626" t="s">
        <v>9054</v>
      </c>
      <c r="I4432" s="626" t="s">
        <v>3567</v>
      </c>
      <c r="J4432" s="638" t="s">
        <v>9054</v>
      </c>
      <c r="K4432" s="719">
        <v>0</v>
      </c>
      <c r="L4432" s="719">
        <v>0</v>
      </c>
      <c r="M4432" s="740">
        <v>0</v>
      </c>
      <c r="N4432" s="719">
        <v>1</v>
      </c>
      <c r="O4432" s="719">
        <v>6</v>
      </c>
      <c r="P4432" s="651">
        <v>24000</v>
      </c>
    </row>
    <row r="4433" spans="1:16" s="619" customFormat="1" ht="36" x14ac:dyDescent="0.2">
      <c r="A4433" s="625" t="s">
        <v>9036</v>
      </c>
      <c r="B4433" s="640" t="s">
        <v>1908</v>
      </c>
      <c r="C4433" s="638" t="s">
        <v>104</v>
      </c>
      <c r="D4433" s="626" t="s">
        <v>9037</v>
      </c>
      <c r="E4433" s="636">
        <v>1200</v>
      </c>
      <c r="F4433" s="637" t="s">
        <v>9058</v>
      </c>
      <c r="G4433" s="626" t="s">
        <v>9059</v>
      </c>
      <c r="H4433" s="626" t="s">
        <v>3569</v>
      </c>
      <c r="I4433" s="626" t="s">
        <v>1931</v>
      </c>
      <c r="J4433" s="638" t="s">
        <v>3569</v>
      </c>
      <c r="K4433" s="719">
        <v>3</v>
      </c>
      <c r="L4433" s="719">
        <v>12</v>
      </c>
      <c r="M4433" s="740">
        <v>14400</v>
      </c>
      <c r="N4433" s="719">
        <v>1</v>
      </c>
      <c r="O4433" s="719">
        <v>6</v>
      </c>
      <c r="P4433" s="651">
        <v>7200</v>
      </c>
    </row>
    <row r="4434" spans="1:16" s="619" customFormat="1" ht="48" x14ac:dyDescent="0.2">
      <c r="A4434" s="625" t="s">
        <v>9036</v>
      </c>
      <c r="B4434" s="640" t="s">
        <v>1908</v>
      </c>
      <c r="C4434" s="638" t="s">
        <v>104</v>
      </c>
      <c r="D4434" s="626" t="s">
        <v>9037</v>
      </c>
      <c r="E4434" s="636">
        <v>1050</v>
      </c>
      <c r="F4434" s="637" t="s">
        <v>9060</v>
      </c>
      <c r="G4434" s="626" t="s">
        <v>9061</v>
      </c>
      <c r="H4434" s="626" t="s">
        <v>3569</v>
      </c>
      <c r="I4434" s="626" t="s">
        <v>3551</v>
      </c>
      <c r="J4434" s="638" t="s">
        <v>3569</v>
      </c>
      <c r="K4434" s="719">
        <v>1</v>
      </c>
      <c r="L4434" s="719">
        <v>1</v>
      </c>
      <c r="M4434" s="740">
        <v>1050</v>
      </c>
      <c r="N4434" s="719">
        <v>1</v>
      </c>
      <c r="O4434" s="719">
        <v>2</v>
      </c>
      <c r="P4434" s="651">
        <v>2100</v>
      </c>
    </row>
    <row r="4435" spans="1:16" s="619" customFormat="1" ht="36" x14ac:dyDescent="0.2">
      <c r="A4435" s="625" t="s">
        <v>9036</v>
      </c>
      <c r="B4435" s="640" t="s">
        <v>1908</v>
      </c>
      <c r="C4435" s="638" t="s">
        <v>104</v>
      </c>
      <c r="D4435" s="626" t="s">
        <v>9037</v>
      </c>
      <c r="E4435" s="636">
        <v>1200</v>
      </c>
      <c r="F4435" s="637" t="s">
        <v>9062</v>
      </c>
      <c r="G4435" s="626" t="s">
        <v>9063</v>
      </c>
      <c r="H4435" s="626" t="s">
        <v>3569</v>
      </c>
      <c r="I4435" s="626" t="s">
        <v>3551</v>
      </c>
      <c r="J4435" s="638" t="s">
        <v>3569</v>
      </c>
      <c r="K4435" s="719">
        <v>1</v>
      </c>
      <c r="L4435" s="719">
        <v>2</v>
      </c>
      <c r="M4435" s="740">
        <v>2400</v>
      </c>
      <c r="N4435" s="719">
        <v>1</v>
      </c>
      <c r="O4435" s="719">
        <v>3</v>
      </c>
      <c r="P4435" s="651">
        <v>3600</v>
      </c>
    </row>
    <row r="4436" spans="1:16" s="619" customFormat="1" ht="24" x14ac:dyDescent="0.2">
      <c r="A4436" s="625" t="s">
        <v>9036</v>
      </c>
      <c r="B4436" s="640" t="s">
        <v>1908</v>
      </c>
      <c r="C4436" s="638" t="s">
        <v>104</v>
      </c>
      <c r="D4436" s="626" t="s">
        <v>9037</v>
      </c>
      <c r="E4436" s="636">
        <v>1050</v>
      </c>
      <c r="F4436" s="637" t="s">
        <v>9064</v>
      </c>
      <c r="G4436" s="626" t="s">
        <v>9065</v>
      </c>
      <c r="H4436" s="626" t="s">
        <v>3569</v>
      </c>
      <c r="I4436" s="626" t="s">
        <v>3551</v>
      </c>
      <c r="J4436" s="638" t="s">
        <v>3569</v>
      </c>
      <c r="K4436" s="719">
        <v>1</v>
      </c>
      <c r="L4436" s="719">
        <v>4</v>
      </c>
      <c r="M4436" s="740">
        <v>4200</v>
      </c>
      <c r="N4436" s="719">
        <v>1</v>
      </c>
      <c r="O4436" s="719">
        <v>6</v>
      </c>
      <c r="P4436" s="651">
        <v>6300</v>
      </c>
    </row>
    <row r="4437" spans="1:16" s="619" customFormat="1" ht="36" x14ac:dyDescent="0.2">
      <c r="A4437" s="625" t="s">
        <v>9036</v>
      </c>
      <c r="B4437" s="640" t="s">
        <v>1908</v>
      </c>
      <c r="C4437" s="638" t="s">
        <v>104</v>
      </c>
      <c r="D4437" s="626" t="s">
        <v>9037</v>
      </c>
      <c r="E4437" s="636">
        <v>1050</v>
      </c>
      <c r="F4437" s="637" t="s">
        <v>9066</v>
      </c>
      <c r="G4437" s="626" t="s">
        <v>9067</v>
      </c>
      <c r="H4437" s="626" t="s">
        <v>3569</v>
      </c>
      <c r="I4437" s="626" t="s">
        <v>3551</v>
      </c>
      <c r="J4437" s="638" t="s">
        <v>3569</v>
      </c>
      <c r="K4437" s="719">
        <v>1</v>
      </c>
      <c r="L4437" s="719">
        <v>2</v>
      </c>
      <c r="M4437" s="740">
        <v>2100</v>
      </c>
      <c r="N4437" s="719">
        <v>1</v>
      </c>
      <c r="O4437" s="719">
        <v>6</v>
      </c>
      <c r="P4437" s="651">
        <v>6300</v>
      </c>
    </row>
    <row r="4438" spans="1:16" s="619" customFormat="1" ht="24" x14ac:dyDescent="0.2">
      <c r="A4438" s="625" t="s">
        <v>9036</v>
      </c>
      <c r="B4438" s="640" t="s">
        <v>1908</v>
      </c>
      <c r="C4438" s="638" t="s">
        <v>104</v>
      </c>
      <c r="D4438" s="626" t="s">
        <v>9037</v>
      </c>
      <c r="E4438" s="636">
        <v>1500</v>
      </c>
      <c r="F4438" s="637" t="s">
        <v>9068</v>
      </c>
      <c r="G4438" s="626" t="s">
        <v>9069</v>
      </c>
      <c r="H4438" s="626" t="s">
        <v>3569</v>
      </c>
      <c r="I4438" s="626" t="s">
        <v>3551</v>
      </c>
      <c r="J4438" s="638" t="s">
        <v>3569</v>
      </c>
      <c r="K4438" s="719">
        <v>1</v>
      </c>
      <c r="L4438" s="719">
        <v>2</v>
      </c>
      <c r="M4438" s="740">
        <v>3000</v>
      </c>
      <c r="N4438" s="719">
        <v>0</v>
      </c>
      <c r="O4438" s="719">
        <v>0</v>
      </c>
      <c r="P4438" s="651">
        <v>0</v>
      </c>
    </row>
    <row r="4439" spans="1:16" s="619" customFormat="1" ht="48" x14ac:dyDescent="0.2">
      <c r="A4439" s="625" t="s">
        <v>9036</v>
      </c>
      <c r="B4439" s="640" t="s">
        <v>1908</v>
      </c>
      <c r="C4439" s="638" t="s">
        <v>104</v>
      </c>
      <c r="D4439" s="626" t="s">
        <v>9037</v>
      </c>
      <c r="E4439" s="636">
        <v>1550</v>
      </c>
      <c r="F4439" s="637" t="s">
        <v>9070</v>
      </c>
      <c r="G4439" s="626" t="s">
        <v>9071</v>
      </c>
      <c r="H4439" s="626" t="s">
        <v>3569</v>
      </c>
      <c r="I4439" s="626" t="s">
        <v>3567</v>
      </c>
      <c r="J4439" s="638" t="s">
        <v>3569</v>
      </c>
      <c r="K4439" s="719">
        <v>1</v>
      </c>
      <c r="L4439" s="719">
        <v>2</v>
      </c>
      <c r="M4439" s="740">
        <v>3100</v>
      </c>
      <c r="N4439" s="719">
        <v>0</v>
      </c>
      <c r="O4439" s="719">
        <v>0</v>
      </c>
      <c r="P4439" s="651">
        <v>0</v>
      </c>
    </row>
    <row r="4440" spans="1:16" s="619" customFormat="1" ht="24" x14ac:dyDescent="0.2">
      <c r="A4440" s="625" t="s">
        <v>9036</v>
      </c>
      <c r="B4440" s="640" t="s">
        <v>1908</v>
      </c>
      <c r="C4440" s="638" t="s">
        <v>104</v>
      </c>
      <c r="D4440" s="626" t="s">
        <v>9037</v>
      </c>
      <c r="E4440" s="636">
        <v>1200</v>
      </c>
      <c r="F4440" s="637" t="s">
        <v>9072</v>
      </c>
      <c r="G4440" s="626" t="s">
        <v>9073</v>
      </c>
      <c r="H4440" s="626" t="s">
        <v>3569</v>
      </c>
      <c r="I4440" s="626" t="s">
        <v>1931</v>
      </c>
      <c r="J4440" s="638" t="s">
        <v>3569</v>
      </c>
      <c r="K4440" s="719">
        <v>0</v>
      </c>
      <c r="L4440" s="719">
        <v>0</v>
      </c>
      <c r="M4440" s="740">
        <v>0</v>
      </c>
      <c r="N4440" s="719">
        <v>1</v>
      </c>
      <c r="O4440" s="719">
        <v>6</v>
      </c>
      <c r="P4440" s="651">
        <v>7200</v>
      </c>
    </row>
    <row r="4441" spans="1:16" s="619" customFormat="1" ht="24" x14ac:dyDescent="0.2">
      <c r="A4441" s="625" t="s">
        <v>9036</v>
      </c>
      <c r="B4441" s="640" t="s">
        <v>1908</v>
      </c>
      <c r="C4441" s="638" t="s">
        <v>104</v>
      </c>
      <c r="D4441" s="626" t="s">
        <v>9037</v>
      </c>
      <c r="E4441" s="636">
        <v>1200</v>
      </c>
      <c r="F4441" s="637" t="s">
        <v>9074</v>
      </c>
      <c r="G4441" s="626" t="s">
        <v>9075</v>
      </c>
      <c r="H4441" s="626" t="s">
        <v>3569</v>
      </c>
      <c r="I4441" s="626" t="s">
        <v>1931</v>
      </c>
      <c r="J4441" s="638" t="s">
        <v>3569</v>
      </c>
      <c r="K4441" s="719">
        <v>0</v>
      </c>
      <c r="L4441" s="719">
        <v>0</v>
      </c>
      <c r="M4441" s="740">
        <v>0</v>
      </c>
      <c r="N4441" s="719">
        <v>1</v>
      </c>
      <c r="O4441" s="719">
        <v>6</v>
      </c>
      <c r="P4441" s="651">
        <v>7200</v>
      </c>
    </row>
    <row r="4442" spans="1:16" s="619" customFormat="1" ht="36" x14ac:dyDescent="0.2">
      <c r="A4442" s="625" t="s">
        <v>9036</v>
      </c>
      <c r="B4442" s="640" t="s">
        <v>1908</v>
      </c>
      <c r="C4442" s="638" t="s">
        <v>104</v>
      </c>
      <c r="D4442" s="626" t="s">
        <v>9037</v>
      </c>
      <c r="E4442" s="636">
        <v>2000</v>
      </c>
      <c r="F4442" s="637" t="s">
        <v>9076</v>
      </c>
      <c r="G4442" s="626" t="s">
        <v>9077</v>
      </c>
      <c r="H4442" s="626" t="s">
        <v>9078</v>
      </c>
      <c r="I4442" s="626" t="s">
        <v>3567</v>
      </c>
      <c r="J4442" s="638" t="s">
        <v>9078</v>
      </c>
      <c r="K4442" s="719">
        <v>3</v>
      </c>
      <c r="L4442" s="719">
        <v>9</v>
      </c>
      <c r="M4442" s="740">
        <v>18000</v>
      </c>
      <c r="N4442" s="719">
        <v>1</v>
      </c>
      <c r="O4442" s="719">
        <v>6</v>
      </c>
      <c r="P4442" s="651">
        <v>12000</v>
      </c>
    </row>
    <row r="4443" spans="1:16" s="619" customFormat="1" ht="36" x14ac:dyDescent="0.2">
      <c r="A4443" s="625" t="s">
        <v>9036</v>
      </c>
      <c r="B4443" s="640" t="s">
        <v>1908</v>
      </c>
      <c r="C4443" s="638" t="s">
        <v>104</v>
      </c>
      <c r="D4443" s="626" t="s">
        <v>9037</v>
      </c>
      <c r="E4443" s="636">
        <v>1200</v>
      </c>
      <c r="F4443" s="637" t="s">
        <v>9079</v>
      </c>
      <c r="G4443" s="626" t="s">
        <v>9080</v>
      </c>
      <c r="H4443" s="626" t="s">
        <v>7161</v>
      </c>
      <c r="I4443" s="626" t="s">
        <v>3567</v>
      </c>
      <c r="J4443" s="638" t="s">
        <v>7161</v>
      </c>
      <c r="K4443" s="719">
        <v>0</v>
      </c>
      <c r="L4443" s="719">
        <v>0</v>
      </c>
      <c r="M4443" s="740">
        <v>0</v>
      </c>
      <c r="N4443" s="719">
        <v>1</v>
      </c>
      <c r="O4443" s="719">
        <v>6</v>
      </c>
      <c r="P4443" s="651">
        <v>7200</v>
      </c>
    </row>
    <row r="4444" spans="1:16" s="619" customFormat="1" ht="36" x14ac:dyDescent="0.2">
      <c r="A4444" s="625" t="s">
        <v>9036</v>
      </c>
      <c r="B4444" s="640" t="s">
        <v>1908</v>
      </c>
      <c r="C4444" s="638" t="s">
        <v>104</v>
      </c>
      <c r="D4444" s="626" t="s">
        <v>9051</v>
      </c>
      <c r="E4444" s="636">
        <v>2000</v>
      </c>
      <c r="F4444" s="637" t="s">
        <v>9081</v>
      </c>
      <c r="G4444" s="626" t="s">
        <v>9082</v>
      </c>
      <c r="H4444" s="626" t="s">
        <v>6149</v>
      </c>
      <c r="I4444" s="626" t="s">
        <v>3567</v>
      </c>
      <c r="J4444" s="638" t="s">
        <v>6149</v>
      </c>
      <c r="K4444" s="719">
        <v>3</v>
      </c>
      <c r="L4444" s="719">
        <v>12</v>
      </c>
      <c r="M4444" s="740">
        <v>24000</v>
      </c>
      <c r="N4444" s="719">
        <v>1</v>
      </c>
      <c r="O4444" s="719">
        <v>6</v>
      </c>
      <c r="P4444" s="651">
        <v>12000</v>
      </c>
    </row>
    <row r="4445" spans="1:16" s="619" customFormat="1" ht="36" x14ac:dyDescent="0.2">
      <c r="A4445" s="625" t="s">
        <v>9036</v>
      </c>
      <c r="B4445" s="640" t="s">
        <v>1908</v>
      </c>
      <c r="C4445" s="638" t="s">
        <v>104</v>
      </c>
      <c r="D4445" s="626" t="s">
        <v>9051</v>
      </c>
      <c r="E4445" s="636">
        <v>6000</v>
      </c>
      <c r="F4445" s="637" t="s">
        <v>9083</v>
      </c>
      <c r="G4445" s="626" t="s">
        <v>9084</v>
      </c>
      <c r="H4445" s="626" t="s">
        <v>6149</v>
      </c>
      <c r="I4445" s="626" t="s">
        <v>3567</v>
      </c>
      <c r="J4445" s="638" t="s">
        <v>6149</v>
      </c>
      <c r="K4445" s="719">
        <v>1</v>
      </c>
      <c r="L4445" s="719">
        <v>3</v>
      </c>
      <c r="M4445" s="740">
        <v>18000</v>
      </c>
      <c r="N4445" s="719">
        <v>1</v>
      </c>
      <c r="O4445" s="719">
        <v>6</v>
      </c>
      <c r="P4445" s="651">
        <v>36000</v>
      </c>
    </row>
    <row r="4446" spans="1:16" s="619" customFormat="1" ht="24" x14ac:dyDescent="0.2">
      <c r="A4446" s="625" t="s">
        <v>9036</v>
      </c>
      <c r="B4446" s="640" t="s">
        <v>1908</v>
      </c>
      <c r="C4446" s="638" t="s">
        <v>104</v>
      </c>
      <c r="D4446" s="626" t="s">
        <v>9037</v>
      </c>
      <c r="E4446" s="636">
        <v>2300</v>
      </c>
      <c r="F4446" s="637" t="s">
        <v>9085</v>
      </c>
      <c r="G4446" s="626" t="s">
        <v>9086</v>
      </c>
      <c r="H4446" s="626" t="s">
        <v>1965</v>
      </c>
      <c r="I4446" s="626" t="s">
        <v>3567</v>
      </c>
      <c r="J4446" s="638" t="s">
        <v>1965</v>
      </c>
      <c r="K4446" s="719">
        <v>3</v>
      </c>
      <c r="L4446" s="719">
        <v>12</v>
      </c>
      <c r="M4446" s="740">
        <v>27600</v>
      </c>
      <c r="N4446" s="719">
        <v>1</v>
      </c>
      <c r="O4446" s="719">
        <v>6</v>
      </c>
      <c r="P4446" s="651">
        <v>13800</v>
      </c>
    </row>
    <row r="4447" spans="1:16" s="619" customFormat="1" ht="48" x14ac:dyDescent="0.2">
      <c r="A4447" s="625" t="s">
        <v>9036</v>
      </c>
      <c r="B4447" s="640" t="s">
        <v>1908</v>
      </c>
      <c r="C4447" s="638" t="s">
        <v>104</v>
      </c>
      <c r="D4447" s="626" t="s">
        <v>9037</v>
      </c>
      <c r="E4447" s="636">
        <v>1500</v>
      </c>
      <c r="F4447" s="637" t="s">
        <v>9087</v>
      </c>
      <c r="G4447" s="626" t="s">
        <v>9088</v>
      </c>
      <c r="H4447" s="626" t="s">
        <v>1965</v>
      </c>
      <c r="I4447" s="626" t="s">
        <v>3567</v>
      </c>
      <c r="J4447" s="638" t="s">
        <v>1965</v>
      </c>
      <c r="K4447" s="719">
        <v>3</v>
      </c>
      <c r="L4447" s="719">
        <v>12</v>
      </c>
      <c r="M4447" s="740">
        <v>18000</v>
      </c>
      <c r="N4447" s="719">
        <v>1</v>
      </c>
      <c r="O4447" s="719">
        <v>6</v>
      </c>
      <c r="P4447" s="651">
        <v>9000</v>
      </c>
    </row>
    <row r="4448" spans="1:16" s="619" customFormat="1" ht="36" x14ac:dyDescent="0.2">
      <c r="A4448" s="625" t="s">
        <v>9036</v>
      </c>
      <c r="B4448" s="640" t="s">
        <v>1908</v>
      </c>
      <c r="C4448" s="638" t="s">
        <v>104</v>
      </c>
      <c r="D4448" s="626" t="s">
        <v>9037</v>
      </c>
      <c r="E4448" s="636">
        <v>2500</v>
      </c>
      <c r="F4448" s="637" t="s">
        <v>9089</v>
      </c>
      <c r="G4448" s="626" t="s">
        <v>9090</v>
      </c>
      <c r="H4448" s="626" t="s">
        <v>1965</v>
      </c>
      <c r="I4448" s="626" t="s">
        <v>3567</v>
      </c>
      <c r="J4448" s="638" t="s">
        <v>1965</v>
      </c>
      <c r="K4448" s="719">
        <v>0</v>
      </c>
      <c r="L4448" s="719">
        <v>0</v>
      </c>
      <c r="M4448" s="740">
        <v>0</v>
      </c>
      <c r="N4448" s="719">
        <v>1</v>
      </c>
      <c r="O4448" s="719">
        <v>6</v>
      </c>
      <c r="P4448" s="651">
        <v>15000</v>
      </c>
    </row>
    <row r="4449" spans="1:16" s="619" customFormat="1" ht="36" x14ac:dyDescent="0.2">
      <c r="A4449" s="625" t="s">
        <v>9036</v>
      </c>
      <c r="B4449" s="640" t="s">
        <v>1908</v>
      </c>
      <c r="C4449" s="638" t="s">
        <v>104</v>
      </c>
      <c r="D4449" s="626" t="s">
        <v>9037</v>
      </c>
      <c r="E4449" s="636">
        <v>2300</v>
      </c>
      <c r="F4449" s="637" t="s">
        <v>9091</v>
      </c>
      <c r="G4449" s="626" t="s">
        <v>9092</v>
      </c>
      <c r="H4449" s="626" t="s">
        <v>1965</v>
      </c>
      <c r="I4449" s="626" t="s">
        <v>3567</v>
      </c>
      <c r="J4449" s="638" t="s">
        <v>1965</v>
      </c>
      <c r="K4449" s="719">
        <v>0</v>
      </c>
      <c r="L4449" s="719">
        <v>0</v>
      </c>
      <c r="M4449" s="740">
        <v>0</v>
      </c>
      <c r="N4449" s="719">
        <v>1</v>
      </c>
      <c r="O4449" s="719">
        <v>6</v>
      </c>
      <c r="P4449" s="651">
        <v>13800</v>
      </c>
    </row>
    <row r="4450" spans="1:16" s="619" customFormat="1" ht="36" x14ac:dyDescent="0.2">
      <c r="A4450" s="625" t="s">
        <v>9036</v>
      </c>
      <c r="B4450" s="640" t="s">
        <v>1908</v>
      </c>
      <c r="C4450" s="638" t="s">
        <v>104</v>
      </c>
      <c r="D4450" s="626" t="s">
        <v>9037</v>
      </c>
      <c r="E4450" s="636">
        <v>2000</v>
      </c>
      <c r="F4450" s="637" t="s">
        <v>9093</v>
      </c>
      <c r="G4450" s="626" t="s">
        <v>9094</v>
      </c>
      <c r="H4450" s="626" t="s">
        <v>1965</v>
      </c>
      <c r="I4450" s="626" t="s">
        <v>1931</v>
      </c>
      <c r="J4450" s="638" t="s">
        <v>1965</v>
      </c>
      <c r="K4450" s="719">
        <v>0</v>
      </c>
      <c r="L4450" s="719">
        <v>0</v>
      </c>
      <c r="M4450" s="740">
        <v>0</v>
      </c>
      <c r="N4450" s="719">
        <v>1</v>
      </c>
      <c r="O4450" s="719">
        <v>6</v>
      </c>
      <c r="P4450" s="651">
        <v>12000</v>
      </c>
    </row>
    <row r="4451" spans="1:16" s="619" customFormat="1" ht="36" x14ac:dyDescent="0.2">
      <c r="A4451" s="625" t="s">
        <v>9036</v>
      </c>
      <c r="B4451" s="640" t="s">
        <v>1908</v>
      </c>
      <c r="C4451" s="638" t="s">
        <v>104</v>
      </c>
      <c r="D4451" s="626" t="s">
        <v>9051</v>
      </c>
      <c r="E4451" s="636">
        <v>2000</v>
      </c>
      <c r="F4451" s="637" t="s">
        <v>9095</v>
      </c>
      <c r="G4451" s="626" t="s">
        <v>9096</v>
      </c>
      <c r="H4451" s="626" t="s">
        <v>6092</v>
      </c>
      <c r="I4451" s="626" t="s">
        <v>3567</v>
      </c>
      <c r="J4451" s="638" t="s">
        <v>6092</v>
      </c>
      <c r="K4451" s="719">
        <v>3</v>
      </c>
      <c r="L4451" s="719">
        <v>12</v>
      </c>
      <c r="M4451" s="740">
        <v>24000</v>
      </c>
      <c r="N4451" s="719">
        <v>1</v>
      </c>
      <c r="O4451" s="719">
        <v>6</v>
      </c>
      <c r="P4451" s="651">
        <v>12000</v>
      </c>
    </row>
    <row r="4452" spans="1:16" s="619" customFormat="1" ht="36" x14ac:dyDescent="0.2">
      <c r="A4452" s="625" t="s">
        <v>9036</v>
      </c>
      <c r="B4452" s="640" t="s">
        <v>1908</v>
      </c>
      <c r="C4452" s="638" t="s">
        <v>104</v>
      </c>
      <c r="D4452" s="626" t="s">
        <v>9051</v>
      </c>
      <c r="E4452" s="636">
        <v>2000</v>
      </c>
      <c r="F4452" s="637" t="s">
        <v>9097</v>
      </c>
      <c r="G4452" s="626" t="s">
        <v>9098</v>
      </c>
      <c r="H4452" s="626" t="s">
        <v>6092</v>
      </c>
      <c r="I4452" s="626" t="s">
        <v>3567</v>
      </c>
      <c r="J4452" s="638" t="s">
        <v>6092</v>
      </c>
      <c r="K4452" s="719">
        <v>3</v>
      </c>
      <c r="L4452" s="719">
        <v>12</v>
      </c>
      <c r="M4452" s="740">
        <v>24000</v>
      </c>
      <c r="N4452" s="719">
        <v>1</v>
      </c>
      <c r="O4452" s="719">
        <v>6</v>
      </c>
      <c r="P4452" s="651">
        <v>12000</v>
      </c>
    </row>
    <row r="4453" spans="1:16" s="619" customFormat="1" ht="24" x14ac:dyDescent="0.2">
      <c r="A4453" s="625" t="s">
        <v>9036</v>
      </c>
      <c r="B4453" s="640" t="s">
        <v>1908</v>
      </c>
      <c r="C4453" s="638" t="s">
        <v>104</v>
      </c>
      <c r="D4453" s="626" t="s">
        <v>9051</v>
      </c>
      <c r="E4453" s="636">
        <v>2000</v>
      </c>
      <c r="F4453" s="637" t="s">
        <v>9099</v>
      </c>
      <c r="G4453" s="626" t="s">
        <v>9100</v>
      </c>
      <c r="H4453" s="626" t="s">
        <v>6092</v>
      </c>
      <c r="I4453" s="626" t="s">
        <v>3567</v>
      </c>
      <c r="J4453" s="638" t="s">
        <v>6092</v>
      </c>
      <c r="K4453" s="719">
        <v>3</v>
      </c>
      <c r="L4453" s="719">
        <v>12</v>
      </c>
      <c r="M4453" s="740">
        <v>24000</v>
      </c>
      <c r="N4453" s="719">
        <v>1</v>
      </c>
      <c r="O4453" s="719">
        <v>6</v>
      </c>
      <c r="P4453" s="651">
        <v>12000</v>
      </c>
    </row>
    <row r="4454" spans="1:16" s="619" customFormat="1" ht="24" x14ac:dyDescent="0.2">
      <c r="A4454" s="625" t="s">
        <v>9036</v>
      </c>
      <c r="B4454" s="640" t="s">
        <v>1908</v>
      </c>
      <c r="C4454" s="638" t="s">
        <v>104</v>
      </c>
      <c r="D4454" s="626" t="s">
        <v>9051</v>
      </c>
      <c r="E4454" s="636">
        <v>2000</v>
      </c>
      <c r="F4454" s="637" t="s">
        <v>9101</v>
      </c>
      <c r="G4454" s="626" t="s">
        <v>9102</v>
      </c>
      <c r="H4454" s="626" t="s">
        <v>6092</v>
      </c>
      <c r="I4454" s="626" t="s">
        <v>3567</v>
      </c>
      <c r="J4454" s="638" t="s">
        <v>6092</v>
      </c>
      <c r="K4454" s="719">
        <v>3</v>
      </c>
      <c r="L4454" s="719">
        <v>12</v>
      </c>
      <c r="M4454" s="740">
        <v>24000</v>
      </c>
      <c r="N4454" s="719">
        <v>1</v>
      </c>
      <c r="O4454" s="719">
        <v>6</v>
      </c>
      <c r="P4454" s="651">
        <v>12000</v>
      </c>
    </row>
    <row r="4455" spans="1:16" s="619" customFormat="1" ht="36" x14ac:dyDescent="0.2">
      <c r="A4455" s="625" t="s">
        <v>9036</v>
      </c>
      <c r="B4455" s="640" t="s">
        <v>1908</v>
      </c>
      <c r="C4455" s="638" t="s">
        <v>104</v>
      </c>
      <c r="D4455" s="626" t="s">
        <v>9051</v>
      </c>
      <c r="E4455" s="636">
        <v>2000</v>
      </c>
      <c r="F4455" s="637" t="s">
        <v>9103</v>
      </c>
      <c r="G4455" s="626" t="s">
        <v>9104</v>
      </c>
      <c r="H4455" s="626" t="s">
        <v>6092</v>
      </c>
      <c r="I4455" s="626" t="s">
        <v>3567</v>
      </c>
      <c r="J4455" s="638" t="s">
        <v>6092</v>
      </c>
      <c r="K4455" s="719">
        <v>3</v>
      </c>
      <c r="L4455" s="719">
        <v>12</v>
      </c>
      <c r="M4455" s="740">
        <v>24000</v>
      </c>
      <c r="N4455" s="719">
        <v>1</v>
      </c>
      <c r="O4455" s="719">
        <v>6</v>
      </c>
      <c r="P4455" s="651">
        <v>12000</v>
      </c>
    </row>
    <row r="4456" spans="1:16" s="619" customFormat="1" ht="36" x14ac:dyDescent="0.2">
      <c r="A4456" s="625" t="s">
        <v>9036</v>
      </c>
      <c r="B4456" s="640" t="s">
        <v>1908</v>
      </c>
      <c r="C4456" s="638" t="s">
        <v>104</v>
      </c>
      <c r="D4456" s="626" t="s">
        <v>9051</v>
      </c>
      <c r="E4456" s="636">
        <v>2000</v>
      </c>
      <c r="F4456" s="637" t="s">
        <v>9105</v>
      </c>
      <c r="G4456" s="626" t="s">
        <v>9106</v>
      </c>
      <c r="H4456" s="626" t="s">
        <v>6092</v>
      </c>
      <c r="I4456" s="626" t="s">
        <v>3567</v>
      </c>
      <c r="J4456" s="638" t="s">
        <v>6092</v>
      </c>
      <c r="K4456" s="719">
        <v>3</v>
      </c>
      <c r="L4456" s="719">
        <v>12</v>
      </c>
      <c r="M4456" s="740">
        <v>24000</v>
      </c>
      <c r="N4456" s="719">
        <v>1</v>
      </c>
      <c r="O4456" s="719">
        <v>6</v>
      </c>
      <c r="P4456" s="651">
        <v>12000</v>
      </c>
    </row>
    <row r="4457" spans="1:16" s="619" customFormat="1" ht="36" x14ac:dyDescent="0.2">
      <c r="A4457" s="625" t="s">
        <v>9036</v>
      </c>
      <c r="B4457" s="640" t="s">
        <v>1908</v>
      </c>
      <c r="C4457" s="638" t="s">
        <v>104</v>
      </c>
      <c r="D4457" s="626" t="s">
        <v>9051</v>
      </c>
      <c r="E4457" s="636">
        <v>2000</v>
      </c>
      <c r="F4457" s="637" t="s">
        <v>9107</v>
      </c>
      <c r="G4457" s="626" t="s">
        <v>9108</v>
      </c>
      <c r="H4457" s="626" t="s">
        <v>6092</v>
      </c>
      <c r="I4457" s="626" t="s">
        <v>3567</v>
      </c>
      <c r="J4457" s="638" t="s">
        <v>6092</v>
      </c>
      <c r="K4457" s="719">
        <v>3</v>
      </c>
      <c r="L4457" s="719">
        <v>12</v>
      </c>
      <c r="M4457" s="740">
        <v>24000</v>
      </c>
      <c r="N4457" s="719">
        <v>1</v>
      </c>
      <c r="O4457" s="719">
        <v>6</v>
      </c>
      <c r="P4457" s="651">
        <v>12000</v>
      </c>
    </row>
    <row r="4458" spans="1:16" s="619" customFormat="1" ht="36" x14ac:dyDescent="0.2">
      <c r="A4458" s="625" t="s">
        <v>9036</v>
      </c>
      <c r="B4458" s="640" t="s">
        <v>1908</v>
      </c>
      <c r="C4458" s="638" t="s">
        <v>104</v>
      </c>
      <c r="D4458" s="626" t="s">
        <v>9051</v>
      </c>
      <c r="E4458" s="636">
        <v>2000</v>
      </c>
      <c r="F4458" s="637" t="s">
        <v>9109</v>
      </c>
      <c r="G4458" s="626" t="s">
        <v>9110</v>
      </c>
      <c r="H4458" s="626" t="s">
        <v>6092</v>
      </c>
      <c r="I4458" s="626" t="s">
        <v>3567</v>
      </c>
      <c r="J4458" s="638" t="s">
        <v>6092</v>
      </c>
      <c r="K4458" s="719">
        <v>2</v>
      </c>
      <c r="L4458" s="719">
        <v>8</v>
      </c>
      <c r="M4458" s="740">
        <v>16000</v>
      </c>
      <c r="N4458" s="719">
        <v>1</v>
      </c>
      <c r="O4458" s="719">
        <v>6</v>
      </c>
      <c r="P4458" s="651">
        <v>12000</v>
      </c>
    </row>
    <row r="4459" spans="1:16" s="619" customFormat="1" ht="24" x14ac:dyDescent="0.2">
      <c r="A4459" s="625" t="s">
        <v>9036</v>
      </c>
      <c r="B4459" s="640" t="s">
        <v>1908</v>
      </c>
      <c r="C4459" s="638" t="s">
        <v>104</v>
      </c>
      <c r="D4459" s="626" t="s">
        <v>9051</v>
      </c>
      <c r="E4459" s="636">
        <v>6000</v>
      </c>
      <c r="F4459" s="637" t="s">
        <v>9111</v>
      </c>
      <c r="G4459" s="626" t="s">
        <v>9112</v>
      </c>
      <c r="H4459" s="626" t="s">
        <v>6092</v>
      </c>
      <c r="I4459" s="626" t="s">
        <v>3567</v>
      </c>
      <c r="J4459" s="638" t="s">
        <v>6092</v>
      </c>
      <c r="K4459" s="719">
        <v>1</v>
      </c>
      <c r="L4459" s="719">
        <v>3</v>
      </c>
      <c r="M4459" s="740">
        <v>18000</v>
      </c>
      <c r="N4459" s="719">
        <v>1</v>
      </c>
      <c r="O4459" s="719">
        <v>3</v>
      </c>
      <c r="P4459" s="651">
        <v>18000</v>
      </c>
    </row>
    <row r="4460" spans="1:16" s="619" customFormat="1" ht="36" x14ac:dyDescent="0.2">
      <c r="A4460" s="625" t="s">
        <v>9036</v>
      </c>
      <c r="B4460" s="640" t="s">
        <v>1908</v>
      </c>
      <c r="C4460" s="638" t="s">
        <v>104</v>
      </c>
      <c r="D4460" s="626" t="s">
        <v>9051</v>
      </c>
      <c r="E4460" s="636">
        <v>2000</v>
      </c>
      <c r="F4460" s="637">
        <v>71739690</v>
      </c>
      <c r="G4460" s="626" t="s">
        <v>9113</v>
      </c>
      <c r="H4460" s="626" t="s">
        <v>6092</v>
      </c>
      <c r="I4460" s="626" t="s">
        <v>3567</v>
      </c>
      <c r="J4460" s="638" t="s">
        <v>6092</v>
      </c>
      <c r="K4460" s="719">
        <v>1</v>
      </c>
      <c r="L4460" s="719">
        <v>3</v>
      </c>
      <c r="M4460" s="740">
        <v>6000</v>
      </c>
      <c r="N4460" s="719">
        <v>1</v>
      </c>
      <c r="O4460" s="719">
        <v>6</v>
      </c>
      <c r="P4460" s="651">
        <v>12000</v>
      </c>
    </row>
    <row r="4461" spans="1:16" s="619" customFormat="1" ht="36" x14ac:dyDescent="0.2">
      <c r="A4461" s="625" t="s">
        <v>9036</v>
      </c>
      <c r="B4461" s="640" t="s">
        <v>1908</v>
      </c>
      <c r="C4461" s="638" t="s">
        <v>104</v>
      </c>
      <c r="D4461" s="626" t="s">
        <v>9051</v>
      </c>
      <c r="E4461" s="636">
        <v>3000</v>
      </c>
      <c r="F4461" s="637">
        <v>45664126</v>
      </c>
      <c r="G4461" s="626" t="s">
        <v>9114</v>
      </c>
      <c r="H4461" s="626" t="s">
        <v>6092</v>
      </c>
      <c r="I4461" s="626" t="s">
        <v>3567</v>
      </c>
      <c r="J4461" s="638" t="s">
        <v>6092</v>
      </c>
      <c r="K4461" s="719">
        <v>1</v>
      </c>
      <c r="L4461" s="719">
        <v>3</v>
      </c>
      <c r="M4461" s="740">
        <v>9000</v>
      </c>
      <c r="N4461" s="719">
        <v>1</v>
      </c>
      <c r="O4461" s="719">
        <v>6</v>
      </c>
      <c r="P4461" s="651">
        <v>18000</v>
      </c>
    </row>
    <row r="4462" spans="1:16" s="619" customFormat="1" ht="24" x14ac:dyDescent="0.2">
      <c r="A4462" s="625" t="s">
        <v>9036</v>
      </c>
      <c r="B4462" s="640" t="s">
        <v>1908</v>
      </c>
      <c r="C4462" s="638" t="s">
        <v>104</v>
      </c>
      <c r="D4462" s="626" t="s">
        <v>9051</v>
      </c>
      <c r="E4462" s="636">
        <v>3000</v>
      </c>
      <c r="F4462" s="637" t="s">
        <v>7424</v>
      </c>
      <c r="G4462" s="626" t="s">
        <v>7425</v>
      </c>
      <c r="H4462" s="626" t="s">
        <v>6092</v>
      </c>
      <c r="I4462" s="626" t="s">
        <v>3567</v>
      </c>
      <c r="J4462" s="638" t="s">
        <v>6092</v>
      </c>
      <c r="K4462" s="719">
        <v>1</v>
      </c>
      <c r="L4462" s="719">
        <v>3</v>
      </c>
      <c r="M4462" s="740">
        <v>9000</v>
      </c>
      <c r="N4462" s="719">
        <v>0</v>
      </c>
      <c r="O4462" s="719">
        <v>0</v>
      </c>
      <c r="P4462" s="651">
        <v>0</v>
      </c>
    </row>
    <row r="4463" spans="1:16" s="619" customFormat="1" ht="36" x14ac:dyDescent="0.2">
      <c r="A4463" s="625" t="s">
        <v>9036</v>
      </c>
      <c r="B4463" s="640" t="s">
        <v>1908</v>
      </c>
      <c r="C4463" s="638" t="s">
        <v>104</v>
      </c>
      <c r="D4463" s="626" t="s">
        <v>9051</v>
      </c>
      <c r="E4463" s="636">
        <v>6000</v>
      </c>
      <c r="F4463" s="637" t="s">
        <v>9115</v>
      </c>
      <c r="G4463" s="626" t="s">
        <v>9116</v>
      </c>
      <c r="H4463" s="626" t="s">
        <v>6092</v>
      </c>
      <c r="I4463" s="626" t="s">
        <v>3567</v>
      </c>
      <c r="J4463" s="638" t="s">
        <v>6092</v>
      </c>
      <c r="K4463" s="719">
        <v>1</v>
      </c>
      <c r="L4463" s="719">
        <v>3</v>
      </c>
      <c r="M4463" s="740">
        <v>18000</v>
      </c>
      <c r="N4463" s="719">
        <v>1</v>
      </c>
      <c r="O4463" s="719">
        <v>6</v>
      </c>
      <c r="P4463" s="651">
        <v>36000</v>
      </c>
    </row>
    <row r="4464" spans="1:16" s="619" customFormat="1" ht="36" x14ac:dyDescent="0.2">
      <c r="A4464" s="625" t="s">
        <v>9036</v>
      </c>
      <c r="B4464" s="640" t="s">
        <v>1908</v>
      </c>
      <c r="C4464" s="638" t="s">
        <v>104</v>
      </c>
      <c r="D4464" s="626" t="s">
        <v>9051</v>
      </c>
      <c r="E4464" s="636">
        <v>6000</v>
      </c>
      <c r="F4464" s="637" t="s">
        <v>9117</v>
      </c>
      <c r="G4464" s="626" t="s">
        <v>9118</v>
      </c>
      <c r="H4464" s="626" t="s">
        <v>6092</v>
      </c>
      <c r="I4464" s="626" t="s">
        <v>3567</v>
      </c>
      <c r="J4464" s="638" t="s">
        <v>6092</v>
      </c>
      <c r="K4464" s="719">
        <v>1</v>
      </c>
      <c r="L4464" s="719">
        <v>3</v>
      </c>
      <c r="M4464" s="740">
        <v>18000</v>
      </c>
      <c r="N4464" s="719">
        <v>1</v>
      </c>
      <c r="O4464" s="719">
        <v>6</v>
      </c>
      <c r="P4464" s="651">
        <v>36000</v>
      </c>
    </row>
    <row r="4465" spans="1:16" s="619" customFormat="1" ht="48" x14ac:dyDescent="0.2">
      <c r="A4465" s="625" t="s">
        <v>9036</v>
      </c>
      <c r="B4465" s="640" t="s">
        <v>1908</v>
      </c>
      <c r="C4465" s="638" t="s">
        <v>104</v>
      </c>
      <c r="D4465" s="626" t="s">
        <v>9051</v>
      </c>
      <c r="E4465" s="636">
        <v>6000</v>
      </c>
      <c r="F4465" s="637" t="s">
        <v>9119</v>
      </c>
      <c r="G4465" s="626" t="s">
        <v>9120</v>
      </c>
      <c r="H4465" s="626" t="s">
        <v>6092</v>
      </c>
      <c r="I4465" s="626" t="s">
        <v>3567</v>
      </c>
      <c r="J4465" s="638" t="s">
        <v>6092</v>
      </c>
      <c r="K4465" s="719">
        <v>1</v>
      </c>
      <c r="L4465" s="719">
        <v>3</v>
      </c>
      <c r="M4465" s="740">
        <v>18000</v>
      </c>
      <c r="N4465" s="719">
        <v>1</v>
      </c>
      <c r="O4465" s="719">
        <v>6</v>
      </c>
      <c r="P4465" s="651">
        <v>36000</v>
      </c>
    </row>
    <row r="4466" spans="1:16" s="619" customFormat="1" ht="48" x14ac:dyDescent="0.2">
      <c r="A4466" s="625" t="s">
        <v>9036</v>
      </c>
      <c r="B4466" s="640" t="s">
        <v>1908</v>
      </c>
      <c r="C4466" s="638" t="s">
        <v>104</v>
      </c>
      <c r="D4466" s="626" t="s">
        <v>9051</v>
      </c>
      <c r="E4466" s="636">
        <v>3000</v>
      </c>
      <c r="F4466" s="637" t="s">
        <v>9121</v>
      </c>
      <c r="G4466" s="626" t="s">
        <v>9122</v>
      </c>
      <c r="H4466" s="626" t="s">
        <v>6092</v>
      </c>
      <c r="I4466" s="626" t="s">
        <v>3567</v>
      </c>
      <c r="J4466" s="638" t="s">
        <v>6092</v>
      </c>
      <c r="K4466" s="719">
        <v>1</v>
      </c>
      <c r="L4466" s="719">
        <v>3</v>
      </c>
      <c r="M4466" s="740">
        <v>9000</v>
      </c>
      <c r="N4466" s="719">
        <v>1</v>
      </c>
      <c r="O4466" s="719">
        <v>6</v>
      </c>
      <c r="P4466" s="651">
        <v>18000</v>
      </c>
    </row>
    <row r="4467" spans="1:16" s="619" customFormat="1" ht="36" x14ac:dyDescent="0.2">
      <c r="A4467" s="625" t="s">
        <v>9036</v>
      </c>
      <c r="B4467" s="640" t="s">
        <v>1908</v>
      </c>
      <c r="C4467" s="638" t="s">
        <v>104</v>
      </c>
      <c r="D4467" s="626" t="s">
        <v>9051</v>
      </c>
      <c r="E4467" s="636">
        <v>3000</v>
      </c>
      <c r="F4467" s="637" t="s">
        <v>9123</v>
      </c>
      <c r="G4467" s="626" t="s">
        <v>9124</v>
      </c>
      <c r="H4467" s="626" t="s">
        <v>6092</v>
      </c>
      <c r="I4467" s="626" t="s">
        <v>3567</v>
      </c>
      <c r="J4467" s="638" t="s">
        <v>6092</v>
      </c>
      <c r="K4467" s="719">
        <v>1</v>
      </c>
      <c r="L4467" s="719">
        <v>3</v>
      </c>
      <c r="M4467" s="740">
        <v>9000</v>
      </c>
      <c r="N4467" s="719">
        <v>1</v>
      </c>
      <c r="O4467" s="719">
        <v>6</v>
      </c>
      <c r="P4467" s="651">
        <v>18000</v>
      </c>
    </row>
    <row r="4468" spans="1:16" s="619" customFormat="1" ht="48" x14ac:dyDescent="0.2">
      <c r="A4468" s="625" t="s">
        <v>9036</v>
      </c>
      <c r="B4468" s="640" t="s">
        <v>1908</v>
      </c>
      <c r="C4468" s="638" t="s">
        <v>104</v>
      </c>
      <c r="D4468" s="626" t="s">
        <v>9051</v>
      </c>
      <c r="E4468" s="636">
        <v>6000</v>
      </c>
      <c r="F4468" s="637" t="s">
        <v>9125</v>
      </c>
      <c r="G4468" s="626" t="s">
        <v>9126</v>
      </c>
      <c r="H4468" s="626" t="s">
        <v>6092</v>
      </c>
      <c r="I4468" s="626" t="s">
        <v>3567</v>
      </c>
      <c r="J4468" s="638" t="s">
        <v>6092</v>
      </c>
      <c r="K4468" s="719">
        <v>1</v>
      </c>
      <c r="L4468" s="719">
        <v>3</v>
      </c>
      <c r="M4468" s="740">
        <v>18000</v>
      </c>
      <c r="N4468" s="719">
        <v>1</v>
      </c>
      <c r="O4468" s="719">
        <v>6</v>
      </c>
      <c r="P4468" s="651">
        <v>36000</v>
      </c>
    </row>
    <row r="4469" spans="1:16" s="619" customFormat="1" ht="48" x14ac:dyDescent="0.2">
      <c r="A4469" s="625" t="s">
        <v>9036</v>
      </c>
      <c r="B4469" s="640" t="s">
        <v>1908</v>
      </c>
      <c r="C4469" s="638" t="s">
        <v>104</v>
      </c>
      <c r="D4469" s="626" t="s">
        <v>9051</v>
      </c>
      <c r="E4469" s="636">
        <v>6000</v>
      </c>
      <c r="F4469" s="637">
        <v>76181493</v>
      </c>
      <c r="G4469" s="626" t="s">
        <v>9127</v>
      </c>
      <c r="H4469" s="626" t="s">
        <v>6092</v>
      </c>
      <c r="I4469" s="626" t="s">
        <v>3567</v>
      </c>
      <c r="J4469" s="638" t="s">
        <v>6092</v>
      </c>
      <c r="K4469" s="719">
        <v>1</v>
      </c>
      <c r="L4469" s="719">
        <v>3</v>
      </c>
      <c r="M4469" s="740">
        <v>18000</v>
      </c>
      <c r="N4469" s="719">
        <v>1</v>
      </c>
      <c r="O4469" s="719">
        <v>6</v>
      </c>
      <c r="P4469" s="651">
        <v>36000</v>
      </c>
    </row>
    <row r="4470" spans="1:16" s="619" customFormat="1" ht="36" x14ac:dyDescent="0.2">
      <c r="A4470" s="625" t="s">
        <v>9036</v>
      </c>
      <c r="B4470" s="640" t="s">
        <v>1908</v>
      </c>
      <c r="C4470" s="638" t="s">
        <v>104</v>
      </c>
      <c r="D4470" s="626" t="s">
        <v>9051</v>
      </c>
      <c r="E4470" s="636">
        <v>3000</v>
      </c>
      <c r="F4470" s="637" t="s">
        <v>9128</v>
      </c>
      <c r="G4470" s="626" t="s">
        <v>9129</v>
      </c>
      <c r="H4470" s="626" t="s">
        <v>6092</v>
      </c>
      <c r="I4470" s="626" t="s">
        <v>3567</v>
      </c>
      <c r="J4470" s="638" t="s">
        <v>6092</v>
      </c>
      <c r="K4470" s="719">
        <v>1</v>
      </c>
      <c r="L4470" s="719">
        <v>3</v>
      </c>
      <c r="M4470" s="740">
        <v>9000</v>
      </c>
      <c r="N4470" s="719">
        <v>1</v>
      </c>
      <c r="O4470" s="719">
        <v>6</v>
      </c>
      <c r="P4470" s="651">
        <v>18000</v>
      </c>
    </row>
    <row r="4471" spans="1:16" s="619" customFormat="1" ht="36" x14ac:dyDescent="0.2">
      <c r="A4471" s="625" t="s">
        <v>9036</v>
      </c>
      <c r="B4471" s="640" t="s">
        <v>1908</v>
      </c>
      <c r="C4471" s="638" t="s">
        <v>104</v>
      </c>
      <c r="D4471" s="626" t="s">
        <v>9051</v>
      </c>
      <c r="E4471" s="636">
        <v>6000</v>
      </c>
      <c r="F4471" s="637" t="s">
        <v>9130</v>
      </c>
      <c r="G4471" s="626" t="s">
        <v>9131</v>
      </c>
      <c r="H4471" s="626" t="s">
        <v>6092</v>
      </c>
      <c r="I4471" s="626" t="s">
        <v>3567</v>
      </c>
      <c r="J4471" s="638" t="s">
        <v>6092</v>
      </c>
      <c r="K4471" s="719">
        <v>1</v>
      </c>
      <c r="L4471" s="719">
        <v>3</v>
      </c>
      <c r="M4471" s="740">
        <v>18000</v>
      </c>
      <c r="N4471" s="719">
        <v>1</v>
      </c>
      <c r="O4471" s="719">
        <v>6</v>
      </c>
      <c r="P4471" s="651">
        <v>36000</v>
      </c>
    </row>
    <row r="4472" spans="1:16" s="619" customFormat="1" ht="24" x14ac:dyDescent="0.2">
      <c r="A4472" s="625" t="s">
        <v>9036</v>
      </c>
      <c r="B4472" s="640" t="s">
        <v>1908</v>
      </c>
      <c r="C4472" s="638" t="s">
        <v>104</v>
      </c>
      <c r="D4472" s="626" t="s">
        <v>9051</v>
      </c>
      <c r="E4472" s="636">
        <v>4400</v>
      </c>
      <c r="F4472" s="637" t="s">
        <v>9132</v>
      </c>
      <c r="G4472" s="626" t="s">
        <v>9133</v>
      </c>
      <c r="H4472" s="626" t="s">
        <v>6092</v>
      </c>
      <c r="I4472" s="626" t="s">
        <v>3567</v>
      </c>
      <c r="J4472" s="638" t="s">
        <v>6092</v>
      </c>
      <c r="K4472" s="719">
        <v>1</v>
      </c>
      <c r="L4472" s="719">
        <v>1</v>
      </c>
      <c r="M4472" s="740">
        <v>4400</v>
      </c>
      <c r="N4472" s="719">
        <v>1</v>
      </c>
      <c r="O4472" s="719">
        <v>6</v>
      </c>
      <c r="P4472" s="651">
        <v>26400</v>
      </c>
    </row>
    <row r="4473" spans="1:16" s="619" customFormat="1" ht="36" x14ac:dyDescent="0.2">
      <c r="A4473" s="625" t="s">
        <v>9036</v>
      </c>
      <c r="B4473" s="640" t="s">
        <v>1908</v>
      </c>
      <c r="C4473" s="638" t="s">
        <v>104</v>
      </c>
      <c r="D4473" s="626" t="s">
        <v>9051</v>
      </c>
      <c r="E4473" s="636">
        <v>6000</v>
      </c>
      <c r="F4473" s="637" t="s">
        <v>9134</v>
      </c>
      <c r="G4473" s="626" t="s">
        <v>9135</v>
      </c>
      <c r="H4473" s="626" t="s">
        <v>6092</v>
      </c>
      <c r="I4473" s="626" t="s">
        <v>3567</v>
      </c>
      <c r="J4473" s="638" t="s">
        <v>6092</v>
      </c>
      <c r="K4473" s="719">
        <v>1</v>
      </c>
      <c r="L4473" s="719">
        <v>3</v>
      </c>
      <c r="M4473" s="740">
        <v>18000</v>
      </c>
      <c r="N4473" s="719">
        <v>1</v>
      </c>
      <c r="O4473" s="719">
        <v>6</v>
      </c>
      <c r="P4473" s="651">
        <v>36000</v>
      </c>
    </row>
    <row r="4474" spans="1:16" s="619" customFormat="1" ht="36" x14ac:dyDescent="0.2">
      <c r="A4474" s="625" t="s">
        <v>9036</v>
      </c>
      <c r="B4474" s="640" t="s">
        <v>1908</v>
      </c>
      <c r="C4474" s="638" t="s">
        <v>104</v>
      </c>
      <c r="D4474" s="626" t="s">
        <v>9051</v>
      </c>
      <c r="E4474" s="636">
        <v>2000</v>
      </c>
      <c r="F4474" s="637" t="s">
        <v>9136</v>
      </c>
      <c r="G4474" s="626" t="s">
        <v>9137</v>
      </c>
      <c r="H4474" s="626" t="s">
        <v>6092</v>
      </c>
      <c r="I4474" s="626" t="s">
        <v>3567</v>
      </c>
      <c r="J4474" s="638" t="s">
        <v>6092</v>
      </c>
      <c r="K4474" s="719">
        <v>0</v>
      </c>
      <c r="L4474" s="719">
        <v>0</v>
      </c>
      <c r="M4474" s="740">
        <v>0</v>
      </c>
      <c r="N4474" s="719">
        <v>1</v>
      </c>
      <c r="O4474" s="719">
        <v>6</v>
      </c>
      <c r="P4474" s="651">
        <v>12000</v>
      </c>
    </row>
    <row r="4475" spans="1:16" s="619" customFormat="1" ht="36" x14ac:dyDescent="0.2">
      <c r="A4475" s="625" t="s">
        <v>9036</v>
      </c>
      <c r="B4475" s="640" t="s">
        <v>1908</v>
      </c>
      <c r="C4475" s="638" t="s">
        <v>104</v>
      </c>
      <c r="D4475" s="626" t="s">
        <v>9051</v>
      </c>
      <c r="E4475" s="636">
        <v>4000</v>
      </c>
      <c r="F4475" s="637" t="s">
        <v>7717</v>
      </c>
      <c r="G4475" s="626" t="s">
        <v>7718</v>
      </c>
      <c r="H4475" s="626" t="s">
        <v>6092</v>
      </c>
      <c r="I4475" s="626" t="s">
        <v>3567</v>
      </c>
      <c r="J4475" s="638" t="s">
        <v>6092</v>
      </c>
      <c r="K4475" s="719">
        <v>0</v>
      </c>
      <c r="L4475" s="719">
        <v>0</v>
      </c>
      <c r="M4475" s="740">
        <v>0</v>
      </c>
      <c r="N4475" s="719">
        <v>1</v>
      </c>
      <c r="O4475" s="719">
        <v>6</v>
      </c>
      <c r="P4475" s="651">
        <v>24000</v>
      </c>
    </row>
    <row r="4476" spans="1:16" s="619" customFormat="1" ht="24" x14ac:dyDescent="0.2">
      <c r="A4476" s="625" t="s">
        <v>9036</v>
      </c>
      <c r="B4476" s="640" t="s">
        <v>1908</v>
      </c>
      <c r="C4476" s="638" t="s">
        <v>104</v>
      </c>
      <c r="D4476" s="626" t="s">
        <v>9051</v>
      </c>
      <c r="E4476" s="636">
        <v>2000</v>
      </c>
      <c r="F4476" s="637" t="s">
        <v>9138</v>
      </c>
      <c r="G4476" s="626" t="s">
        <v>9139</v>
      </c>
      <c r="H4476" s="626" t="s">
        <v>6092</v>
      </c>
      <c r="I4476" s="626" t="s">
        <v>3567</v>
      </c>
      <c r="J4476" s="638" t="s">
        <v>6092</v>
      </c>
      <c r="K4476" s="719">
        <v>0</v>
      </c>
      <c r="L4476" s="719">
        <v>0</v>
      </c>
      <c r="M4476" s="740">
        <v>0</v>
      </c>
      <c r="N4476" s="719">
        <v>1</v>
      </c>
      <c r="O4476" s="719">
        <v>6</v>
      </c>
      <c r="P4476" s="651">
        <v>12000</v>
      </c>
    </row>
    <row r="4477" spans="1:16" s="619" customFormat="1" ht="36" x14ac:dyDescent="0.2">
      <c r="A4477" s="625" t="s">
        <v>9036</v>
      </c>
      <c r="B4477" s="640" t="s">
        <v>1908</v>
      </c>
      <c r="C4477" s="638" t="s">
        <v>104</v>
      </c>
      <c r="D4477" s="626" t="s">
        <v>9051</v>
      </c>
      <c r="E4477" s="636">
        <v>4000</v>
      </c>
      <c r="F4477" s="637" t="s">
        <v>9140</v>
      </c>
      <c r="G4477" s="626" t="s">
        <v>9141</v>
      </c>
      <c r="H4477" s="626" t="s">
        <v>6092</v>
      </c>
      <c r="I4477" s="626" t="s">
        <v>3567</v>
      </c>
      <c r="J4477" s="638" t="s">
        <v>6092</v>
      </c>
      <c r="K4477" s="719">
        <v>0</v>
      </c>
      <c r="L4477" s="719">
        <v>0</v>
      </c>
      <c r="M4477" s="740">
        <v>0</v>
      </c>
      <c r="N4477" s="719">
        <v>1</v>
      </c>
      <c r="O4477" s="719">
        <v>6</v>
      </c>
      <c r="P4477" s="651">
        <v>24000</v>
      </c>
    </row>
    <row r="4478" spans="1:16" s="619" customFormat="1" ht="48" x14ac:dyDescent="0.2">
      <c r="A4478" s="625" t="s">
        <v>9036</v>
      </c>
      <c r="B4478" s="640" t="s">
        <v>1908</v>
      </c>
      <c r="C4478" s="638" t="s">
        <v>104</v>
      </c>
      <c r="D4478" s="626" t="s">
        <v>9051</v>
      </c>
      <c r="E4478" s="636">
        <v>4000</v>
      </c>
      <c r="F4478" s="637" t="s">
        <v>9142</v>
      </c>
      <c r="G4478" s="626" t="s">
        <v>9143</v>
      </c>
      <c r="H4478" s="626" t="s">
        <v>6092</v>
      </c>
      <c r="I4478" s="626" t="s">
        <v>3567</v>
      </c>
      <c r="J4478" s="638" t="s">
        <v>6092</v>
      </c>
      <c r="K4478" s="719">
        <v>0</v>
      </c>
      <c r="L4478" s="719">
        <v>0</v>
      </c>
      <c r="M4478" s="740">
        <v>0</v>
      </c>
      <c r="N4478" s="719">
        <v>1</v>
      </c>
      <c r="O4478" s="719">
        <v>6</v>
      </c>
      <c r="P4478" s="651">
        <v>24000</v>
      </c>
    </row>
    <row r="4479" spans="1:16" s="619" customFormat="1" ht="24" x14ac:dyDescent="0.2">
      <c r="A4479" s="625" t="s">
        <v>9036</v>
      </c>
      <c r="B4479" s="640" t="s">
        <v>1908</v>
      </c>
      <c r="C4479" s="638" t="s">
        <v>104</v>
      </c>
      <c r="D4479" s="626" t="s">
        <v>9051</v>
      </c>
      <c r="E4479" s="636">
        <v>4000</v>
      </c>
      <c r="F4479" s="637" t="s">
        <v>9144</v>
      </c>
      <c r="G4479" s="626" t="s">
        <v>9145</v>
      </c>
      <c r="H4479" s="626" t="s">
        <v>6092</v>
      </c>
      <c r="I4479" s="626" t="s">
        <v>3567</v>
      </c>
      <c r="J4479" s="638" t="s">
        <v>6092</v>
      </c>
      <c r="K4479" s="719">
        <v>0</v>
      </c>
      <c r="L4479" s="719">
        <v>0</v>
      </c>
      <c r="M4479" s="740">
        <v>0</v>
      </c>
      <c r="N4479" s="719">
        <v>1</v>
      </c>
      <c r="O4479" s="719">
        <v>6</v>
      </c>
      <c r="P4479" s="651">
        <v>24000</v>
      </c>
    </row>
    <row r="4480" spans="1:16" s="619" customFormat="1" ht="36" x14ac:dyDescent="0.2">
      <c r="A4480" s="625" t="s">
        <v>9036</v>
      </c>
      <c r="B4480" s="640" t="s">
        <v>1908</v>
      </c>
      <c r="C4480" s="638" t="s">
        <v>104</v>
      </c>
      <c r="D4480" s="626" t="s">
        <v>9051</v>
      </c>
      <c r="E4480" s="636">
        <v>4000</v>
      </c>
      <c r="F4480" s="637" t="s">
        <v>9146</v>
      </c>
      <c r="G4480" s="626" t="s">
        <v>9114</v>
      </c>
      <c r="H4480" s="626" t="s">
        <v>6092</v>
      </c>
      <c r="I4480" s="626" t="s">
        <v>3567</v>
      </c>
      <c r="J4480" s="638" t="s">
        <v>6092</v>
      </c>
      <c r="K4480" s="719">
        <v>0</v>
      </c>
      <c r="L4480" s="719">
        <v>0</v>
      </c>
      <c r="M4480" s="740">
        <v>0</v>
      </c>
      <c r="N4480" s="719">
        <v>1</v>
      </c>
      <c r="O4480" s="719">
        <v>6</v>
      </c>
      <c r="P4480" s="651">
        <v>24000</v>
      </c>
    </row>
    <row r="4481" spans="1:16" s="619" customFormat="1" ht="48" x14ac:dyDescent="0.2">
      <c r="A4481" s="625" t="s">
        <v>9036</v>
      </c>
      <c r="B4481" s="640" t="s">
        <v>1908</v>
      </c>
      <c r="C4481" s="638" t="s">
        <v>104</v>
      </c>
      <c r="D4481" s="626" t="s">
        <v>9051</v>
      </c>
      <c r="E4481" s="636">
        <v>4000</v>
      </c>
      <c r="F4481" s="637" t="s">
        <v>9147</v>
      </c>
      <c r="G4481" s="626" t="s">
        <v>9148</v>
      </c>
      <c r="H4481" s="626" t="s">
        <v>6092</v>
      </c>
      <c r="I4481" s="626" t="s">
        <v>3567</v>
      </c>
      <c r="J4481" s="638" t="s">
        <v>6092</v>
      </c>
      <c r="K4481" s="719">
        <v>0</v>
      </c>
      <c r="L4481" s="719">
        <v>0</v>
      </c>
      <c r="M4481" s="740">
        <v>0</v>
      </c>
      <c r="N4481" s="719">
        <v>1</v>
      </c>
      <c r="O4481" s="719">
        <v>6</v>
      </c>
      <c r="P4481" s="651">
        <v>24000</v>
      </c>
    </row>
    <row r="4482" spans="1:16" s="619" customFormat="1" ht="36" x14ac:dyDescent="0.2">
      <c r="A4482" s="625" t="s">
        <v>9036</v>
      </c>
      <c r="B4482" s="640" t="s">
        <v>1908</v>
      </c>
      <c r="C4482" s="638" t="s">
        <v>104</v>
      </c>
      <c r="D4482" s="626" t="s">
        <v>9051</v>
      </c>
      <c r="E4482" s="636">
        <v>4000</v>
      </c>
      <c r="F4482" s="637" t="s">
        <v>9149</v>
      </c>
      <c r="G4482" s="626" t="s">
        <v>9150</v>
      </c>
      <c r="H4482" s="626" t="s">
        <v>6092</v>
      </c>
      <c r="I4482" s="626" t="s">
        <v>3567</v>
      </c>
      <c r="J4482" s="638" t="s">
        <v>6092</v>
      </c>
      <c r="K4482" s="719">
        <v>0</v>
      </c>
      <c r="L4482" s="719">
        <v>0</v>
      </c>
      <c r="M4482" s="740">
        <v>0</v>
      </c>
      <c r="N4482" s="719">
        <v>1</v>
      </c>
      <c r="O4482" s="719">
        <v>6</v>
      </c>
      <c r="P4482" s="651">
        <v>24000</v>
      </c>
    </row>
    <row r="4483" spans="1:16" s="619" customFormat="1" ht="36" x14ac:dyDescent="0.2">
      <c r="A4483" s="625" t="s">
        <v>9036</v>
      </c>
      <c r="B4483" s="640" t="s">
        <v>1908</v>
      </c>
      <c r="C4483" s="638" t="s">
        <v>104</v>
      </c>
      <c r="D4483" s="626" t="s">
        <v>9051</v>
      </c>
      <c r="E4483" s="636">
        <v>4000</v>
      </c>
      <c r="F4483" s="637" t="s">
        <v>9151</v>
      </c>
      <c r="G4483" s="626" t="s">
        <v>9152</v>
      </c>
      <c r="H4483" s="626" t="s">
        <v>6092</v>
      </c>
      <c r="I4483" s="626" t="s">
        <v>3567</v>
      </c>
      <c r="J4483" s="638" t="s">
        <v>6092</v>
      </c>
      <c r="K4483" s="719">
        <v>0</v>
      </c>
      <c r="L4483" s="719">
        <v>0</v>
      </c>
      <c r="M4483" s="740">
        <v>0</v>
      </c>
      <c r="N4483" s="719">
        <v>1</v>
      </c>
      <c r="O4483" s="719">
        <v>6</v>
      </c>
      <c r="P4483" s="651">
        <v>24000</v>
      </c>
    </row>
    <row r="4484" spans="1:16" s="619" customFormat="1" ht="36" x14ac:dyDescent="0.2">
      <c r="A4484" s="625" t="s">
        <v>9036</v>
      </c>
      <c r="B4484" s="640" t="s">
        <v>1908</v>
      </c>
      <c r="C4484" s="638" t="s">
        <v>104</v>
      </c>
      <c r="D4484" s="626" t="s">
        <v>9051</v>
      </c>
      <c r="E4484" s="636">
        <v>4000</v>
      </c>
      <c r="F4484" s="637" t="s">
        <v>9153</v>
      </c>
      <c r="G4484" s="626" t="s">
        <v>9154</v>
      </c>
      <c r="H4484" s="626" t="s">
        <v>6092</v>
      </c>
      <c r="I4484" s="626" t="s">
        <v>3567</v>
      </c>
      <c r="J4484" s="638" t="s">
        <v>6092</v>
      </c>
      <c r="K4484" s="719">
        <v>0</v>
      </c>
      <c r="L4484" s="719">
        <v>0</v>
      </c>
      <c r="M4484" s="740">
        <v>0</v>
      </c>
      <c r="N4484" s="719">
        <v>1</v>
      </c>
      <c r="O4484" s="719">
        <v>6</v>
      </c>
      <c r="P4484" s="651">
        <v>24000</v>
      </c>
    </row>
    <row r="4485" spans="1:16" s="619" customFormat="1" ht="24" x14ac:dyDescent="0.2">
      <c r="A4485" s="625" t="s">
        <v>9036</v>
      </c>
      <c r="B4485" s="640" t="s">
        <v>1908</v>
      </c>
      <c r="C4485" s="638" t="s">
        <v>104</v>
      </c>
      <c r="D4485" s="626" t="s">
        <v>9051</v>
      </c>
      <c r="E4485" s="636">
        <v>4000</v>
      </c>
      <c r="F4485" s="637" t="s">
        <v>9155</v>
      </c>
      <c r="G4485" s="626" t="s">
        <v>9156</v>
      </c>
      <c r="H4485" s="626" t="s">
        <v>6092</v>
      </c>
      <c r="I4485" s="626" t="s">
        <v>3567</v>
      </c>
      <c r="J4485" s="638" t="s">
        <v>6092</v>
      </c>
      <c r="K4485" s="719">
        <v>0</v>
      </c>
      <c r="L4485" s="719">
        <v>0</v>
      </c>
      <c r="M4485" s="740">
        <v>0</v>
      </c>
      <c r="N4485" s="719">
        <v>1</v>
      </c>
      <c r="O4485" s="719">
        <v>6</v>
      </c>
      <c r="P4485" s="651">
        <v>24000</v>
      </c>
    </row>
    <row r="4486" spans="1:16" s="619" customFormat="1" ht="36" x14ac:dyDescent="0.2">
      <c r="A4486" s="625" t="s">
        <v>9036</v>
      </c>
      <c r="B4486" s="640" t="s">
        <v>1908</v>
      </c>
      <c r="C4486" s="638" t="s">
        <v>104</v>
      </c>
      <c r="D4486" s="626" t="s">
        <v>9051</v>
      </c>
      <c r="E4486" s="636">
        <v>2000</v>
      </c>
      <c r="F4486" s="637" t="s">
        <v>9117</v>
      </c>
      <c r="G4486" s="626" t="s">
        <v>9118</v>
      </c>
      <c r="H4486" s="626" t="s">
        <v>6092</v>
      </c>
      <c r="I4486" s="626" t="s">
        <v>3567</v>
      </c>
      <c r="J4486" s="638" t="s">
        <v>6092</v>
      </c>
      <c r="K4486" s="719">
        <v>0</v>
      </c>
      <c r="L4486" s="719">
        <v>0</v>
      </c>
      <c r="M4486" s="740">
        <v>0</v>
      </c>
      <c r="N4486" s="719">
        <v>1</v>
      </c>
      <c r="O4486" s="719">
        <v>6</v>
      </c>
      <c r="P4486" s="651">
        <v>12000</v>
      </c>
    </row>
    <row r="4487" spans="1:16" s="619" customFormat="1" ht="36" x14ac:dyDescent="0.2">
      <c r="A4487" s="625" t="s">
        <v>9036</v>
      </c>
      <c r="B4487" s="640" t="s">
        <v>1908</v>
      </c>
      <c r="C4487" s="638" t="s">
        <v>104</v>
      </c>
      <c r="D4487" s="626" t="s">
        <v>9051</v>
      </c>
      <c r="E4487" s="636">
        <v>4000</v>
      </c>
      <c r="F4487" s="637" t="s">
        <v>9157</v>
      </c>
      <c r="G4487" s="626" t="s">
        <v>9158</v>
      </c>
      <c r="H4487" s="626" t="s">
        <v>6092</v>
      </c>
      <c r="I4487" s="626" t="s">
        <v>3567</v>
      </c>
      <c r="J4487" s="638" t="s">
        <v>6092</v>
      </c>
      <c r="K4487" s="719">
        <v>0</v>
      </c>
      <c r="L4487" s="719">
        <v>0</v>
      </c>
      <c r="M4487" s="740">
        <v>0</v>
      </c>
      <c r="N4487" s="719">
        <v>1</v>
      </c>
      <c r="O4487" s="719">
        <v>6</v>
      </c>
      <c r="P4487" s="651">
        <v>24000</v>
      </c>
    </row>
    <row r="4488" spans="1:16" s="619" customFormat="1" ht="36" x14ac:dyDescent="0.2">
      <c r="A4488" s="625" t="s">
        <v>9036</v>
      </c>
      <c r="B4488" s="640" t="s">
        <v>1908</v>
      </c>
      <c r="C4488" s="638" t="s">
        <v>104</v>
      </c>
      <c r="D4488" s="626" t="s">
        <v>9051</v>
      </c>
      <c r="E4488" s="636">
        <v>4000</v>
      </c>
      <c r="F4488" s="637" t="s">
        <v>9159</v>
      </c>
      <c r="G4488" s="626" t="s">
        <v>9160</v>
      </c>
      <c r="H4488" s="626" t="s">
        <v>6092</v>
      </c>
      <c r="I4488" s="626" t="s">
        <v>3567</v>
      </c>
      <c r="J4488" s="638" t="s">
        <v>6092</v>
      </c>
      <c r="K4488" s="719">
        <v>0</v>
      </c>
      <c r="L4488" s="719">
        <v>0</v>
      </c>
      <c r="M4488" s="740">
        <v>0</v>
      </c>
      <c r="N4488" s="719">
        <v>1</v>
      </c>
      <c r="O4488" s="719">
        <v>6</v>
      </c>
      <c r="P4488" s="651">
        <v>24000</v>
      </c>
    </row>
    <row r="4489" spans="1:16" s="619" customFormat="1" ht="36" x14ac:dyDescent="0.2">
      <c r="A4489" s="625" t="s">
        <v>9036</v>
      </c>
      <c r="B4489" s="640" t="s">
        <v>1908</v>
      </c>
      <c r="C4489" s="638" t="s">
        <v>104</v>
      </c>
      <c r="D4489" s="626" t="s">
        <v>9037</v>
      </c>
      <c r="E4489" s="636">
        <v>1500</v>
      </c>
      <c r="F4489" s="637" t="s">
        <v>9161</v>
      </c>
      <c r="G4489" s="626" t="s">
        <v>9162</v>
      </c>
      <c r="H4489" s="626" t="s">
        <v>2563</v>
      </c>
      <c r="I4489" s="626" t="s">
        <v>3567</v>
      </c>
      <c r="J4489" s="638" t="s">
        <v>2563</v>
      </c>
      <c r="K4489" s="719">
        <v>1</v>
      </c>
      <c r="L4489" s="719">
        <v>2</v>
      </c>
      <c r="M4489" s="740">
        <v>3000</v>
      </c>
      <c r="N4489" s="719">
        <v>1</v>
      </c>
      <c r="O4489" s="719">
        <v>6</v>
      </c>
      <c r="P4489" s="651">
        <v>9000</v>
      </c>
    </row>
    <row r="4490" spans="1:16" s="619" customFormat="1" ht="24" x14ac:dyDescent="0.2">
      <c r="A4490" s="625" t="s">
        <v>9036</v>
      </c>
      <c r="B4490" s="640" t="s">
        <v>1908</v>
      </c>
      <c r="C4490" s="638" t="s">
        <v>104</v>
      </c>
      <c r="D4490" s="626" t="s">
        <v>9037</v>
      </c>
      <c r="E4490" s="636">
        <v>2000</v>
      </c>
      <c r="F4490" s="637" t="s">
        <v>9163</v>
      </c>
      <c r="G4490" s="626" t="s">
        <v>9164</v>
      </c>
      <c r="H4490" s="626" t="s">
        <v>2563</v>
      </c>
      <c r="I4490" s="626" t="s">
        <v>3567</v>
      </c>
      <c r="J4490" s="638" t="s">
        <v>2563</v>
      </c>
      <c r="K4490" s="719">
        <v>3</v>
      </c>
      <c r="L4490" s="719">
        <v>12</v>
      </c>
      <c r="M4490" s="740">
        <v>24000</v>
      </c>
      <c r="N4490" s="719">
        <v>1</v>
      </c>
      <c r="O4490" s="719">
        <v>6</v>
      </c>
      <c r="P4490" s="651">
        <v>12000</v>
      </c>
    </row>
    <row r="4491" spans="1:16" s="619" customFormat="1" ht="36" x14ac:dyDescent="0.2">
      <c r="A4491" s="625" t="s">
        <v>9036</v>
      </c>
      <c r="B4491" s="640" t="s">
        <v>1908</v>
      </c>
      <c r="C4491" s="638" t="s">
        <v>104</v>
      </c>
      <c r="D4491" s="626" t="s">
        <v>9037</v>
      </c>
      <c r="E4491" s="636">
        <v>2000</v>
      </c>
      <c r="F4491" s="637" t="s">
        <v>9165</v>
      </c>
      <c r="G4491" s="626" t="s">
        <v>9166</v>
      </c>
      <c r="H4491" s="626" t="s">
        <v>2563</v>
      </c>
      <c r="I4491" s="626" t="s">
        <v>3567</v>
      </c>
      <c r="J4491" s="638" t="s">
        <v>2563</v>
      </c>
      <c r="K4491" s="719">
        <v>3</v>
      </c>
      <c r="L4491" s="719">
        <v>12</v>
      </c>
      <c r="M4491" s="740">
        <v>24000</v>
      </c>
      <c r="N4491" s="719">
        <v>1</v>
      </c>
      <c r="O4491" s="719">
        <v>6</v>
      </c>
      <c r="P4491" s="651">
        <v>12000</v>
      </c>
    </row>
    <row r="4492" spans="1:16" s="619" customFormat="1" ht="36" x14ac:dyDescent="0.2">
      <c r="A4492" s="625" t="s">
        <v>9036</v>
      </c>
      <c r="B4492" s="640" t="s">
        <v>1908</v>
      </c>
      <c r="C4492" s="638" t="s">
        <v>104</v>
      </c>
      <c r="D4492" s="626" t="s">
        <v>9037</v>
      </c>
      <c r="E4492" s="636">
        <v>1200</v>
      </c>
      <c r="F4492" s="637" t="s">
        <v>9167</v>
      </c>
      <c r="G4492" s="626" t="s">
        <v>9168</v>
      </c>
      <c r="H4492" s="626" t="s">
        <v>9169</v>
      </c>
      <c r="I4492" s="626" t="s">
        <v>3567</v>
      </c>
      <c r="J4492" s="638" t="s">
        <v>9169</v>
      </c>
      <c r="K4492" s="719">
        <v>2</v>
      </c>
      <c r="L4492" s="719">
        <v>5</v>
      </c>
      <c r="M4492" s="740">
        <v>6000</v>
      </c>
      <c r="N4492" s="719">
        <v>1</v>
      </c>
      <c r="O4492" s="719">
        <v>6</v>
      </c>
      <c r="P4492" s="651">
        <v>7200</v>
      </c>
    </row>
    <row r="4493" spans="1:16" s="619" customFormat="1" ht="36" x14ac:dyDescent="0.2">
      <c r="A4493" s="625" t="s">
        <v>9036</v>
      </c>
      <c r="B4493" s="640" t="s">
        <v>1908</v>
      </c>
      <c r="C4493" s="638" t="s">
        <v>104</v>
      </c>
      <c r="D4493" s="626" t="s">
        <v>9037</v>
      </c>
      <c r="E4493" s="636">
        <v>2000</v>
      </c>
      <c r="F4493" s="637" t="s">
        <v>9170</v>
      </c>
      <c r="G4493" s="626" t="s">
        <v>9171</v>
      </c>
      <c r="H4493" s="626" t="s">
        <v>3529</v>
      </c>
      <c r="I4493" s="626" t="s">
        <v>3567</v>
      </c>
      <c r="J4493" s="638" t="s">
        <v>3529</v>
      </c>
      <c r="K4493" s="719">
        <v>3</v>
      </c>
      <c r="L4493" s="719">
        <v>12</v>
      </c>
      <c r="M4493" s="740">
        <v>24000</v>
      </c>
      <c r="N4493" s="719">
        <v>1</v>
      </c>
      <c r="O4493" s="719">
        <v>6</v>
      </c>
      <c r="P4493" s="651">
        <v>12000</v>
      </c>
    </row>
    <row r="4494" spans="1:16" s="619" customFormat="1" ht="36" x14ac:dyDescent="0.2">
      <c r="A4494" s="625" t="s">
        <v>9036</v>
      </c>
      <c r="B4494" s="640" t="s">
        <v>1908</v>
      </c>
      <c r="C4494" s="638" t="s">
        <v>104</v>
      </c>
      <c r="D4494" s="626" t="s">
        <v>9051</v>
      </c>
      <c r="E4494" s="636">
        <v>4500</v>
      </c>
      <c r="F4494" s="637" t="s">
        <v>9172</v>
      </c>
      <c r="G4494" s="626" t="s">
        <v>9173</v>
      </c>
      <c r="H4494" s="626" t="s">
        <v>6179</v>
      </c>
      <c r="I4494" s="626" t="s">
        <v>3567</v>
      </c>
      <c r="J4494" s="638" t="s">
        <v>6179</v>
      </c>
      <c r="K4494" s="719">
        <v>3</v>
      </c>
      <c r="L4494" s="719">
        <v>12</v>
      </c>
      <c r="M4494" s="740">
        <v>54000</v>
      </c>
      <c r="N4494" s="719">
        <v>1</v>
      </c>
      <c r="O4494" s="719">
        <v>6</v>
      </c>
      <c r="P4494" s="651">
        <v>27000</v>
      </c>
    </row>
    <row r="4495" spans="1:16" s="619" customFormat="1" ht="36" x14ac:dyDescent="0.2">
      <c r="A4495" s="625" t="s">
        <v>9036</v>
      </c>
      <c r="B4495" s="640" t="s">
        <v>1908</v>
      </c>
      <c r="C4495" s="638" t="s">
        <v>104</v>
      </c>
      <c r="D4495" s="626" t="s">
        <v>9051</v>
      </c>
      <c r="E4495" s="636">
        <v>4500</v>
      </c>
      <c r="F4495" s="637" t="s">
        <v>9174</v>
      </c>
      <c r="G4495" s="626" t="s">
        <v>9175</v>
      </c>
      <c r="H4495" s="626" t="s">
        <v>6179</v>
      </c>
      <c r="I4495" s="626" t="s">
        <v>3567</v>
      </c>
      <c r="J4495" s="638" t="s">
        <v>6179</v>
      </c>
      <c r="K4495" s="719">
        <v>3</v>
      </c>
      <c r="L4495" s="719">
        <v>12</v>
      </c>
      <c r="M4495" s="740">
        <v>54000</v>
      </c>
      <c r="N4495" s="719">
        <v>2</v>
      </c>
      <c r="O4495" s="719">
        <v>6</v>
      </c>
      <c r="P4495" s="651">
        <v>27000</v>
      </c>
    </row>
    <row r="4496" spans="1:16" s="619" customFormat="1" ht="36" x14ac:dyDescent="0.2">
      <c r="A4496" s="625" t="s">
        <v>9036</v>
      </c>
      <c r="B4496" s="640" t="s">
        <v>1908</v>
      </c>
      <c r="C4496" s="638" t="s">
        <v>104</v>
      </c>
      <c r="D4496" s="626" t="s">
        <v>9051</v>
      </c>
      <c r="E4496" s="636">
        <v>4500</v>
      </c>
      <c r="F4496" s="637" t="s">
        <v>9176</v>
      </c>
      <c r="G4496" s="626" t="s">
        <v>9177</v>
      </c>
      <c r="H4496" s="626" t="s">
        <v>6179</v>
      </c>
      <c r="I4496" s="626" t="s">
        <v>3567</v>
      </c>
      <c r="J4496" s="638" t="s">
        <v>6179</v>
      </c>
      <c r="K4496" s="719">
        <v>3</v>
      </c>
      <c r="L4496" s="719">
        <v>12</v>
      </c>
      <c r="M4496" s="740">
        <v>54000</v>
      </c>
      <c r="N4496" s="719">
        <v>1</v>
      </c>
      <c r="O4496" s="719">
        <v>6</v>
      </c>
      <c r="P4496" s="651">
        <v>27000</v>
      </c>
    </row>
    <row r="4497" spans="1:16" s="619" customFormat="1" ht="36" x14ac:dyDescent="0.2">
      <c r="A4497" s="625" t="s">
        <v>9036</v>
      </c>
      <c r="B4497" s="640" t="s">
        <v>1908</v>
      </c>
      <c r="C4497" s="638" t="s">
        <v>104</v>
      </c>
      <c r="D4497" s="626" t="s">
        <v>9051</v>
      </c>
      <c r="E4497" s="636">
        <v>7000</v>
      </c>
      <c r="F4497" s="637" t="s">
        <v>9178</v>
      </c>
      <c r="G4497" s="626" t="s">
        <v>9179</v>
      </c>
      <c r="H4497" s="626" t="s">
        <v>6179</v>
      </c>
      <c r="I4497" s="626" t="s">
        <v>3567</v>
      </c>
      <c r="J4497" s="638" t="s">
        <v>6179</v>
      </c>
      <c r="K4497" s="719">
        <v>1</v>
      </c>
      <c r="L4497" s="719">
        <v>2</v>
      </c>
      <c r="M4497" s="740">
        <v>14000</v>
      </c>
      <c r="N4497" s="719">
        <v>1</v>
      </c>
      <c r="O4497" s="719">
        <v>6</v>
      </c>
      <c r="P4497" s="651">
        <v>42000</v>
      </c>
    </row>
    <row r="4498" spans="1:16" s="619" customFormat="1" ht="36" x14ac:dyDescent="0.2">
      <c r="A4498" s="625" t="s">
        <v>9036</v>
      </c>
      <c r="B4498" s="640" t="s">
        <v>1908</v>
      </c>
      <c r="C4498" s="638" t="s">
        <v>104</v>
      </c>
      <c r="D4498" s="626" t="s">
        <v>9051</v>
      </c>
      <c r="E4498" s="636">
        <v>9000</v>
      </c>
      <c r="F4498" s="637" t="s">
        <v>9180</v>
      </c>
      <c r="G4498" s="626" t="s">
        <v>9181</v>
      </c>
      <c r="H4498" s="626" t="s">
        <v>6179</v>
      </c>
      <c r="I4498" s="626" t="s">
        <v>3567</v>
      </c>
      <c r="J4498" s="638" t="s">
        <v>6179</v>
      </c>
      <c r="K4498" s="719">
        <v>1</v>
      </c>
      <c r="L4498" s="719">
        <v>3</v>
      </c>
      <c r="M4498" s="740">
        <v>27000</v>
      </c>
      <c r="N4498" s="719">
        <v>1</v>
      </c>
      <c r="O4498" s="719">
        <v>6</v>
      </c>
      <c r="P4498" s="651">
        <v>54000</v>
      </c>
    </row>
    <row r="4499" spans="1:16" s="619" customFormat="1" ht="36" x14ac:dyDescent="0.2">
      <c r="A4499" s="625" t="s">
        <v>9036</v>
      </c>
      <c r="B4499" s="640" t="s">
        <v>1908</v>
      </c>
      <c r="C4499" s="638" t="s">
        <v>104</v>
      </c>
      <c r="D4499" s="626" t="s">
        <v>9051</v>
      </c>
      <c r="E4499" s="636">
        <v>9000</v>
      </c>
      <c r="F4499" s="637" t="s">
        <v>9182</v>
      </c>
      <c r="G4499" s="626" t="s">
        <v>9183</v>
      </c>
      <c r="H4499" s="626" t="s">
        <v>6179</v>
      </c>
      <c r="I4499" s="626" t="s">
        <v>3567</v>
      </c>
      <c r="J4499" s="638" t="s">
        <v>6179</v>
      </c>
      <c r="K4499" s="719">
        <v>1</v>
      </c>
      <c r="L4499" s="719">
        <v>3</v>
      </c>
      <c r="M4499" s="740">
        <v>27000</v>
      </c>
      <c r="N4499" s="719">
        <v>1</v>
      </c>
      <c r="O4499" s="719">
        <v>6</v>
      </c>
      <c r="P4499" s="651">
        <v>54000</v>
      </c>
    </row>
    <row r="4500" spans="1:16" s="619" customFormat="1" ht="36" x14ac:dyDescent="0.2">
      <c r="A4500" s="625" t="s">
        <v>9036</v>
      </c>
      <c r="B4500" s="640" t="s">
        <v>1908</v>
      </c>
      <c r="C4500" s="638" t="s">
        <v>104</v>
      </c>
      <c r="D4500" s="626" t="s">
        <v>9051</v>
      </c>
      <c r="E4500" s="636">
        <v>9000</v>
      </c>
      <c r="F4500" s="637" t="s">
        <v>6927</v>
      </c>
      <c r="G4500" s="626" t="s">
        <v>6928</v>
      </c>
      <c r="H4500" s="626" t="s">
        <v>6179</v>
      </c>
      <c r="I4500" s="626" t="s">
        <v>3567</v>
      </c>
      <c r="J4500" s="638" t="s">
        <v>6179</v>
      </c>
      <c r="K4500" s="719">
        <v>1</v>
      </c>
      <c r="L4500" s="719">
        <v>3</v>
      </c>
      <c r="M4500" s="740">
        <v>27000</v>
      </c>
      <c r="N4500" s="719">
        <v>1</v>
      </c>
      <c r="O4500" s="719">
        <v>6</v>
      </c>
      <c r="P4500" s="651">
        <v>54000</v>
      </c>
    </row>
    <row r="4501" spans="1:16" s="619" customFormat="1" ht="48" x14ac:dyDescent="0.2">
      <c r="A4501" s="625" t="s">
        <v>9036</v>
      </c>
      <c r="B4501" s="640" t="s">
        <v>1908</v>
      </c>
      <c r="C4501" s="638" t="s">
        <v>104</v>
      </c>
      <c r="D4501" s="626" t="s">
        <v>9051</v>
      </c>
      <c r="E4501" s="636">
        <v>4500</v>
      </c>
      <c r="F4501" s="637" t="s">
        <v>9184</v>
      </c>
      <c r="G4501" s="626" t="s">
        <v>9185</v>
      </c>
      <c r="H4501" s="626" t="s">
        <v>6179</v>
      </c>
      <c r="I4501" s="626" t="s">
        <v>3567</v>
      </c>
      <c r="J4501" s="638" t="s">
        <v>6179</v>
      </c>
      <c r="K4501" s="719">
        <v>0</v>
      </c>
      <c r="L4501" s="719">
        <v>0</v>
      </c>
      <c r="M4501" s="740">
        <v>0</v>
      </c>
      <c r="N4501" s="719">
        <v>1</v>
      </c>
      <c r="O4501" s="719">
        <v>6</v>
      </c>
      <c r="P4501" s="651">
        <v>27000</v>
      </c>
    </row>
    <row r="4502" spans="1:16" s="619" customFormat="1" ht="36" x14ac:dyDescent="0.2">
      <c r="A4502" s="625" t="s">
        <v>9036</v>
      </c>
      <c r="B4502" s="640" t="s">
        <v>1908</v>
      </c>
      <c r="C4502" s="638" t="s">
        <v>104</v>
      </c>
      <c r="D4502" s="626" t="s">
        <v>9051</v>
      </c>
      <c r="E4502" s="636">
        <v>9000</v>
      </c>
      <c r="F4502" s="637" t="s">
        <v>9186</v>
      </c>
      <c r="G4502" s="626" t="s">
        <v>9187</v>
      </c>
      <c r="H4502" s="626" t="s">
        <v>6179</v>
      </c>
      <c r="I4502" s="626" t="s">
        <v>3567</v>
      </c>
      <c r="J4502" s="638" t="s">
        <v>6179</v>
      </c>
      <c r="K4502" s="719">
        <v>0</v>
      </c>
      <c r="L4502" s="719">
        <v>0</v>
      </c>
      <c r="M4502" s="740">
        <v>0</v>
      </c>
      <c r="N4502" s="719">
        <v>1</v>
      </c>
      <c r="O4502" s="719">
        <v>6</v>
      </c>
      <c r="P4502" s="651">
        <v>54000</v>
      </c>
    </row>
    <row r="4503" spans="1:16" s="619" customFormat="1" ht="36" x14ac:dyDescent="0.2">
      <c r="A4503" s="625" t="s">
        <v>9036</v>
      </c>
      <c r="B4503" s="640" t="s">
        <v>1908</v>
      </c>
      <c r="C4503" s="638" t="s">
        <v>104</v>
      </c>
      <c r="D4503" s="626" t="s">
        <v>9051</v>
      </c>
      <c r="E4503" s="636">
        <v>9000</v>
      </c>
      <c r="F4503" s="637" t="s">
        <v>9188</v>
      </c>
      <c r="G4503" s="626" t="s">
        <v>9189</v>
      </c>
      <c r="H4503" s="626" t="s">
        <v>6179</v>
      </c>
      <c r="I4503" s="626" t="s">
        <v>3567</v>
      </c>
      <c r="J4503" s="638" t="s">
        <v>6179</v>
      </c>
      <c r="K4503" s="719">
        <v>0</v>
      </c>
      <c r="L4503" s="719">
        <v>0</v>
      </c>
      <c r="M4503" s="740">
        <v>0</v>
      </c>
      <c r="N4503" s="719">
        <v>1</v>
      </c>
      <c r="O4503" s="719">
        <v>6</v>
      </c>
      <c r="P4503" s="651">
        <v>54000</v>
      </c>
    </row>
    <row r="4504" spans="1:16" s="619" customFormat="1" ht="24" x14ac:dyDescent="0.2">
      <c r="A4504" s="625" t="s">
        <v>9036</v>
      </c>
      <c r="B4504" s="640" t="s">
        <v>1908</v>
      </c>
      <c r="C4504" s="638" t="s">
        <v>104</v>
      </c>
      <c r="D4504" s="626" t="s">
        <v>9051</v>
      </c>
      <c r="E4504" s="636">
        <v>9000</v>
      </c>
      <c r="F4504" s="637" t="s">
        <v>7232</v>
      </c>
      <c r="G4504" s="626" t="s">
        <v>7233</v>
      </c>
      <c r="H4504" s="626" t="s">
        <v>6179</v>
      </c>
      <c r="I4504" s="626" t="s">
        <v>3567</v>
      </c>
      <c r="J4504" s="638" t="s">
        <v>6179</v>
      </c>
      <c r="K4504" s="719">
        <v>0</v>
      </c>
      <c r="L4504" s="719">
        <v>0</v>
      </c>
      <c r="M4504" s="740">
        <v>0</v>
      </c>
      <c r="N4504" s="719">
        <v>1</v>
      </c>
      <c r="O4504" s="719">
        <v>6</v>
      </c>
      <c r="P4504" s="651">
        <v>54000</v>
      </c>
    </row>
    <row r="4505" spans="1:16" s="619" customFormat="1" ht="24" x14ac:dyDescent="0.2">
      <c r="A4505" s="625" t="s">
        <v>9036</v>
      </c>
      <c r="B4505" s="640" t="s">
        <v>1908</v>
      </c>
      <c r="C4505" s="638" t="s">
        <v>104</v>
      </c>
      <c r="D4505" s="626" t="s">
        <v>9051</v>
      </c>
      <c r="E4505" s="636">
        <v>9000</v>
      </c>
      <c r="F4505" s="637" t="s">
        <v>9190</v>
      </c>
      <c r="G4505" s="626" t="s">
        <v>9191</v>
      </c>
      <c r="H4505" s="626" t="s">
        <v>6179</v>
      </c>
      <c r="I4505" s="626" t="s">
        <v>3567</v>
      </c>
      <c r="J4505" s="638" t="s">
        <v>6179</v>
      </c>
      <c r="K4505" s="719">
        <v>0</v>
      </c>
      <c r="L4505" s="719">
        <v>0</v>
      </c>
      <c r="M4505" s="740">
        <v>0</v>
      </c>
      <c r="N4505" s="719">
        <v>1</v>
      </c>
      <c r="O4505" s="719">
        <v>6</v>
      </c>
      <c r="P4505" s="651">
        <v>54000</v>
      </c>
    </row>
    <row r="4506" spans="1:16" s="619" customFormat="1" ht="36" x14ac:dyDescent="0.2">
      <c r="A4506" s="625" t="s">
        <v>9036</v>
      </c>
      <c r="B4506" s="640" t="s">
        <v>1908</v>
      </c>
      <c r="C4506" s="638" t="s">
        <v>104</v>
      </c>
      <c r="D4506" s="626" t="s">
        <v>9051</v>
      </c>
      <c r="E4506" s="636">
        <v>2333.33</v>
      </c>
      <c r="F4506" s="637" t="s">
        <v>9192</v>
      </c>
      <c r="G4506" s="626" t="s">
        <v>9193</v>
      </c>
      <c r="H4506" s="626" t="s">
        <v>6179</v>
      </c>
      <c r="I4506" s="626" t="s">
        <v>3567</v>
      </c>
      <c r="J4506" s="638" t="s">
        <v>6179</v>
      </c>
      <c r="K4506" s="719">
        <v>0</v>
      </c>
      <c r="L4506" s="719">
        <v>0</v>
      </c>
      <c r="M4506" s="740">
        <v>0</v>
      </c>
      <c r="N4506" s="719">
        <v>1</v>
      </c>
      <c r="O4506" s="719">
        <v>6</v>
      </c>
      <c r="P4506" s="651">
        <v>13999.98</v>
      </c>
    </row>
    <row r="4507" spans="1:16" s="619" customFormat="1" ht="36" x14ac:dyDescent="0.2">
      <c r="A4507" s="625" t="s">
        <v>9036</v>
      </c>
      <c r="B4507" s="640" t="s">
        <v>1908</v>
      </c>
      <c r="C4507" s="638" t="s">
        <v>104</v>
      </c>
      <c r="D4507" s="626" t="s">
        <v>9051</v>
      </c>
      <c r="E4507" s="636">
        <v>13600</v>
      </c>
      <c r="F4507" s="637" t="s">
        <v>9194</v>
      </c>
      <c r="G4507" s="626" t="s">
        <v>9195</v>
      </c>
      <c r="H4507" s="626" t="s">
        <v>6179</v>
      </c>
      <c r="I4507" s="626" t="s">
        <v>3567</v>
      </c>
      <c r="J4507" s="638" t="s">
        <v>9196</v>
      </c>
      <c r="K4507" s="719">
        <v>2</v>
      </c>
      <c r="L4507" s="719">
        <v>5</v>
      </c>
      <c r="M4507" s="740">
        <v>68000</v>
      </c>
      <c r="N4507" s="719">
        <v>1</v>
      </c>
      <c r="O4507" s="719">
        <v>6</v>
      </c>
      <c r="P4507" s="651">
        <v>81600</v>
      </c>
    </row>
    <row r="4508" spans="1:16" s="619" customFormat="1" ht="36" x14ac:dyDescent="0.2">
      <c r="A4508" s="625" t="s">
        <v>9036</v>
      </c>
      <c r="B4508" s="640" t="s">
        <v>1908</v>
      </c>
      <c r="C4508" s="638" t="s">
        <v>104</v>
      </c>
      <c r="D4508" s="626" t="s">
        <v>9051</v>
      </c>
      <c r="E4508" s="636">
        <v>7000</v>
      </c>
      <c r="F4508" s="637" t="s">
        <v>9197</v>
      </c>
      <c r="G4508" s="626" t="s">
        <v>9198</v>
      </c>
      <c r="H4508" s="626" t="s">
        <v>6179</v>
      </c>
      <c r="I4508" s="626" t="s">
        <v>3567</v>
      </c>
      <c r="J4508" s="638" t="s">
        <v>9196</v>
      </c>
      <c r="K4508" s="719">
        <v>0</v>
      </c>
      <c r="L4508" s="719">
        <v>0</v>
      </c>
      <c r="M4508" s="740">
        <v>0</v>
      </c>
      <c r="N4508" s="719">
        <v>1</v>
      </c>
      <c r="O4508" s="719">
        <v>6</v>
      </c>
      <c r="P4508" s="651">
        <v>42000</v>
      </c>
    </row>
    <row r="4509" spans="1:16" s="619" customFormat="1" ht="36" x14ac:dyDescent="0.2">
      <c r="A4509" s="625" t="s">
        <v>9036</v>
      </c>
      <c r="B4509" s="640" t="s">
        <v>1908</v>
      </c>
      <c r="C4509" s="638" t="s">
        <v>104</v>
      </c>
      <c r="D4509" s="626" t="s">
        <v>9051</v>
      </c>
      <c r="E4509" s="636">
        <v>9000</v>
      </c>
      <c r="F4509" s="637" t="s">
        <v>9199</v>
      </c>
      <c r="G4509" s="626" t="s">
        <v>9200</v>
      </c>
      <c r="H4509" s="626" t="s">
        <v>6179</v>
      </c>
      <c r="I4509" s="626" t="s">
        <v>3567</v>
      </c>
      <c r="J4509" s="638" t="s">
        <v>6182</v>
      </c>
      <c r="K4509" s="719">
        <v>0</v>
      </c>
      <c r="L4509" s="719">
        <v>0</v>
      </c>
      <c r="M4509" s="740">
        <v>0</v>
      </c>
      <c r="N4509" s="719">
        <v>1</v>
      </c>
      <c r="O4509" s="719">
        <v>6</v>
      </c>
      <c r="P4509" s="651">
        <v>54000</v>
      </c>
    </row>
    <row r="4510" spans="1:16" s="619" customFormat="1" ht="24" x14ac:dyDescent="0.2">
      <c r="A4510" s="625" t="s">
        <v>9036</v>
      </c>
      <c r="B4510" s="640" t="s">
        <v>1908</v>
      </c>
      <c r="C4510" s="638" t="s">
        <v>104</v>
      </c>
      <c r="D4510" s="626" t="s">
        <v>9051</v>
      </c>
      <c r="E4510" s="636">
        <v>2000</v>
      </c>
      <c r="F4510" s="637" t="s">
        <v>9201</v>
      </c>
      <c r="G4510" s="626" t="s">
        <v>9202</v>
      </c>
      <c r="H4510" s="626" t="s">
        <v>6198</v>
      </c>
      <c r="I4510" s="626" t="s">
        <v>3567</v>
      </c>
      <c r="J4510" s="638" t="s">
        <v>6198</v>
      </c>
      <c r="K4510" s="719">
        <v>3</v>
      </c>
      <c r="L4510" s="719">
        <v>12</v>
      </c>
      <c r="M4510" s="740">
        <v>24000</v>
      </c>
      <c r="N4510" s="719">
        <v>1</v>
      </c>
      <c r="O4510" s="719">
        <v>6</v>
      </c>
      <c r="P4510" s="651">
        <v>12000</v>
      </c>
    </row>
    <row r="4511" spans="1:16" s="619" customFormat="1" ht="36" x14ac:dyDescent="0.2">
      <c r="A4511" s="625" t="s">
        <v>9036</v>
      </c>
      <c r="B4511" s="640" t="s">
        <v>1908</v>
      </c>
      <c r="C4511" s="638" t="s">
        <v>104</v>
      </c>
      <c r="D4511" s="626" t="s">
        <v>9051</v>
      </c>
      <c r="E4511" s="636">
        <v>2000</v>
      </c>
      <c r="F4511" s="637" t="s">
        <v>9203</v>
      </c>
      <c r="G4511" s="626" t="s">
        <v>9204</v>
      </c>
      <c r="H4511" s="626" t="s">
        <v>6198</v>
      </c>
      <c r="I4511" s="626" t="s">
        <v>3567</v>
      </c>
      <c r="J4511" s="638" t="s">
        <v>6198</v>
      </c>
      <c r="K4511" s="719">
        <v>3</v>
      </c>
      <c r="L4511" s="719">
        <v>12</v>
      </c>
      <c r="M4511" s="740">
        <v>24000</v>
      </c>
      <c r="N4511" s="719">
        <v>1</v>
      </c>
      <c r="O4511" s="719">
        <v>6</v>
      </c>
      <c r="P4511" s="651">
        <v>12000</v>
      </c>
    </row>
    <row r="4512" spans="1:16" s="619" customFormat="1" ht="36" x14ac:dyDescent="0.2">
      <c r="A4512" s="625" t="s">
        <v>9036</v>
      </c>
      <c r="B4512" s="640" t="s">
        <v>1908</v>
      </c>
      <c r="C4512" s="638" t="s">
        <v>104</v>
      </c>
      <c r="D4512" s="626" t="s">
        <v>9051</v>
      </c>
      <c r="E4512" s="636">
        <v>2000</v>
      </c>
      <c r="F4512" s="637" t="s">
        <v>9205</v>
      </c>
      <c r="G4512" s="626" t="s">
        <v>9206</v>
      </c>
      <c r="H4512" s="626" t="s">
        <v>6198</v>
      </c>
      <c r="I4512" s="626" t="s">
        <v>3567</v>
      </c>
      <c r="J4512" s="638" t="s">
        <v>6198</v>
      </c>
      <c r="K4512" s="719">
        <v>3</v>
      </c>
      <c r="L4512" s="719">
        <v>12</v>
      </c>
      <c r="M4512" s="740">
        <v>24000</v>
      </c>
      <c r="N4512" s="719">
        <v>1</v>
      </c>
      <c r="O4512" s="719">
        <v>6</v>
      </c>
      <c r="P4512" s="651">
        <v>12000</v>
      </c>
    </row>
    <row r="4513" spans="1:16" s="619" customFormat="1" ht="36" x14ac:dyDescent="0.2">
      <c r="A4513" s="625" t="s">
        <v>9036</v>
      </c>
      <c r="B4513" s="640" t="s">
        <v>1908</v>
      </c>
      <c r="C4513" s="638" t="s">
        <v>104</v>
      </c>
      <c r="D4513" s="626" t="s">
        <v>9051</v>
      </c>
      <c r="E4513" s="636">
        <v>2000</v>
      </c>
      <c r="F4513" s="637" t="s">
        <v>9207</v>
      </c>
      <c r="G4513" s="626" t="s">
        <v>9208</v>
      </c>
      <c r="H4513" s="626" t="s">
        <v>6198</v>
      </c>
      <c r="I4513" s="626" t="s">
        <v>3567</v>
      </c>
      <c r="J4513" s="638" t="s">
        <v>6198</v>
      </c>
      <c r="K4513" s="719">
        <v>3</v>
      </c>
      <c r="L4513" s="719">
        <v>12</v>
      </c>
      <c r="M4513" s="740">
        <v>24000</v>
      </c>
      <c r="N4513" s="719">
        <v>1</v>
      </c>
      <c r="O4513" s="719">
        <v>6</v>
      </c>
      <c r="P4513" s="651">
        <v>12000</v>
      </c>
    </row>
    <row r="4514" spans="1:16" s="619" customFormat="1" ht="24" x14ac:dyDescent="0.2">
      <c r="A4514" s="625" t="s">
        <v>9036</v>
      </c>
      <c r="B4514" s="640" t="s">
        <v>1908</v>
      </c>
      <c r="C4514" s="638" t="s">
        <v>104</v>
      </c>
      <c r="D4514" s="626" t="s">
        <v>9051</v>
      </c>
      <c r="E4514" s="636">
        <v>2000</v>
      </c>
      <c r="F4514" s="637" t="s">
        <v>9209</v>
      </c>
      <c r="G4514" s="626" t="s">
        <v>9210</v>
      </c>
      <c r="H4514" s="626" t="s">
        <v>7740</v>
      </c>
      <c r="I4514" s="626" t="s">
        <v>3567</v>
      </c>
      <c r="J4514" s="638" t="s">
        <v>7740</v>
      </c>
      <c r="K4514" s="719">
        <v>1</v>
      </c>
      <c r="L4514" s="719">
        <v>2</v>
      </c>
      <c r="M4514" s="740">
        <v>4000</v>
      </c>
      <c r="N4514" s="719">
        <v>1</v>
      </c>
      <c r="O4514" s="719">
        <v>6</v>
      </c>
      <c r="P4514" s="651">
        <v>12000</v>
      </c>
    </row>
    <row r="4515" spans="1:16" s="619" customFormat="1" ht="48" x14ac:dyDescent="0.2">
      <c r="A4515" s="625" t="s">
        <v>9036</v>
      </c>
      <c r="B4515" s="640" t="s">
        <v>1908</v>
      </c>
      <c r="C4515" s="638" t="s">
        <v>104</v>
      </c>
      <c r="D4515" s="626" t="s">
        <v>9051</v>
      </c>
      <c r="E4515" s="636">
        <v>2000</v>
      </c>
      <c r="F4515" s="637" t="s">
        <v>9211</v>
      </c>
      <c r="G4515" s="626" t="s">
        <v>9212</v>
      </c>
      <c r="H4515" s="626" t="s">
        <v>7740</v>
      </c>
      <c r="I4515" s="626" t="s">
        <v>3567</v>
      </c>
      <c r="J4515" s="638" t="s">
        <v>7740</v>
      </c>
      <c r="K4515" s="719">
        <v>2</v>
      </c>
      <c r="L4515" s="719">
        <v>5</v>
      </c>
      <c r="M4515" s="740">
        <v>10000</v>
      </c>
      <c r="N4515" s="719">
        <v>0</v>
      </c>
      <c r="O4515" s="719">
        <v>6</v>
      </c>
      <c r="P4515" s="651">
        <v>12000</v>
      </c>
    </row>
    <row r="4516" spans="1:16" s="619" customFormat="1" ht="36" x14ac:dyDescent="0.2">
      <c r="A4516" s="625" t="s">
        <v>9036</v>
      </c>
      <c r="B4516" s="640" t="s">
        <v>1908</v>
      </c>
      <c r="C4516" s="638" t="s">
        <v>104</v>
      </c>
      <c r="D4516" s="626" t="s">
        <v>9051</v>
      </c>
      <c r="E4516" s="636">
        <v>2000</v>
      </c>
      <c r="F4516" s="637" t="s">
        <v>9213</v>
      </c>
      <c r="G4516" s="626" t="s">
        <v>9214</v>
      </c>
      <c r="H4516" s="626" t="s">
        <v>7740</v>
      </c>
      <c r="I4516" s="626" t="s">
        <v>3567</v>
      </c>
      <c r="J4516" s="638" t="s">
        <v>7740</v>
      </c>
      <c r="K4516" s="719">
        <v>2</v>
      </c>
      <c r="L4516" s="719">
        <v>5</v>
      </c>
      <c r="M4516" s="740">
        <v>10000</v>
      </c>
      <c r="N4516" s="719">
        <v>1</v>
      </c>
      <c r="O4516" s="719">
        <v>6</v>
      </c>
      <c r="P4516" s="651">
        <v>12000</v>
      </c>
    </row>
    <row r="4517" spans="1:16" s="619" customFormat="1" ht="36" x14ac:dyDescent="0.2">
      <c r="A4517" s="625" t="s">
        <v>9036</v>
      </c>
      <c r="B4517" s="640" t="s">
        <v>1908</v>
      </c>
      <c r="C4517" s="638" t="s">
        <v>104</v>
      </c>
      <c r="D4517" s="626" t="s">
        <v>9051</v>
      </c>
      <c r="E4517" s="636">
        <v>3000</v>
      </c>
      <c r="F4517" s="637" t="s">
        <v>9215</v>
      </c>
      <c r="G4517" s="626" t="s">
        <v>9216</v>
      </c>
      <c r="H4517" s="626" t="s">
        <v>7745</v>
      </c>
      <c r="I4517" s="626" t="s">
        <v>3567</v>
      </c>
      <c r="J4517" s="638" t="s">
        <v>7745</v>
      </c>
      <c r="K4517" s="719">
        <v>3</v>
      </c>
      <c r="L4517" s="719">
        <v>12</v>
      </c>
      <c r="M4517" s="740">
        <v>36000</v>
      </c>
      <c r="N4517" s="719">
        <v>1</v>
      </c>
      <c r="O4517" s="719">
        <v>6</v>
      </c>
      <c r="P4517" s="651">
        <v>18000</v>
      </c>
    </row>
    <row r="4518" spans="1:16" s="619" customFormat="1" ht="36" x14ac:dyDescent="0.2">
      <c r="A4518" s="625" t="s">
        <v>9036</v>
      </c>
      <c r="B4518" s="640" t="s">
        <v>1908</v>
      </c>
      <c r="C4518" s="638" t="s">
        <v>104</v>
      </c>
      <c r="D4518" s="626" t="s">
        <v>9051</v>
      </c>
      <c r="E4518" s="636">
        <v>5000</v>
      </c>
      <c r="F4518" s="637" t="s">
        <v>9217</v>
      </c>
      <c r="G4518" s="626" t="s">
        <v>9218</v>
      </c>
      <c r="H4518" s="626" t="s">
        <v>6548</v>
      </c>
      <c r="I4518" s="626" t="s">
        <v>3567</v>
      </c>
      <c r="J4518" s="638" t="s">
        <v>6548</v>
      </c>
      <c r="K4518" s="719">
        <v>1</v>
      </c>
      <c r="L4518" s="719">
        <v>3</v>
      </c>
      <c r="M4518" s="740">
        <v>15000</v>
      </c>
      <c r="N4518" s="719">
        <v>0</v>
      </c>
      <c r="O4518" s="719">
        <v>0</v>
      </c>
      <c r="P4518" s="651">
        <v>0</v>
      </c>
    </row>
    <row r="4519" spans="1:16" s="619" customFormat="1" ht="36" x14ac:dyDescent="0.2">
      <c r="A4519" s="625" t="s">
        <v>9036</v>
      </c>
      <c r="B4519" s="640" t="s">
        <v>1908</v>
      </c>
      <c r="C4519" s="638" t="s">
        <v>104</v>
      </c>
      <c r="D4519" s="626" t="s">
        <v>9051</v>
      </c>
      <c r="E4519" s="636">
        <v>6000</v>
      </c>
      <c r="F4519" s="637" t="s">
        <v>9219</v>
      </c>
      <c r="G4519" s="626" t="s">
        <v>9220</v>
      </c>
      <c r="H4519" s="626" t="s">
        <v>6548</v>
      </c>
      <c r="I4519" s="626" t="s">
        <v>3567</v>
      </c>
      <c r="J4519" s="638" t="s">
        <v>6548</v>
      </c>
      <c r="K4519" s="719">
        <v>0</v>
      </c>
      <c r="L4519" s="719">
        <v>0</v>
      </c>
      <c r="M4519" s="740">
        <v>0</v>
      </c>
      <c r="N4519" s="719">
        <v>1</v>
      </c>
      <c r="O4519" s="719">
        <v>6</v>
      </c>
      <c r="P4519" s="651">
        <v>36000</v>
      </c>
    </row>
    <row r="4520" spans="1:16" s="619" customFormat="1" ht="36" x14ac:dyDescent="0.2">
      <c r="A4520" s="625" t="s">
        <v>9036</v>
      </c>
      <c r="B4520" s="640" t="s">
        <v>1908</v>
      </c>
      <c r="C4520" s="638" t="s">
        <v>104</v>
      </c>
      <c r="D4520" s="626" t="s">
        <v>9037</v>
      </c>
      <c r="E4520" s="636">
        <v>1200</v>
      </c>
      <c r="F4520" s="637" t="s">
        <v>9221</v>
      </c>
      <c r="G4520" s="626" t="s">
        <v>9222</v>
      </c>
      <c r="H4520" s="626" t="s">
        <v>3545</v>
      </c>
      <c r="I4520" s="626" t="s">
        <v>1931</v>
      </c>
      <c r="J4520" s="638" t="s">
        <v>3545</v>
      </c>
      <c r="K4520" s="719">
        <v>3</v>
      </c>
      <c r="L4520" s="719">
        <v>12</v>
      </c>
      <c r="M4520" s="740">
        <v>14400</v>
      </c>
      <c r="N4520" s="719">
        <v>1</v>
      </c>
      <c r="O4520" s="719">
        <v>6</v>
      </c>
      <c r="P4520" s="651">
        <v>7200</v>
      </c>
    </row>
    <row r="4521" spans="1:16" s="619" customFormat="1" ht="48" x14ac:dyDescent="0.2">
      <c r="A4521" s="625" t="s">
        <v>9036</v>
      </c>
      <c r="B4521" s="640" t="s">
        <v>1908</v>
      </c>
      <c r="C4521" s="638" t="s">
        <v>104</v>
      </c>
      <c r="D4521" s="626" t="s">
        <v>9037</v>
      </c>
      <c r="E4521" s="636">
        <v>1400</v>
      </c>
      <c r="F4521" s="637" t="s">
        <v>9223</v>
      </c>
      <c r="G4521" s="626" t="s">
        <v>9224</v>
      </c>
      <c r="H4521" s="626" t="s">
        <v>3545</v>
      </c>
      <c r="I4521" s="626" t="s">
        <v>1931</v>
      </c>
      <c r="J4521" s="638" t="s">
        <v>3545</v>
      </c>
      <c r="K4521" s="719">
        <v>2</v>
      </c>
      <c r="L4521" s="719">
        <v>5</v>
      </c>
      <c r="M4521" s="740">
        <v>7000</v>
      </c>
      <c r="N4521" s="719">
        <v>1</v>
      </c>
      <c r="O4521" s="719">
        <v>6</v>
      </c>
      <c r="P4521" s="651">
        <v>8400</v>
      </c>
    </row>
    <row r="4522" spans="1:16" s="619" customFormat="1" ht="24" x14ac:dyDescent="0.2">
      <c r="A4522" s="625" t="s">
        <v>9036</v>
      </c>
      <c r="B4522" s="640" t="s">
        <v>1908</v>
      </c>
      <c r="C4522" s="638" t="s">
        <v>104</v>
      </c>
      <c r="D4522" s="626" t="s">
        <v>9037</v>
      </c>
      <c r="E4522" s="636">
        <v>1200</v>
      </c>
      <c r="F4522" s="637" t="s">
        <v>9225</v>
      </c>
      <c r="G4522" s="626" t="s">
        <v>9226</v>
      </c>
      <c r="H4522" s="626" t="s">
        <v>4589</v>
      </c>
      <c r="I4522" s="626" t="s">
        <v>1931</v>
      </c>
      <c r="J4522" s="638" t="s">
        <v>4589</v>
      </c>
      <c r="K4522" s="719">
        <v>3</v>
      </c>
      <c r="L4522" s="719">
        <v>12</v>
      </c>
      <c r="M4522" s="740">
        <v>14400</v>
      </c>
      <c r="N4522" s="719">
        <v>1</v>
      </c>
      <c r="O4522" s="719">
        <v>6</v>
      </c>
      <c r="P4522" s="651">
        <v>7200</v>
      </c>
    </row>
    <row r="4523" spans="1:16" s="619" customFormat="1" ht="36" x14ac:dyDescent="0.2">
      <c r="A4523" s="625" t="s">
        <v>9036</v>
      </c>
      <c r="B4523" s="640" t="s">
        <v>1908</v>
      </c>
      <c r="C4523" s="638" t="s">
        <v>104</v>
      </c>
      <c r="D4523" s="626" t="s">
        <v>9037</v>
      </c>
      <c r="E4523" s="636">
        <v>1500</v>
      </c>
      <c r="F4523" s="637" t="s">
        <v>9227</v>
      </c>
      <c r="G4523" s="626" t="s">
        <v>9228</v>
      </c>
      <c r="H4523" s="626" t="s">
        <v>6114</v>
      </c>
      <c r="I4523" s="626" t="s">
        <v>1931</v>
      </c>
      <c r="J4523" s="638" t="s">
        <v>6114</v>
      </c>
      <c r="K4523" s="719">
        <v>3</v>
      </c>
      <c r="L4523" s="719">
        <v>12</v>
      </c>
      <c r="M4523" s="740">
        <v>18000</v>
      </c>
      <c r="N4523" s="719">
        <v>1</v>
      </c>
      <c r="O4523" s="719">
        <v>6</v>
      </c>
      <c r="P4523" s="651">
        <v>9000</v>
      </c>
    </row>
    <row r="4524" spans="1:16" s="619" customFormat="1" ht="36" x14ac:dyDescent="0.2">
      <c r="A4524" s="625" t="s">
        <v>9036</v>
      </c>
      <c r="B4524" s="640" t="s">
        <v>1908</v>
      </c>
      <c r="C4524" s="638" t="s">
        <v>104</v>
      </c>
      <c r="D4524" s="626" t="s">
        <v>9037</v>
      </c>
      <c r="E4524" s="636">
        <v>1200</v>
      </c>
      <c r="F4524" s="637" t="s">
        <v>9229</v>
      </c>
      <c r="G4524" s="626" t="s">
        <v>9230</v>
      </c>
      <c r="H4524" s="626" t="s">
        <v>6114</v>
      </c>
      <c r="I4524" s="626" t="s">
        <v>1931</v>
      </c>
      <c r="J4524" s="638" t="s">
        <v>6114</v>
      </c>
      <c r="K4524" s="719">
        <v>3</v>
      </c>
      <c r="L4524" s="719">
        <v>12</v>
      </c>
      <c r="M4524" s="740">
        <v>14400</v>
      </c>
      <c r="N4524" s="719">
        <v>1</v>
      </c>
      <c r="O4524" s="719">
        <v>6</v>
      </c>
      <c r="P4524" s="651">
        <v>7200</v>
      </c>
    </row>
    <row r="4525" spans="1:16" s="619" customFormat="1" ht="36" x14ac:dyDescent="0.2">
      <c r="A4525" s="625" t="s">
        <v>9036</v>
      </c>
      <c r="B4525" s="640" t="s">
        <v>1908</v>
      </c>
      <c r="C4525" s="638" t="s">
        <v>104</v>
      </c>
      <c r="D4525" s="626" t="s">
        <v>9037</v>
      </c>
      <c r="E4525" s="636">
        <v>1200</v>
      </c>
      <c r="F4525" s="637" t="s">
        <v>9231</v>
      </c>
      <c r="G4525" s="626" t="s">
        <v>9232</v>
      </c>
      <c r="H4525" s="626" t="s">
        <v>6114</v>
      </c>
      <c r="I4525" s="626" t="s">
        <v>1931</v>
      </c>
      <c r="J4525" s="638" t="s">
        <v>6114</v>
      </c>
      <c r="K4525" s="719">
        <v>2</v>
      </c>
      <c r="L4525" s="719">
        <v>4</v>
      </c>
      <c r="M4525" s="740">
        <v>4800</v>
      </c>
      <c r="N4525" s="719">
        <v>1</v>
      </c>
      <c r="O4525" s="719">
        <v>6</v>
      </c>
      <c r="P4525" s="651">
        <v>7200</v>
      </c>
    </row>
    <row r="4526" spans="1:16" s="619" customFormat="1" ht="36" x14ac:dyDescent="0.2">
      <c r="A4526" s="625" t="s">
        <v>9036</v>
      </c>
      <c r="B4526" s="640" t="s">
        <v>1908</v>
      </c>
      <c r="C4526" s="638" t="s">
        <v>104</v>
      </c>
      <c r="D4526" s="626" t="s">
        <v>9037</v>
      </c>
      <c r="E4526" s="636">
        <v>1200</v>
      </c>
      <c r="F4526" s="637" t="s">
        <v>9233</v>
      </c>
      <c r="G4526" s="626" t="s">
        <v>9234</v>
      </c>
      <c r="H4526" s="626" t="s">
        <v>6114</v>
      </c>
      <c r="I4526" s="626" t="s">
        <v>1931</v>
      </c>
      <c r="J4526" s="638" t="s">
        <v>6114</v>
      </c>
      <c r="K4526" s="719">
        <v>3</v>
      </c>
      <c r="L4526" s="719">
        <v>12</v>
      </c>
      <c r="M4526" s="740">
        <v>14400</v>
      </c>
      <c r="N4526" s="719">
        <v>1</v>
      </c>
      <c r="O4526" s="719">
        <v>6</v>
      </c>
      <c r="P4526" s="651">
        <v>7200</v>
      </c>
    </row>
    <row r="4527" spans="1:16" s="619" customFormat="1" ht="36" x14ac:dyDescent="0.2">
      <c r="A4527" s="625" t="s">
        <v>9036</v>
      </c>
      <c r="B4527" s="640" t="s">
        <v>1908</v>
      </c>
      <c r="C4527" s="638" t="s">
        <v>104</v>
      </c>
      <c r="D4527" s="626" t="s">
        <v>9037</v>
      </c>
      <c r="E4527" s="636">
        <v>1500</v>
      </c>
      <c r="F4527" s="637" t="s">
        <v>9235</v>
      </c>
      <c r="G4527" s="626" t="s">
        <v>9236</v>
      </c>
      <c r="H4527" s="626" t="s">
        <v>6114</v>
      </c>
      <c r="I4527" s="626" t="s">
        <v>1931</v>
      </c>
      <c r="J4527" s="638" t="s">
        <v>6114</v>
      </c>
      <c r="K4527" s="719">
        <v>3</v>
      </c>
      <c r="L4527" s="719">
        <v>12</v>
      </c>
      <c r="M4527" s="740">
        <v>18000</v>
      </c>
      <c r="N4527" s="719">
        <v>1</v>
      </c>
      <c r="O4527" s="719">
        <v>6</v>
      </c>
      <c r="P4527" s="651">
        <v>9000</v>
      </c>
    </row>
    <row r="4528" spans="1:16" s="619" customFormat="1" ht="36" x14ac:dyDescent="0.2">
      <c r="A4528" s="625" t="s">
        <v>9036</v>
      </c>
      <c r="B4528" s="640" t="s">
        <v>1908</v>
      </c>
      <c r="C4528" s="638" t="s">
        <v>104</v>
      </c>
      <c r="D4528" s="626" t="s">
        <v>9037</v>
      </c>
      <c r="E4528" s="636">
        <v>1500</v>
      </c>
      <c r="F4528" s="637" t="s">
        <v>9237</v>
      </c>
      <c r="G4528" s="626" t="s">
        <v>9238</v>
      </c>
      <c r="H4528" s="626" t="s">
        <v>6114</v>
      </c>
      <c r="I4528" s="626" t="s">
        <v>1931</v>
      </c>
      <c r="J4528" s="638" t="s">
        <v>6114</v>
      </c>
      <c r="K4528" s="719">
        <v>0</v>
      </c>
      <c r="L4528" s="719">
        <v>0</v>
      </c>
      <c r="M4528" s="740">
        <v>0</v>
      </c>
      <c r="N4528" s="719">
        <v>1</v>
      </c>
      <c r="O4528" s="719">
        <v>6</v>
      </c>
      <c r="P4528" s="651">
        <v>9000</v>
      </c>
    </row>
    <row r="4529" spans="1:16" s="619" customFormat="1" ht="36" x14ac:dyDescent="0.2">
      <c r="A4529" s="625" t="s">
        <v>9036</v>
      </c>
      <c r="B4529" s="640" t="s">
        <v>1908</v>
      </c>
      <c r="C4529" s="638" t="s">
        <v>104</v>
      </c>
      <c r="D4529" s="626" t="s">
        <v>9037</v>
      </c>
      <c r="E4529" s="636">
        <v>1200</v>
      </c>
      <c r="F4529" s="637" t="s">
        <v>9239</v>
      </c>
      <c r="G4529" s="626" t="s">
        <v>9240</v>
      </c>
      <c r="H4529" s="626" t="s">
        <v>6114</v>
      </c>
      <c r="I4529" s="626" t="s">
        <v>1931</v>
      </c>
      <c r="J4529" s="638" t="s">
        <v>6114</v>
      </c>
      <c r="K4529" s="719">
        <v>0</v>
      </c>
      <c r="L4529" s="719">
        <v>0</v>
      </c>
      <c r="M4529" s="740">
        <v>0</v>
      </c>
      <c r="N4529" s="719">
        <v>1</v>
      </c>
      <c r="O4529" s="719">
        <v>6</v>
      </c>
      <c r="P4529" s="651">
        <v>7200</v>
      </c>
    </row>
    <row r="4530" spans="1:16" s="619" customFormat="1" ht="36" x14ac:dyDescent="0.2">
      <c r="A4530" s="625" t="s">
        <v>9036</v>
      </c>
      <c r="B4530" s="640" t="s">
        <v>1908</v>
      </c>
      <c r="C4530" s="638" t="s">
        <v>104</v>
      </c>
      <c r="D4530" s="626" t="s">
        <v>9037</v>
      </c>
      <c r="E4530" s="636">
        <v>1200</v>
      </c>
      <c r="F4530" s="637" t="s">
        <v>9241</v>
      </c>
      <c r="G4530" s="626" t="s">
        <v>9242</v>
      </c>
      <c r="H4530" s="626" t="s">
        <v>9243</v>
      </c>
      <c r="I4530" s="626" t="s">
        <v>1931</v>
      </c>
      <c r="J4530" s="638" t="s">
        <v>9243</v>
      </c>
      <c r="K4530" s="719">
        <v>1</v>
      </c>
      <c r="L4530" s="719">
        <v>4</v>
      </c>
      <c r="M4530" s="740">
        <v>4800</v>
      </c>
      <c r="N4530" s="719">
        <v>1</v>
      </c>
      <c r="O4530" s="719">
        <v>6</v>
      </c>
      <c r="P4530" s="651">
        <v>7200</v>
      </c>
    </row>
    <row r="4531" spans="1:16" s="619" customFormat="1" ht="24" x14ac:dyDescent="0.2">
      <c r="A4531" s="625" t="s">
        <v>9036</v>
      </c>
      <c r="B4531" s="640" t="s">
        <v>1908</v>
      </c>
      <c r="C4531" s="638" t="s">
        <v>104</v>
      </c>
      <c r="D4531" s="626" t="s">
        <v>9037</v>
      </c>
      <c r="E4531" s="636">
        <v>1200</v>
      </c>
      <c r="F4531" s="637" t="s">
        <v>9244</v>
      </c>
      <c r="G4531" s="626" t="s">
        <v>9245</v>
      </c>
      <c r="H4531" s="626" t="s">
        <v>9243</v>
      </c>
      <c r="I4531" s="626" t="s">
        <v>1931</v>
      </c>
      <c r="J4531" s="638" t="s">
        <v>9243</v>
      </c>
      <c r="K4531" s="719">
        <v>3</v>
      </c>
      <c r="L4531" s="719">
        <v>12</v>
      </c>
      <c r="M4531" s="740">
        <v>14400</v>
      </c>
      <c r="N4531" s="719">
        <v>1</v>
      </c>
      <c r="O4531" s="719">
        <v>6</v>
      </c>
      <c r="P4531" s="651">
        <v>7200</v>
      </c>
    </row>
    <row r="4532" spans="1:16" s="619" customFormat="1" ht="36" x14ac:dyDescent="0.2">
      <c r="A4532" s="625" t="s">
        <v>9036</v>
      </c>
      <c r="B4532" s="640" t="s">
        <v>1908</v>
      </c>
      <c r="C4532" s="638" t="s">
        <v>104</v>
      </c>
      <c r="D4532" s="626" t="s">
        <v>9037</v>
      </c>
      <c r="E4532" s="636">
        <v>1200</v>
      </c>
      <c r="F4532" s="637" t="s">
        <v>9246</v>
      </c>
      <c r="G4532" s="626" t="s">
        <v>9247</v>
      </c>
      <c r="H4532" s="626" t="s">
        <v>9243</v>
      </c>
      <c r="I4532" s="626" t="s">
        <v>1931</v>
      </c>
      <c r="J4532" s="638" t="s">
        <v>9243</v>
      </c>
      <c r="K4532" s="719">
        <v>3</v>
      </c>
      <c r="L4532" s="719">
        <v>12</v>
      </c>
      <c r="M4532" s="740">
        <v>14400</v>
      </c>
      <c r="N4532" s="719">
        <v>1</v>
      </c>
      <c r="O4532" s="719">
        <v>6</v>
      </c>
      <c r="P4532" s="651">
        <v>7200</v>
      </c>
    </row>
    <row r="4533" spans="1:16" s="619" customFormat="1" ht="36" x14ac:dyDescent="0.2">
      <c r="A4533" s="625" t="s">
        <v>9036</v>
      </c>
      <c r="B4533" s="640" t="s">
        <v>1908</v>
      </c>
      <c r="C4533" s="638" t="s">
        <v>104</v>
      </c>
      <c r="D4533" s="626" t="s">
        <v>9037</v>
      </c>
      <c r="E4533" s="636">
        <v>1500</v>
      </c>
      <c r="F4533" s="637" t="s">
        <v>9248</v>
      </c>
      <c r="G4533" s="626" t="s">
        <v>9249</v>
      </c>
      <c r="H4533" s="626" t="s">
        <v>9243</v>
      </c>
      <c r="I4533" s="626" t="s">
        <v>1931</v>
      </c>
      <c r="J4533" s="638" t="s">
        <v>9243</v>
      </c>
      <c r="K4533" s="719">
        <v>2</v>
      </c>
      <c r="L4533" s="719">
        <v>4</v>
      </c>
      <c r="M4533" s="740">
        <v>6000</v>
      </c>
      <c r="N4533" s="719">
        <v>1</v>
      </c>
      <c r="O4533" s="719">
        <v>6</v>
      </c>
      <c r="P4533" s="651">
        <v>9000</v>
      </c>
    </row>
    <row r="4534" spans="1:16" s="619" customFormat="1" ht="24" x14ac:dyDescent="0.2">
      <c r="A4534" s="625" t="s">
        <v>9036</v>
      </c>
      <c r="B4534" s="640" t="s">
        <v>1908</v>
      </c>
      <c r="C4534" s="638" t="s">
        <v>104</v>
      </c>
      <c r="D4534" s="626" t="s">
        <v>9037</v>
      </c>
      <c r="E4534" s="636">
        <v>1200</v>
      </c>
      <c r="F4534" s="637" t="s">
        <v>9250</v>
      </c>
      <c r="G4534" s="626" t="s">
        <v>9251</v>
      </c>
      <c r="H4534" s="626" t="s">
        <v>9243</v>
      </c>
      <c r="I4534" s="626" t="s">
        <v>1931</v>
      </c>
      <c r="J4534" s="638" t="s">
        <v>9243</v>
      </c>
      <c r="K4534" s="719">
        <v>3</v>
      </c>
      <c r="L4534" s="719">
        <v>12</v>
      </c>
      <c r="M4534" s="740">
        <v>14400</v>
      </c>
      <c r="N4534" s="719">
        <v>1</v>
      </c>
      <c r="O4534" s="719">
        <v>6</v>
      </c>
      <c r="P4534" s="651">
        <v>7200</v>
      </c>
    </row>
    <row r="4535" spans="1:16" s="619" customFormat="1" ht="24" x14ac:dyDescent="0.2">
      <c r="A4535" s="625" t="s">
        <v>9036</v>
      </c>
      <c r="B4535" s="640" t="s">
        <v>1908</v>
      </c>
      <c r="C4535" s="638" t="s">
        <v>104</v>
      </c>
      <c r="D4535" s="626" t="s">
        <v>9037</v>
      </c>
      <c r="E4535" s="636">
        <v>1050</v>
      </c>
      <c r="F4535" s="637" t="s">
        <v>9252</v>
      </c>
      <c r="G4535" s="626" t="s">
        <v>9253</v>
      </c>
      <c r="H4535" s="626" t="s">
        <v>9243</v>
      </c>
      <c r="I4535" s="626" t="s">
        <v>1931</v>
      </c>
      <c r="J4535" s="638" t="s">
        <v>9243</v>
      </c>
      <c r="K4535" s="719">
        <v>0</v>
      </c>
      <c r="L4535" s="719">
        <v>0</v>
      </c>
      <c r="M4535" s="740">
        <v>0</v>
      </c>
      <c r="N4535" s="719">
        <v>1</v>
      </c>
      <c r="O4535" s="719">
        <v>6</v>
      </c>
      <c r="P4535" s="651">
        <v>6300</v>
      </c>
    </row>
    <row r="4536" spans="1:16" s="619" customFormat="1" ht="24" x14ac:dyDescent="0.2">
      <c r="A4536" s="625" t="s">
        <v>9036</v>
      </c>
      <c r="B4536" s="640" t="s">
        <v>1908</v>
      </c>
      <c r="C4536" s="638" t="s">
        <v>104</v>
      </c>
      <c r="D4536" s="626" t="s">
        <v>9037</v>
      </c>
      <c r="E4536" s="636">
        <v>1050</v>
      </c>
      <c r="F4536" s="637" t="s">
        <v>9254</v>
      </c>
      <c r="G4536" s="626" t="s">
        <v>9255</v>
      </c>
      <c r="H4536" s="626" t="s">
        <v>9243</v>
      </c>
      <c r="I4536" s="626" t="s">
        <v>1931</v>
      </c>
      <c r="J4536" s="638" t="s">
        <v>9243</v>
      </c>
      <c r="K4536" s="719">
        <v>0</v>
      </c>
      <c r="L4536" s="719">
        <v>0</v>
      </c>
      <c r="M4536" s="740">
        <v>0</v>
      </c>
      <c r="N4536" s="719">
        <v>1</v>
      </c>
      <c r="O4536" s="719">
        <v>6</v>
      </c>
      <c r="P4536" s="651">
        <v>6300</v>
      </c>
    </row>
    <row r="4537" spans="1:16" s="619" customFormat="1" ht="36" x14ac:dyDescent="0.2">
      <c r="A4537" s="625" t="s">
        <v>9036</v>
      </c>
      <c r="B4537" s="640" t="s">
        <v>1908</v>
      </c>
      <c r="C4537" s="638" t="s">
        <v>104</v>
      </c>
      <c r="D4537" s="626" t="s">
        <v>9051</v>
      </c>
      <c r="E4537" s="636">
        <v>1500</v>
      </c>
      <c r="F4537" s="637" t="s">
        <v>9256</v>
      </c>
      <c r="G4537" s="626" t="s">
        <v>9257</v>
      </c>
      <c r="H4537" s="626" t="s">
        <v>6240</v>
      </c>
      <c r="I4537" s="626" t="s">
        <v>1931</v>
      </c>
      <c r="J4537" s="638" t="s">
        <v>6240</v>
      </c>
      <c r="K4537" s="719">
        <v>1</v>
      </c>
      <c r="L4537" s="719">
        <v>2</v>
      </c>
      <c r="M4537" s="740">
        <v>3000</v>
      </c>
      <c r="N4537" s="719">
        <v>1</v>
      </c>
      <c r="O4537" s="719">
        <v>6</v>
      </c>
      <c r="P4537" s="651">
        <v>9000</v>
      </c>
    </row>
    <row r="4538" spans="1:16" s="619" customFormat="1" ht="36" x14ac:dyDescent="0.2">
      <c r="A4538" s="625" t="s">
        <v>9036</v>
      </c>
      <c r="B4538" s="640" t="s">
        <v>1908</v>
      </c>
      <c r="C4538" s="638" t="s">
        <v>104</v>
      </c>
      <c r="D4538" s="626" t="s">
        <v>9051</v>
      </c>
      <c r="E4538" s="636">
        <v>1200</v>
      </c>
      <c r="F4538" s="637" t="s">
        <v>9258</v>
      </c>
      <c r="G4538" s="626" t="s">
        <v>9259</v>
      </c>
      <c r="H4538" s="626" t="s">
        <v>6240</v>
      </c>
      <c r="I4538" s="626" t="s">
        <v>1931</v>
      </c>
      <c r="J4538" s="638" t="s">
        <v>6240</v>
      </c>
      <c r="K4538" s="719">
        <v>3</v>
      </c>
      <c r="L4538" s="719">
        <v>12</v>
      </c>
      <c r="M4538" s="740">
        <v>14400</v>
      </c>
      <c r="N4538" s="719">
        <v>1</v>
      </c>
      <c r="O4538" s="719">
        <v>6</v>
      </c>
      <c r="P4538" s="651">
        <v>7200</v>
      </c>
    </row>
    <row r="4539" spans="1:16" s="619" customFormat="1" ht="36" x14ac:dyDescent="0.2">
      <c r="A4539" s="625" t="s">
        <v>9036</v>
      </c>
      <c r="B4539" s="640" t="s">
        <v>1908</v>
      </c>
      <c r="C4539" s="638" t="s">
        <v>104</v>
      </c>
      <c r="D4539" s="626" t="s">
        <v>9051</v>
      </c>
      <c r="E4539" s="636">
        <v>1500</v>
      </c>
      <c r="F4539" s="637" t="s">
        <v>9260</v>
      </c>
      <c r="G4539" s="626" t="s">
        <v>9261</v>
      </c>
      <c r="H4539" s="626" t="s">
        <v>6240</v>
      </c>
      <c r="I4539" s="626" t="s">
        <v>1931</v>
      </c>
      <c r="J4539" s="638" t="s">
        <v>6240</v>
      </c>
      <c r="K4539" s="719">
        <v>1</v>
      </c>
      <c r="L4539" s="719">
        <v>2</v>
      </c>
      <c r="M4539" s="740">
        <v>3000</v>
      </c>
      <c r="N4539" s="719">
        <v>1</v>
      </c>
      <c r="O4539" s="719">
        <v>6</v>
      </c>
      <c r="P4539" s="651">
        <v>9000</v>
      </c>
    </row>
    <row r="4540" spans="1:16" s="619" customFormat="1" ht="36" x14ac:dyDescent="0.2">
      <c r="A4540" s="625" t="s">
        <v>9036</v>
      </c>
      <c r="B4540" s="640" t="s">
        <v>1908</v>
      </c>
      <c r="C4540" s="638" t="s">
        <v>104</v>
      </c>
      <c r="D4540" s="626" t="s">
        <v>9051</v>
      </c>
      <c r="E4540" s="636">
        <v>1200</v>
      </c>
      <c r="F4540" s="637" t="s">
        <v>9262</v>
      </c>
      <c r="G4540" s="626" t="s">
        <v>9263</v>
      </c>
      <c r="H4540" s="626" t="s">
        <v>6240</v>
      </c>
      <c r="I4540" s="626" t="s">
        <v>1931</v>
      </c>
      <c r="J4540" s="638" t="s">
        <v>6240</v>
      </c>
      <c r="K4540" s="719">
        <v>3</v>
      </c>
      <c r="L4540" s="719">
        <v>12</v>
      </c>
      <c r="M4540" s="740">
        <v>14400</v>
      </c>
      <c r="N4540" s="719">
        <v>1</v>
      </c>
      <c r="O4540" s="719">
        <v>6</v>
      </c>
      <c r="P4540" s="651">
        <v>7200</v>
      </c>
    </row>
    <row r="4541" spans="1:16" s="619" customFormat="1" ht="36" x14ac:dyDescent="0.2">
      <c r="A4541" s="625" t="s">
        <v>9036</v>
      </c>
      <c r="B4541" s="640" t="s">
        <v>1908</v>
      </c>
      <c r="C4541" s="638" t="s">
        <v>104</v>
      </c>
      <c r="D4541" s="626" t="s">
        <v>9051</v>
      </c>
      <c r="E4541" s="636">
        <v>1200</v>
      </c>
      <c r="F4541" s="637" t="s">
        <v>9264</v>
      </c>
      <c r="G4541" s="626" t="s">
        <v>9265</v>
      </c>
      <c r="H4541" s="626" t="s">
        <v>6240</v>
      </c>
      <c r="I4541" s="626" t="s">
        <v>1931</v>
      </c>
      <c r="J4541" s="638" t="s">
        <v>6240</v>
      </c>
      <c r="K4541" s="719">
        <v>3</v>
      </c>
      <c r="L4541" s="719">
        <v>12</v>
      </c>
      <c r="M4541" s="740">
        <v>14400</v>
      </c>
      <c r="N4541" s="719">
        <v>1</v>
      </c>
      <c r="O4541" s="719">
        <v>6</v>
      </c>
      <c r="P4541" s="651">
        <v>7200</v>
      </c>
    </row>
    <row r="4542" spans="1:16" s="619" customFormat="1" ht="36" x14ac:dyDescent="0.2">
      <c r="A4542" s="625" t="s">
        <v>9036</v>
      </c>
      <c r="B4542" s="640" t="s">
        <v>1908</v>
      </c>
      <c r="C4542" s="638" t="s">
        <v>104</v>
      </c>
      <c r="D4542" s="626" t="s">
        <v>9051</v>
      </c>
      <c r="E4542" s="636">
        <v>1500</v>
      </c>
      <c r="F4542" s="637" t="s">
        <v>9266</v>
      </c>
      <c r="G4542" s="626" t="s">
        <v>9267</v>
      </c>
      <c r="H4542" s="626" t="s">
        <v>6240</v>
      </c>
      <c r="I4542" s="626" t="s">
        <v>1931</v>
      </c>
      <c r="J4542" s="638" t="s">
        <v>6240</v>
      </c>
      <c r="K4542" s="719">
        <v>1</v>
      </c>
      <c r="L4542" s="719">
        <v>2</v>
      </c>
      <c r="M4542" s="740">
        <v>3000</v>
      </c>
      <c r="N4542" s="719">
        <v>1</v>
      </c>
      <c r="O4542" s="719">
        <v>6</v>
      </c>
      <c r="P4542" s="651">
        <v>9000</v>
      </c>
    </row>
    <row r="4543" spans="1:16" s="619" customFormat="1" ht="24" x14ac:dyDescent="0.2">
      <c r="A4543" s="625" t="s">
        <v>9036</v>
      </c>
      <c r="B4543" s="640" t="s">
        <v>1908</v>
      </c>
      <c r="C4543" s="638" t="s">
        <v>104</v>
      </c>
      <c r="D4543" s="626" t="s">
        <v>9051</v>
      </c>
      <c r="E4543" s="636">
        <v>3300</v>
      </c>
      <c r="F4543" s="637" t="s">
        <v>8524</v>
      </c>
      <c r="G4543" s="626" t="s">
        <v>8525</v>
      </c>
      <c r="H4543" s="626" t="s">
        <v>6240</v>
      </c>
      <c r="I4543" s="626" t="s">
        <v>1931</v>
      </c>
      <c r="J4543" s="638" t="s">
        <v>6240</v>
      </c>
      <c r="K4543" s="719">
        <v>1</v>
      </c>
      <c r="L4543" s="719">
        <v>1</v>
      </c>
      <c r="M4543" s="740">
        <v>3300</v>
      </c>
      <c r="N4543" s="719">
        <v>1</v>
      </c>
      <c r="O4543" s="719">
        <v>6</v>
      </c>
      <c r="P4543" s="651">
        <v>19800</v>
      </c>
    </row>
    <row r="4544" spans="1:16" s="619" customFormat="1" ht="24" x14ac:dyDescent="0.2">
      <c r="A4544" s="625" t="s">
        <v>9036</v>
      </c>
      <c r="B4544" s="640" t="s">
        <v>1908</v>
      </c>
      <c r="C4544" s="638" t="s">
        <v>104</v>
      </c>
      <c r="D4544" s="626" t="s">
        <v>9051</v>
      </c>
      <c r="E4544" s="636">
        <v>1200</v>
      </c>
      <c r="F4544" s="637" t="s">
        <v>7765</v>
      </c>
      <c r="G4544" s="626" t="s">
        <v>7766</v>
      </c>
      <c r="H4544" s="626" t="s">
        <v>6240</v>
      </c>
      <c r="I4544" s="626" t="s">
        <v>1931</v>
      </c>
      <c r="J4544" s="638" t="s">
        <v>6240</v>
      </c>
      <c r="K4544" s="719">
        <v>0</v>
      </c>
      <c r="L4544" s="719">
        <v>0</v>
      </c>
      <c r="M4544" s="740">
        <v>0</v>
      </c>
      <c r="N4544" s="719">
        <v>1</v>
      </c>
      <c r="O4544" s="719">
        <v>6</v>
      </c>
      <c r="P4544" s="651">
        <v>7200</v>
      </c>
    </row>
    <row r="4545" spans="1:16" s="619" customFormat="1" ht="36" x14ac:dyDescent="0.2">
      <c r="A4545" s="625" t="s">
        <v>9036</v>
      </c>
      <c r="B4545" s="640" t="s">
        <v>1908</v>
      </c>
      <c r="C4545" s="638" t="s">
        <v>104</v>
      </c>
      <c r="D4545" s="626" t="s">
        <v>9051</v>
      </c>
      <c r="E4545" s="636">
        <v>1500</v>
      </c>
      <c r="F4545" s="637" t="s">
        <v>9268</v>
      </c>
      <c r="G4545" s="626" t="s">
        <v>9269</v>
      </c>
      <c r="H4545" s="626" t="s">
        <v>6240</v>
      </c>
      <c r="I4545" s="626" t="s">
        <v>1931</v>
      </c>
      <c r="J4545" s="638" t="s">
        <v>6240</v>
      </c>
      <c r="K4545" s="719">
        <v>0</v>
      </c>
      <c r="L4545" s="719">
        <v>0</v>
      </c>
      <c r="M4545" s="740">
        <v>0</v>
      </c>
      <c r="N4545" s="719">
        <v>1</v>
      </c>
      <c r="O4545" s="719">
        <v>6</v>
      </c>
      <c r="P4545" s="651">
        <v>9000</v>
      </c>
    </row>
    <row r="4546" spans="1:16" s="619" customFormat="1" ht="36" x14ac:dyDescent="0.2">
      <c r="A4546" s="625" t="s">
        <v>9036</v>
      </c>
      <c r="B4546" s="640" t="s">
        <v>1908</v>
      </c>
      <c r="C4546" s="638" t="s">
        <v>104</v>
      </c>
      <c r="D4546" s="626" t="s">
        <v>9037</v>
      </c>
      <c r="E4546" s="636">
        <v>1200</v>
      </c>
      <c r="F4546" s="637" t="s">
        <v>9270</v>
      </c>
      <c r="G4546" s="626" t="s">
        <v>9271</v>
      </c>
      <c r="H4546" s="626" t="s">
        <v>2177</v>
      </c>
      <c r="I4546" s="626" t="s">
        <v>1931</v>
      </c>
      <c r="J4546" s="638" t="s">
        <v>2177</v>
      </c>
      <c r="K4546" s="719">
        <v>3</v>
      </c>
      <c r="L4546" s="719">
        <v>12</v>
      </c>
      <c r="M4546" s="740">
        <v>14400</v>
      </c>
      <c r="N4546" s="719">
        <v>1</v>
      </c>
      <c r="O4546" s="719">
        <v>6</v>
      </c>
      <c r="P4546" s="651">
        <v>7200</v>
      </c>
    </row>
    <row r="4547" spans="1:16" s="619" customFormat="1" ht="36" x14ac:dyDescent="0.2">
      <c r="A4547" s="625" t="s">
        <v>9036</v>
      </c>
      <c r="B4547" s="640" t="s">
        <v>1908</v>
      </c>
      <c r="C4547" s="638" t="s">
        <v>104</v>
      </c>
      <c r="D4547" s="626" t="s">
        <v>9037</v>
      </c>
      <c r="E4547" s="636">
        <v>1200</v>
      </c>
      <c r="F4547" s="637" t="s">
        <v>9272</v>
      </c>
      <c r="G4547" s="626" t="s">
        <v>9273</v>
      </c>
      <c r="H4547" s="626" t="s">
        <v>2177</v>
      </c>
      <c r="I4547" s="626" t="s">
        <v>1931</v>
      </c>
      <c r="J4547" s="638" t="s">
        <v>2177</v>
      </c>
      <c r="K4547" s="719">
        <v>3</v>
      </c>
      <c r="L4547" s="719">
        <v>12</v>
      </c>
      <c r="M4547" s="740">
        <v>14400</v>
      </c>
      <c r="N4547" s="719">
        <v>1</v>
      </c>
      <c r="O4547" s="719">
        <v>6</v>
      </c>
      <c r="P4547" s="651">
        <v>7200</v>
      </c>
    </row>
    <row r="4548" spans="1:16" s="619" customFormat="1" ht="36" x14ac:dyDescent="0.2">
      <c r="A4548" s="625" t="s">
        <v>9036</v>
      </c>
      <c r="B4548" s="640" t="s">
        <v>1908</v>
      </c>
      <c r="C4548" s="638" t="s">
        <v>104</v>
      </c>
      <c r="D4548" s="626" t="s">
        <v>9037</v>
      </c>
      <c r="E4548" s="636">
        <v>1200</v>
      </c>
      <c r="F4548" s="637" t="s">
        <v>9274</v>
      </c>
      <c r="G4548" s="626" t="s">
        <v>9275</v>
      </c>
      <c r="H4548" s="626" t="s">
        <v>6120</v>
      </c>
      <c r="I4548" s="626" t="s">
        <v>1931</v>
      </c>
      <c r="J4548" s="638" t="s">
        <v>6120</v>
      </c>
      <c r="K4548" s="719">
        <v>3</v>
      </c>
      <c r="L4548" s="719">
        <v>12</v>
      </c>
      <c r="M4548" s="740">
        <v>14400</v>
      </c>
      <c r="N4548" s="719">
        <v>1</v>
      </c>
      <c r="O4548" s="719">
        <v>6</v>
      </c>
      <c r="P4548" s="651">
        <v>7200</v>
      </c>
    </row>
    <row r="4549" spans="1:16" s="619" customFormat="1" ht="48" x14ac:dyDescent="0.2">
      <c r="A4549" s="625" t="s">
        <v>9036</v>
      </c>
      <c r="B4549" s="640" t="s">
        <v>1908</v>
      </c>
      <c r="C4549" s="638" t="s">
        <v>104</v>
      </c>
      <c r="D4549" s="626" t="s">
        <v>9037</v>
      </c>
      <c r="E4549" s="636">
        <v>1500</v>
      </c>
      <c r="F4549" s="637" t="s">
        <v>9276</v>
      </c>
      <c r="G4549" s="626" t="s">
        <v>9277</v>
      </c>
      <c r="H4549" s="626" t="s">
        <v>6120</v>
      </c>
      <c r="I4549" s="626" t="s">
        <v>1931</v>
      </c>
      <c r="J4549" s="638" t="s">
        <v>6120</v>
      </c>
      <c r="K4549" s="719">
        <v>3</v>
      </c>
      <c r="L4549" s="719">
        <v>12</v>
      </c>
      <c r="M4549" s="740">
        <v>18000</v>
      </c>
      <c r="N4549" s="719">
        <v>1</v>
      </c>
      <c r="O4549" s="719">
        <v>6</v>
      </c>
      <c r="P4549" s="651">
        <v>9000</v>
      </c>
    </row>
    <row r="4550" spans="1:16" s="619" customFormat="1" ht="36" x14ac:dyDescent="0.2">
      <c r="A4550" s="625" t="s">
        <v>9036</v>
      </c>
      <c r="B4550" s="640" t="s">
        <v>1908</v>
      </c>
      <c r="C4550" s="638" t="s">
        <v>104</v>
      </c>
      <c r="D4550" s="626" t="s">
        <v>9037</v>
      </c>
      <c r="E4550" s="636">
        <v>1200</v>
      </c>
      <c r="F4550" s="637" t="s">
        <v>9278</v>
      </c>
      <c r="G4550" s="626" t="s">
        <v>9279</v>
      </c>
      <c r="H4550" s="626" t="s">
        <v>6120</v>
      </c>
      <c r="I4550" s="626" t="s">
        <v>1931</v>
      </c>
      <c r="J4550" s="638" t="s">
        <v>6120</v>
      </c>
      <c r="K4550" s="719">
        <v>1</v>
      </c>
      <c r="L4550" s="719">
        <v>4</v>
      </c>
      <c r="M4550" s="740">
        <v>4800</v>
      </c>
      <c r="N4550" s="719">
        <v>0</v>
      </c>
      <c r="O4550" s="719">
        <v>0</v>
      </c>
      <c r="P4550" s="651">
        <v>0</v>
      </c>
    </row>
    <row r="4551" spans="1:16" s="619" customFormat="1" ht="48" x14ac:dyDescent="0.2">
      <c r="A4551" s="625" t="s">
        <v>9036</v>
      </c>
      <c r="B4551" s="640" t="s">
        <v>1908</v>
      </c>
      <c r="C4551" s="638" t="s">
        <v>104</v>
      </c>
      <c r="D4551" s="626" t="s">
        <v>9037</v>
      </c>
      <c r="E4551" s="636">
        <v>1200</v>
      </c>
      <c r="F4551" s="637" t="s">
        <v>9280</v>
      </c>
      <c r="G4551" s="626" t="s">
        <v>9281</v>
      </c>
      <c r="H4551" s="626" t="s">
        <v>6120</v>
      </c>
      <c r="I4551" s="626" t="s">
        <v>1931</v>
      </c>
      <c r="J4551" s="638" t="s">
        <v>6120</v>
      </c>
      <c r="K4551" s="719">
        <v>3</v>
      </c>
      <c r="L4551" s="719">
        <v>12</v>
      </c>
      <c r="M4551" s="740">
        <v>14400</v>
      </c>
      <c r="N4551" s="719">
        <v>1</v>
      </c>
      <c r="O4551" s="719">
        <v>6</v>
      </c>
      <c r="P4551" s="651">
        <v>7200</v>
      </c>
    </row>
    <row r="4552" spans="1:16" s="619" customFormat="1" ht="36" x14ac:dyDescent="0.2">
      <c r="A4552" s="625" t="s">
        <v>9036</v>
      </c>
      <c r="B4552" s="640" t="s">
        <v>1908</v>
      </c>
      <c r="C4552" s="638" t="s">
        <v>104</v>
      </c>
      <c r="D4552" s="626" t="s">
        <v>9037</v>
      </c>
      <c r="E4552" s="636">
        <v>1200</v>
      </c>
      <c r="F4552" s="637" t="s">
        <v>9282</v>
      </c>
      <c r="G4552" s="626" t="s">
        <v>3667</v>
      </c>
      <c r="H4552" s="626" t="s">
        <v>6120</v>
      </c>
      <c r="I4552" s="626" t="s">
        <v>1931</v>
      </c>
      <c r="J4552" s="638" t="s">
        <v>6120</v>
      </c>
      <c r="K4552" s="719">
        <v>1</v>
      </c>
      <c r="L4552" s="719">
        <v>2</v>
      </c>
      <c r="M4552" s="740">
        <v>2400</v>
      </c>
      <c r="N4552" s="719">
        <v>0</v>
      </c>
      <c r="O4552" s="719">
        <v>0</v>
      </c>
      <c r="P4552" s="651">
        <v>0</v>
      </c>
    </row>
    <row r="4553" spans="1:16" s="619" customFormat="1" ht="36" x14ac:dyDescent="0.2">
      <c r="A4553" s="625" t="s">
        <v>9036</v>
      </c>
      <c r="B4553" s="640" t="s">
        <v>1908</v>
      </c>
      <c r="C4553" s="638" t="s">
        <v>104</v>
      </c>
      <c r="D4553" s="626" t="s">
        <v>9037</v>
      </c>
      <c r="E4553" s="636">
        <v>1200</v>
      </c>
      <c r="F4553" s="637" t="s">
        <v>9283</v>
      </c>
      <c r="G4553" s="626" t="s">
        <v>9284</v>
      </c>
      <c r="H4553" s="626" t="s">
        <v>6120</v>
      </c>
      <c r="I4553" s="626" t="s">
        <v>1931</v>
      </c>
      <c r="J4553" s="638" t="s">
        <v>6120</v>
      </c>
      <c r="K4553" s="719">
        <v>1</v>
      </c>
      <c r="L4553" s="719">
        <v>3</v>
      </c>
      <c r="M4553" s="740">
        <v>3600</v>
      </c>
      <c r="N4553" s="719">
        <v>1</v>
      </c>
      <c r="O4553" s="719">
        <v>6</v>
      </c>
      <c r="P4553" s="651">
        <v>7200</v>
      </c>
    </row>
    <row r="4554" spans="1:16" s="619" customFormat="1" ht="36" x14ac:dyDescent="0.2">
      <c r="A4554" s="625" t="s">
        <v>9036</v>
      </c>
      <c r="B4554" s="640" t="s">
        <v>1908</v>
      </c>
      <c r="C4554" s="638" t="s">
        <v>104</v>
      </c>
      <c r="D4554" s="626" t="s">
        <v>9037</v>
      </c>
      <c r="E4554" s="636">
        <v>1200</v>
      </c>
      <c r="F4554" s="637" t="s">
        <v>9285</v>
      </c>
      <c r="G4554" s="626" t="s">
        <v>9286</v>
      </c>
      <c r="H4554" s="626" t="s">
        <v>6120</v>
      </c>
      <c r="I4554" s="626" t="s">
        <v>1931</v>
      </c>
      <c r="J4554" s="638" t="s">
        <v>6120</v>
      </c>
      <c r="K4554" s="719">
        <v>1</v>
      </c>
      <c r="L4554" s="719">
        <v>3</v>
      </c>
      <c r="M4554" s="740">
        <v>3600</v>
      </c>
      <c r="N4554" s="719">
        <v>1</v>
      </c>
      <c r="O4554" s="719">
        <v>6</v>
      </c>
      <c r="P4554" s="651">
        <v>7200</v>
      </c>
    </row>
    <row r="4555" spans="1:16" s="619" customFormat="1" ht="36" x14ac:dyDescent="0.2">
      <c r="A4555" s="625" t="s">
        <v>9036</v>
      </c>
      <c r="B4555" s="640" t="s">
        <v>1908</v>
      </c>
      <c r="C4555" s="638" t="s">
        <v>104</v>
      </c>
      <c r="D4555" s="626" t="s">
        <v>9051</v>
      </c>
      <c r="E4555" s="636">
        <v>1200</v>
      </c>
      <c r="F4555" s="637" t="s">
        <v>9287</v>
      </c>
      <c r="G4555" s="626" t="s">
        <v>9288</v>
      </c>
      <c r="H4555" s="626" t="s">
        <v>2660</v>
      </c>
      <c r="I4555" s="626" t="s">
        <v>1931</v>
      </c>
      <c r="J4555" s="638" t="s">
        <v>2660</v>
      </c>
      <c r="K4555" s="719">
        <v>3</v>
      </c>
      <c r="L4555" s="719">
        <v>12</v>
      </c>
      <c r="M4555" s="740">
        <v>14400</v>
      </c>
      <c r="N4555" s="719">
        <v>1</v>
      </c>
      <c r="O4555" s="719">
        <v>6</v>
      </c>
      <c r="P4555" s="651">
        <v>7200</v>
      </c>
    </row>
    <row r="4556" spans="1:16" s="619" customFormat="1" ht="24" x14ac:dyDescent="0.2">
      <c r="A4556" s="625" t="s">
        <v>9036</v>
      </c>
      <c r="B4556" s="640" t="s">
        <v>1908</v>
      </c>
      <c r="C4556" s="638" t="s">
        <v>104</v>
      </c>
      <c r="D4556" s="626" t="s">
        <v>9051</v>
      </c>
      <c r="E4556" s="636">
        <v>1200</v>
      </c>
      <c r="F4556" s="637" t="s">
        <v>9289</v>
      </c>
      <c r="G4556" s="626" t="s">
        <v>9290</v>
      </c>
      <c r="H4556" s="626" t="s">
        <v>2660</v>
      </c>
      <c r="I4556" s="626" t="s">
        <v>1931</v>
      </c>
      <c r="J4556" s="638" t="s">
        <v>2660</v>
      </c>
      <c r="K4556" s="719">
        <v>1</v>
      </c>
      <c r="L4556" s="719">
        <v>1</v>
      </c>
      <c r="M4556" s="740">
        <v>1200</v>
      </c>
      <c r="N4556" s="719">
        <v>1</v>
      </c>
      <c r="O4556" s="719">
        <v>6</v>
      </c>
      <c r="P4556" s="651">
        <v>7200</v>
      </c>
    </row>
    <row r="4557" spans="1:16" s="619" customFormat="1" ht="36" x14ac:dyDescent="0.2">
      <c r="A4557" s="625" t="s">
        <v>9036</v>
      </c>
      <c r="B4557" s="640" t="s">
        <v>1908</v>
      </c>
      <c r="C4557" s="638" t="s">
        <v>104</v>
      </c>
      <c r="D4557" s="626" t="s">
        <v>9051</v>
      </c>
      <c r="E4557" s="636">
        <v>1500</v>
      </c>
      <c r="F4557" s="637" t="s">
        <v>9291</v>
      </c>
      <c r="G4557" s="626" t="s">
        <v>9292</v>
      </c>
      <c r="H4557" s="626" t="s">
        <v>2660</v>
      </c>
      <c r="I4557" s="626" t="s">
        <v>1931</v>
      </c>
      <c r="J4557" s="638" t="s">
        <v>2660</v>
      </c>
      <c r="K4557" s="719">
        <v>2</v>
      </c>
      <c r="L4557" s="719">
        <v>5</v>
      </c>
      <c r="M4557" s="740">
        <v>7500</v>
      </c>
      <c r="N4557" s="719">
        <v>1</v>
      </c>
      <c r="O4557" s="719">
        <v>6</v>
      </c>
      <c r="P4557" s="651">
        <v>9000</v>
      </c>
    </row>
    <row r="4558" spans="1:16" s="619" customFormat="1" ht="36" x14ac:dyDescent="0.2">
      <c r="A4558" s="625" t="s">
        <v>9036</v>
      </c>
      <c r="B4558" s="640" t="s">
        <v>1908</v>
      </c>
      <c r="C4558" s="638" t="s">
        <v>104</v>
      </c>
      <c r="D4558" s="626" t="s">
        <v>9051</v>
      </c>
      <c r="E4558" s="636">
        <v>1200</v>
      </c>
      <c r="F4558" s="637" t="s">
        <v>9293</v>
      </c>
      <c r="G4558" s="626" t="s">
        <v>9294</v>
      </c>
      <c r="H4558" s="626" t="s">
        <v>2660</v>
      </c>
      <c r="I4558" s="626" t="s">
        <v>1931</v>
      </c>
      <c r="J4558" s="638" t="s">
        <v>2660</v>
      </c>
      <c r="K4558" s="719">
        <v>3</v>
      </c>
      <c r="L4558" s="719">
        <v>12</v>
      </c>
      <c r="M4558" s="740">
        <v>14400</v>
      </c>
      <c r="N4558" s="719">
        <v>1</v>
      </c>
      <c r="O4558" s="719">
        <v>6</v>
      </c>
      <c r="P4558" s="651">
        <v>7200</v>
      </c>
    </row>
    <row r="4559" spans="1:16" s="619" customFormat="1" ht="36" x14ac:dyDescent="0.2">
      <c r="A4559" s="625" t="s">
        <v>9036</v>
      </c>
      <c r="B4559" s="640" t="s">
        <v>1908</v>
      </c>
      <c r="C4559" s="638" t="s">
        <v>104</v>
      </c>
      <c r="D4559" s="626" t="s">
        <v>9051</v>
      </c>
      <c r="E4559" s="636">
        <v>1200</v>
      </c>
      <c r="F4559" s="637" t="s">
        <v>9295</v>
      </c>
      <c r="G4559" s="626" t="s">
        <v>9296</v>
      </c>
      <c r="H4559" s="626" t="s">
        <v>2660</v>
      </c>
      <c r="I4559" s="626" t="s">
        <v>1931</v>
      </c>
      <c r="J4559" s="638" t="s">
        <v>2660</v>
      </c>
      <c r="K4559" s="719">
        <v>3</v>
      </c>
      <c r="L4559" s="719">
        <v>7</v>
      </c>
      <c r="M4559" s="740">
        <v>8400</v>
      </c>
      <c r="N4559" s="719">
        <v>1</v>
      </c>
      <c r="O4559" s="719">
        <v>6</v>
      </c>
      <c r="P4559" s="651">
        <v>7200</v>
      </c>
    </row>
    <row r="4560" spans="1:16" s="619" customFormat="1" ht="36" x14ac:dyDescent="0.2">
      <c r="A4560" s="625" t="s">
        <v>9036</v>
      </c>
      <c r="B4560" s="640" t="s">
        <v>1908</v>
      </c>
      <c r="C4560" s="638" t="s">
        <v>104</v>
      </c>
      <c r="D4560" s="626" t="s">
        <v>9051</v>
      </c>
      <c r="E4560" s="636">
        <v>1200</v>
      </c>
      <c r="F4560" s="637" t="s">
        <v>9297</v>
      </c>
      <c r="G4560" s="626" t="s">
        <v>9298</v>
      </c>
      <c r="H4560" s="626" t="s">
        <v>2660</v>
      </c>
      <c r="I4560" s="626" t="s">
        <v>1931</v>
      </c>
      <c r="J4560" s="638" t="s">
        <v>2660</v>
      </c>
      <c r="K4560" s="719">
        <v>1</v>
      </c>
      <c r="L4560" s="719">
        <v>2</v>
      </c>
      <c r="M4560" s="740">
        <v>2400</v>
      </c>
      <c r="N4560" s="719">
        <v>1</v>
      </c>
      <c r="O4560" s="719">
        <v>6</v>
      </c>
      <c r="P4560" s="651">
        <v>7200</v>
      </c>
    </row>
    <row r="4561" spans="1:16" s="619" customFormat="1" ht="24" x14ac:dyDescent="0.2">
      <c r="A4561" s="625" t="s">
        <v>9036</v>
      </c>
      <c r="B4561" s="640" t="s">
        <v>1908</v>
      </c>
      <c r="C4561" s="638" t="s">
        <v>104</v>
      </c>
      <c r="D4561" s="626" t="s">
        <v>9051</v>
      </c>
      <c r="E4561" s="636">
        <v>1200</v>
      </c>
      <c r="F4561" s="637" t="s">
        <v>9299</v>
      </c>
      <c r="G4561" s="626" t="s">
        <v>9300</v>
      </c>
      <c r="H4561" s="626" t="s">
        <v>2660</v>
      </c>
      <c r="I4561" s="626" t="s">
        <v>1931</v>
      </c>
      <c r="J4561" s="638" t="s">
        <v>2660</v>
      </c>
      <c r="K4561" s="719">
        <v>3</v>
      </c>
      <c r="L4561" s="719">
        <v>12</v>
      </c>
      <c r="M4561" s="740">
        <v>14400</v>
      </c>
      <c r="N4561" s="719">
        <v>1</v>
      </c>
      <c r="O4561" s="719">
        <v>6</v>
      </c>
      <c r="P4561" s="651">
        <v>7200</v>
      </c>
    </row>
    <row r="4562" spans="1:16" s="619" customFormat="1" ht="36" x14ac:dyDescent="0.2">
      <c r="A4562" s="625" t="s">
        <v>9036</v>
      </c>
      <c r="B4562" s="640" t="s">
        <v>1908</v>
      </c>
      <c r="C4562" s="638" t="s">
        <v>104</v>
      </c>
      <c r="D4562" s="626" t="s">
        <v>9051</v>
      </c>
      <c r="E4562" s="636">
        <v>1200</v>
      </c>
      <c r="F4562" s="637" t="s">
        <v>8498</v>
      </c>
      <c r="G4562" s="626" t="s">
        <v>8499</v>
      </c>
      <c r="H4562" s="626" t="s">
        <v>2660</v>
      </c>
      <c r="I4562" s="626" t="s">
        <v>1931</v>
      </c>
      <c r="J4562" s="638" t="s">
        <v>2660</v>
      </c>
      <c r="K4562" s="719">
        <v>2</v>
      </c>
      <c r="L4562" s="719">
        <v>5</v>
      </c>
      <c r="M4562" s="740">
        <v>6000</v>
      </c>
      <c r="N4562" s="719">
        <v>0</v>
      </c>
      <c r="O4562" s="719">
        <v>0</v>
      </c>
      <c r="P4562" s="651">
        <v>0</v>
      </c>
    </row>
    <row r="4563" spans="1:16" s="619" customFormat="1" ht="48" x14ac:dyDescent="0.2">
      <c r="A4563" s="625" t="s">
        <v>9036</v>
      </c>
      <c r="B4563" s="640" t="s">
        <v>1908</v>
      </c>
      <c r="C4563" s="638" t="s">
        <v>104</v>
      </c>
      <c r="D4563" s="626" t="s">
        <v>9051</v>
      </c>
      <c r="E4563" s="636">
        <v>1200</v>
      </c>
      <c r="F4563" s="637" t="s">
        <v>9301</v>
      </c>
      <c r="G4563" s="626" t="s">
        <v>9302</v>
      </c>
      <c r="H4563" s="626" t="s">
        <v>2660</v>
      </c>
      <c r="I4563" s="626" t="s">
        <v>1931</v>
      </c>
      <c r="J4563" s="638" t="s">
        <v>2660</v>
      </c>
      <c r="K4563" s="719">
        <v>3</v>
      </c>
      <c r="L4563" s="719">
        <v>12</v>
      </c>
      <c r="M4563" s="740">
        <v>14400</v>
      </c>
      <c r="N4563" s="719">
        <v>1</v>
      </c>
      <c r="O4563" s="719">
        <v>6</v>
      </c>
      <c r="P4563" s="651">
        <v>7200</v>
      </c>
    </row>
    <row r="4564" spans="1:16" s="619" customFormat="1" ht="48" x14ac:dyDescent="0.2">
      <c r="A4564" s="625" t="s">
        <v>9036</v>
      </c>
      <c r="B4564" s="640" t="s">
        <v>1908</v>
      </c>
      <c r="C4564" s="638" t="s">
        <v>104</v>
      </c>
      <c r="D4564" s="626" t="s">
        <v>9051</v>
      </c>
      <c r="E4564" s="636">
        <v>1500</v>
      </c>
      <c r="F4564" s="637" t="s">
        <v>9303</v>
      </c>
      <c r="G4564" s="626" t="s">
        <v>9304</v>
      </c>
      <c r="H4564" s="626" t="s">
        <v>2660</v>
      </c>
      <c r="I4564" s="626" t="s">
        <v>1931</v>
      </c>
      <c r="J4564" s="638" t="s">
        <v>2660</v>
      </c>
      <c r="K4564" s="719">
        <v>2</v>
      </c>
      <c r="L4564" s="719">
        <v>6</v>
      </c>
      <c r="M4564" s="740">
        <v>9000</v>
      </c>
      <c r="N4564" s="719">
        <v>1</v>
      </c>
      <c r="O4564" s="719">
        <v>6</v>
      </c>
      <c r="P4564" s="651">
        <v>9000</v>
      </c>
    </row>
    <row r="4565" spans="1:16" s="619" customFormat="1" ht="36" x14ac:dyDescent="0.2">
      <c r="A4565" s="625" t="s">
        <v>9036</v>
      </c>
      <c r="B4565" s="640" t="s">
        <v>1908</v>
      </c>
      <c r="C4565" s="638" t="s">
        <v>104</v>
      </c>
      <c r="D4565" s="626" t="s">
        <v>9051</v>
      </c>
      <c r="E4565" s="636">
        <v>1200</v>
      </c>
      <c r="F4565" s="637" t="s">
        <v>9305</v>
      </c>
      <c r="G4565" s="626" t="s">
        <v>9306</v>
      </c>
      <c r="H4565" s="626" t="s">
        <v>2660</v>
      </c>
      <c r="I4565" s="626" t="s">
        <v>1931</v>
      </c>
      <c r="J4565" s="638" t="s">
        <v>2660</v>
      </c>
      <c r="K4565" s="719">
        <v>3</v>
      </c>
      <c r="L4565" s="719">
        <v>12</v>
      </c>
      <c r="M4565" s="740">
        <v>14400</v>
      </c>
      <c r="N4565" s="719">
        <v>1</v>
      </c>
      <c r="O4565" s="719">
        <v>6</v>
      </c>
      <c r="P4565" s="651">
        <v>7200</v>
      </c>
    </row>
    <row r="4566" spans="1:16" s="619" customFormat="1" ht="36" x14ac:dyDescent="0.2">
      <c r="A4566" s="625" t="s">
        <v>9036</v>
      </c>
      <c r="B4566" s="640" t="s">
        <v>1908</v>
      </c>
      <c r="C4566" s="638" t="s">
        <v>104</v>
      </c>
      <c r="D4566" s="626" t="s">
        <v>9051</v>
      </c>
      <c r="E4566" s="636">
        <v>1500</v>
      </c>
      <c r="F4566" s="637" t="s">
        <v>9307</v>
      </c>
      <c r="G4566" s="626" t="s">
        <v>9308</v>
      </c>
      <c r="H4566" s="626" t="s">
        <v>2660</v>
      </c>
      <c r="I4566" s="626" t="s">
        <v>1931</v>
      </c>
      <c r="J4566" s="638" t="s">
        <v>2660</v>
      </c>
      <c r="K4566" s="719">
        <v>2</v>
      </c>
      <c r="L4566" s="719">
        <v>7</v>
      </c>
      <c r="M4566" s="740">
        <v>10500</v>
      </c>
      <c r="N4566" s="719">
        <v>1</v>
      </c>
      <c r="O4566" s="719">
        <v>6</v>
      </c>
      <c r="P4566" s="651">
        <v>9000</v>
      </c>
    </row>
    <row r="4567" spans="1:16" s="619" customFormat="1" ht="24" x14ac:dyDescent="0.2">
      <c r="A4567" s="625" t="s">
        <v>9036</v>
      </c>
      <c r="B4567" s="640" t="s">
        <v>1908</v>
      </c>
      <c r="C4567" s="638" t="s">
        <v>104</v>
      </c>
      <c r="D4567" s="626" t="s">
        <v>9051</v>
      </c>
      <c r="E4567" s="636">
        <v>1500</v>
      </c>
      <c r="F4567" s="637" t="s">
        <v>9309</v>
      </c>
      <c r="G4567" s="626" t="s">
        <v>9310</v>
      </c>
      <c r="H4567" s="626" t="s">
        <v>2660</v>
      </c>
      <c r="I4567" s="626" t="s">
        <v>1931</v>
      </c>
      <c r="J4567" s="638" t="s">
        <v>2660</v>
      </c>
      <c r="K4567" s="719">
        <v>2</v>
      </c>
      <c r="L4567" s="719">
        <v>6</v>
      </c>
      <c r="M4567" s="740">
        <v>9000</v>
      </c>
      <c r="N4567" s="719">
        <v>1</v>
      </c>
      <c r="O4567" s="719">
        <v>6</v>
      </c>
      <c r="P4567" s="651">
        <v>9000</v>
      </c>
    </row>
    <row r="4568" spans="1:16" s="619" customFormat="1" ht="24" x14ac:dyDescent="0.2">
      <c r="A4568" s="625" t="s">
        <v>9036</v>
      </c>
      <c r="B4568" s="640" t="s">
        <v>1908</v>
      </c>
      <c r="C4568" s="638" t="s">
        <v>104</v>
      </c>
      <c r="D4568" s="626" t="s">
        <v>9051</v>
      </c>
      <c r="E4568" s="636">
        <v>1500</v>
      </c>
      <c r="F4568" s="637" t="s">
        <v>9311</v>
      </c>
      <c r="G4568" s="626" t="s">
        <v>9312</v>
      </c>
      <c r="H4568" s="626" t="s">
        <v>2660</v>
      </c>
      <c r="I4568" s="626" t="s">
        <v>1931</v>
      </c>
      <c r="J4568" s="638" t="s">
        <v>2660</v>
      </c>
      <c r="K4568" s="719">
        <v>2</v>
      </c>
      <c r="L4568" s="719">
        <v>5</v>
      </c>
      <c r="M4568" s="740">
        <v>7500</v>
      </c>
      <c r="N4568" s="719">
        <v>1</v>
      </c>
      <c r="O4568" s="719">
        <v>6</v>
      </c>
      <c r="P4568" s="651">
        <v>9000</v>
      </c>
    </row>
    <row r="4569" spans="1:16" s="619" customFormat="1" ht="24" x14ac:dyDescent="0.2">
      <c r="A4569" s="625" t="s">
        <v>9036</v>
      </c>
      <c r="B4569" s="640" t="s">
        <v>1908</v>
      </c>
      <c r="C4569" s="638" t="s">
        <v>104</v>
      </c>
      <c r="D4569" s="626" t="s">
        <v>9051</v>
      </c>
      <c r="E4569" s="636">
        <v>1500</v>
      </c>
      <c r="F4569" s="637" t="s">
        <v>9313</v>
      </c>
      <c r="G4569" s="626" t="s">
        <v>9314</v>
      </c>
      <c r="H4569" s="626" t="s">
        <v>2660</v>
      </c>
      <c r="I4569" s="626" t="s">
        <v>1931</v>
      </c>
      <c r="J4569" s="638" t="s">
        <v>2660</v>
      </c>
      <c r="K4569" s="719">
        <v>1</v>
      </c>
      <c r="L4569" s="719">
        <v>2</v>
      </c>
      <c r="M4569" s="740">
        <v>3000</v>
      </c>
      <c r="N4569" s="719">
        <v>1</v>
      </c>
      <c r="O4569" s="719">
        <v>6</v>
      </c>
      <c r="P4569" s="651">
        <v>9000</v>
      </c>
    </row>
    <row r="4570" spans="1:16" s="619" customFormat="1" ht="24" x14ac:dyDescent="0.2">
      <c r="A4570" s="625" t="s">
        <v>9036</v>
      </c>
      <c r="B4570" s="640" t="s">
        <v>1908</v>
      </c>
      <c r="C4570" s="638" t="s">
        <v>104</v>
      </c>
      <c r="D4570" s="626" t="s">
        <v>9051</v>
      </c>
      <c r="E4570" s="636">
        <v>3300</v>
      </c>
      <c r="F4570" s="637">
        <v>42199145</v>
      </c>
      <c r="G4570" s="626" t="s">
        <v>9315</v>
      </c>
      <c r="H4570" s="626" t="s">
        <v>2660</v>
      </c>
      <c r="I4570" s="626" t="s">
        <v>1931</v>
      </c>
      <c r="J4570" s="638" t="s">
        <v>2660</v>
      </c>
      <c r="K4570" s="719">
        <v>1</v>
      </c>
      <c r="L4570" s="719">
        <v>1</v>
      </c>
      <c r="M4570" s="740">
        <v>3300</v>
      </c>
      <c r="N4570" s="719">
        <v>1</v>
      </c>
      <c r="O4570" s="719">
        <v>6</v>
      </c>
      <c r="P4570" s="651">
        <v>19800</v>
      </c>
    </row>
    <row r="4571" spans="1:16" s="619" customFormat="1" ht="24" x14ac:dyDescent="0.2">
      <c r="A4571" s="625" t="s">
        <v>9036</v>
      </c>
      <c r="B4571" s="640" t="s">
        <v>1908</v>
      </c>
      <c r="C4571" s="638" t="s">
        <v>104</v>
      </c>
      <c r="D4571" s="626" t="s">
        <v>9051</v>
      </c>
      <c r="E4571" s="636">
        <v>1200</v>
      </c>
      <c r="F4571" s="637" t="s">
        <v>8460</v>
      </c>
      <c r="G4571" s="626" t="s">
        <v>8461</v>
      </c>
      <c r="H4571" s="626" t="s">
        <v>2660</v>
      </c>
      <c r="I4571" s="626" t="s">
        <v>1931</v>
      </c>
      <c r="J4571" s="638" t="s">
        <v>2660</v>
      </c>
      <c r="K4571" s="719">
        <v>1</v>
      </c>
      <c r="L4571" s="719">
        <v>3</v>
      </c>
      <c r="M4571" s="740">
        <v>3600</v>
      </c>
      <c r="N4571" s="719">
        <v>1</v>
      </c>
      <c r="O4571" s="719">
        <v>6</v>
      </c>
      <c r="P4571" s="651">
        <v>7200</v>
      </c>
    </row>
    <row r="4572" spans="1:16" s="619" customFormat="1" ht="24" x14ac:dyDescent="0.2">
      <c r="A4572" s="625" t="s">
        <v>9036</v>
      </c>
      <c r="B4572" s="640" t="s">
        <v>1908</v>
      </c>
      <c r="C4572" s="638" t="s">
        <v>104</v>
      </c>
      <c r="D4572" s="626" t="s">
        <v>9051</v>
      </c>
      <c r="E4572" s="636">
        <v>3300</v>
      </c>
      <c r="F4572" s="637" t="s">
        <v>9316</v>
      </c>
      <c r="G4572" s="626" t="s">
        <v>9317</v>
      </c>
      <c r="H4572" s="626" t="s">
        <v>2660</v>
      </c>
      <c r="I4572" s="626" t="s">
        <v>1931</v>
      </c>
      <c r="J4572" s="638" t="s">
        <v>2660</v>
      </c>
      <c r="K4572" s="719">
        <v>1</v>
      </c>
      <c r="L4572" s="719">
        <v>3</v>
      </c>
      <c r="M4572" s="740">
        <v>9900</v>
      </c>
      <c r="N4572" s="719">
        <v>1</v>
      </c>
      <c r="O4572" s="719">
        <v>5</v>
      </c>
      <c r="P4572" s="651">
        <v>16500</v>
      </c>
    </row>
    <row r="4573" spans="1:16" s="619" customFormat="1" ht="36" x14ac:dyDescent="0.2">
      <c r="A4573" s="625" t="s">
        <v>9036</v>
      </c>
      <c r="B4573" s="640" t="s">
        <v>1908</v>
      </c>
      <c r="C4573" s="638" t="s">
        <v>104</v>
      </c>
      <c r="D4573" s="626" t="s">
        <v>9051</v>
      </c>
      <c r="E4573" s="636">
        <v>3300</v>
      </c>
      <c r="F4573" s="637">
        <v>41866892</v>
      </c>
      <c r="G4573" s="626" t="s">
        <v>9318</v>
      </c>
      <c r="H4573" s="626" t="s">
        <v>2660</v>
      </c>
      <c r="I4573" s="626" t="s">
        <v>1931</v>
      </c>
      <c r="J4573" s="638" t="s">
        <v>2660</v>
      </c>
      <c r="K4573" s="719">
        <v>1</v>
      </c>
      <c r="L4573" s="719">
        <v>3</v>
      </c>
      <c r="M4573" s="740">
        <v>9900</v>
      </c>
      <c r="N4573" s="719">
        <v>1</v>
      </c>
      <c r="O4573" s="719">
        <v>6</v>
      </c>
      <c r="P4573" s="651">
        <v>19800</v>
      </c>
    </row>
    <row r="4574" spans="1:16" s="619" customFormat="1" ht="24" x14ac:dyDescent="0.2">
      <c r="A4574" s="625" t="s">
        <v>9036</v>
      </c>
      <c r="B4574" s="640" t="s">
        <v>1908</v>
      </c>
      <c r="C4574" s="638" t="s">
        <v>104</v>
      </c>
      <c r="D4574" s="626" t="s">
        <v>9051</v>
      </c>
      <c r="E4574" s="636">
        <v>3300</v>
      </c>
      <c r="F4574" s="637" t="s">
        <v>9319</v>
      </c>
      <c r="G4574" s="626" t="s">
        <v>9320</v>
      </c>
      <c r="H4574" s="626" t="s">
        <v>2660</v>
      </c>
      <c r="I4574" s="626" t="s">
        <v>1931</v>
      </c>
      <c r="J4574" s="638" t="s">
        <v>2660</v>
      </c>
      <c r="K4574" s="719">
        <v>2</v>
      </c>
      <c r="L4574" s="719">
        <v>8</v>
      </c>
      <c r="M4574" s="740">
        <v>26400</v>
      </c>
      <c r="N4574" s="719">
        <v>1</v>
      </c>
      <c r="O4574" s="719">
        <v>6</v>
      </c>
      <c r="P4574" s="651">
        <v>19800</v>
      </c>
    </row>
    <row r="4575" spans="1:16" s="619" customFormat="1" ht="24" x14ac:dyDescent="0.2">
      <c r="A4575" s="625" t="s">
        <v>9036</v>
      </c>
      <c r="B4575" s="640" t="s">
        <v>1908</v>
      </c>
      <c r="C4575" s="638" t="s">
        <v>104</v>
      </c>
      <c r="D4575" s="626" t="s">
        <v>9051</v>
      </c>
      <c r="E4575" s="636">
        <v>3300</v>
      </c>
      <c r="F4575" s="637" t="s">
        <v>9321</v>
      </c>
      <c r="G4575" s="626" t="s">
        <v>9322</v>
      </c>
      <c r="H4575" s="626" t="s">
        <v>2660</v>
      </c>
      <c r="I4575" s="626" t="s">
        <v>1931</v>
      </c>
      <c r="J4575" s="638" t="s">
        <v>2660</v>
      </c>
      <c r="K4575" s="719">
        <v>1</v>
      </c>
      <c r="L4575" s="719">
        <v>3</v>
      </c>
      <c r="M4575" s="740">
        <v>9900</v>
      </c>
      <c r="N4575" s="719">
        <v>1</v>
      </c>
      <c r="O4575" s="719">
        <v>6</v>
      </c>
      <c r="P4575" s="651">
        <v>19800</v>
      </c>
    </row>
    <row r="4576" spans="1:16" s="619" customFormat="1" ht="48" x14ac:dyDescent="0.2">
      <c r="A4576" s="625" t="s">
        <v>9036</v>
      </c>
      <c r="B4576" s="640" t="s">
        <v>1908</v>
      </c>
      <c r="C4576" s="638" t="s">
        <v>104</v>
      </c>
      <c r="D4576" s="626" t="s">
        <v>9051</v>
      </c>
      <c r="E4576" s="636">
        <v>3300</v>
      </c>
      <c r="F4576" s="637" t="s">
        <v>9323</v>
      </c>
      <c r="G4576" s="626" t="s">
        <v>9324</v>
      </c>
      <c r="H4576" s="626" t="s">
        <v>2660</v>
      </c>
      <c r="I4576" s="626" t="s">
        <v>1931</v>
      </c>
      <c r="J4576" s="638" t="s">
        <v>2660</v>
      </c>
      <c r="K4576" s="719">
        <v>1</v>
      </c>
      <c r="L4576" s="719">
        <v>1</v>
      </c>
      <c r="M4576" s="740">
        <v>3300</v>
      </c>
      <c r="N4576" s="719">
        <v>1</v>
      </c>
      <c r="O4576" s="719">
        <v>6</v>
      </c>
      <c r="P4576" s="651">
        <v>19800</v>
      </c>
    </row>
    <row r="4577" spans="1:16" s="619" customFormat="1" ht="24" x14ac:dyDescent="0.2">
      <c r="A4577" s="625" t="s">
        <v>9036</v>
      </c>
      <c r="B4577" s="640" t="s">
        <v>1908</v>
      </c>
      <c r="C4577" s="638" t="s">
        <v>104</v>
      </c>
      <c r="D4577" s="626" t="s">
        <v>9051</v>
      </c>
      <c r="E4577" s="636">
        <v>3300</v>
      </c>
      <c r="F4577" s="637" t="s">
        <v>9325</v>
      </c>
      <c r="G4577" s="626" t="s">
        <v>9326</v>
      </c>
      <c r="H4577" s="626" t="s">
        <v>2660</v>
      </c>
      <c r="I4577" s="626" t="s">
        <v>1931</v>
      </c>
      <c r="J4577" s="638" t="s">
        <v>2660</v>
      </c>
      <c r="K4577" s="719">
        <v>1</v>
      </c>
      <c r="L4577" s="719">
        <v>3</v>
      </c>
      <c r="M4577" s="740">
        <v>9900</v>
      </c>
      <c r="N4577" s="719">
        <v>1</v>
      </c>
      <c r="O4577" s="719">
        <v>6</v>
      </c>
      <c r="P4577" s="651">
        <v>19800</v>
      </c>
    </row>
    <row r="4578" spans="1:16" s="619" customFormat="1" ht="36" x14ac:dyDescent="0.2">
      <c r="A4578" s="625" t="s">
        <v>9036</v>
      </c>
      <c r="B4578" s="640" t="s">
        <v>1908</v>
      </c>
      <c r="C4578" s="638" t="s">
        <v>104</v>
      </c>
      <c r="D4578" s="626" t="s">
        <v>9051</v>
      </c>
      <c r="E4578" s="636">
        <v>3300</v>
      </c>
      <c r="F4578" s="637" t="s">
        <v>9327</v>
      </c>
      <c r="G4578" s="626" t="s">
        <v>9328</v>
      </c>
      <c r="H4578" s="626" t="s">
        <v>2660</v>
      </c>
      <c r="I4578" s="626" t="s">
        <v>1931</v>
      </c>
      <c r="J4578" s="638" t="s">
        <v>2660</v>
      </c>
      <c r="K4578" s="719">
        <v>1</v>
      </c>
      <c r="L4578" s="719">
        <v>3</v>
      </c>
      <c r="M4578" s="740">
        <v>9900</v>
      </c>
      <c r="N4578" s="719">
        <v>1</v>
      </c>
      <c r="O4578" s="719">
        <v>6</v>
      </c>
      <c r="P4578" s="651">
        <v>19800</v>
      </c>
    </row>
    <row r="4579" spans="1:16" s="619" customFormat="1" ht="24" x14ac:dyDescent="0.2">
      <c r="A4579" s="625" t="s">
        <v>9036</v>
      </c>
      <c r="B4579" s="640" t="s">
        <v>1908</v>
      </c>
      <c r="C4579" s="638" t="s">
        <v>104</v>
      </c>
      <c r="D4579" s="626" t="s">
        <v>9051</v>
      </c>
      <c r="E4579" s="636">
        <v>3300</v>
      </c>
      <c r="F4579" s="637" t="s">
        <v>9329</v>
      </c>
      <c r="G4579" s="626" t="s">
        <v>9330</v>
      </c>
      <c r="H4579" s="626" t="s">
        <v>2660</v>
      </c>
      <c r="I4579" s="626" t="s">
        <v>1931</v>
      </c>
      <c r="J4579" s="638" t="s">
        <v>2660</v>
      </c>
      <c r="K4579" s="719">
        <v>1</v>
      </c>
      <c r="L4579" s="719">
        <v>1</v>
      </c>
      <c r="M4579" s="740">
        <v>3300</v>
      </c>
      <c r="N4579" s="719">
        <v>1</v>
      </c>
      <c r="O4579" s="719">
        <v>6</v>
      </c>
      <c r="P4579" s="651">
        <v>19800</v>
      </c>
    </row>
    <row r="4580" spans="1:16" s="619" customFormat="1" ht="48" x14ac:dyDescent="0.2">
      <c r="A4580" s="625" t="s">
        <v>9036</v>
      </c>
      <c r="B4580" s="640" t="s">
        <v>1908</v>
      </c>
      <c r="C4580" s="638" t="s">
        <v>104</v>
      </c>
      <c r="D4580" s="626" t="s">
        <v>9051</v>
      </c>
      <c r="E4580" s="636">
        <v>3300</v>
      </c>
      <c r="F4580" s="637" t="s">
        <v>9331</v>
      </c>
      <c r="G4580" s="626" t="s">
        <v>9332</v>
      </c>
      <c r="H4580" s="626" t="s">
        <v>2660</v>
      </c>
      <c r="I4580" s="626" t="s">
        <v>1931</v>
      </c>
      <c r="J4580" s="638" t="s">
        <v>2660</v>
      </c>
      <c r="K4580" s="719">
        <v>1</v>
      </c>
      <c r="L4580" s="719">
        <v>3</v>
      </c>
      <c r="M4580" s="740">
        <v>9900</v>
      </c>
      <c r="N4580" s="719">
        <v>1</v>
      </c>
      <c r="O4580" s="719">
        <v>6</v>
      </c>
      <c r="P4580" s="651">
        <v>19800</v>
      </c>
    </row>
    <row r="4581" spans="1:16" s="619" customFormat="1" ht="36" x14ac:dyDescent="0.2">
      <c r="A4581" s="625" t="s">
        <v>9036</v>
      </c>
      <c r="B4581" s="640" t="s">
        <v>1908</v>
      </c>
      <c r="C4581" s="638" t="s">
        <v>104</v>
      </c>
      <c r="D4581" s="626" t="s">
        <v>9051</v>
      </c>
      <c r="E4581" s="636">
        <v>1760</v>
      </c>
      <c r="F4581" s="637" t="s">
        <v>9333</v>
      </c>
      <c r="G4581" s="626" t="s">
        <v>9334</v>
      </c>
      <c r="H4581" s="626" t="s">
        <v>2660</v>
      </c>
      <c r="I4581" s="626" t="s">
        <v>1931</v>
      </c>
      <c r="J4581" s="638" t="s">
        <v>2660</v>
      </c>
      <c r="K4581" s="719">
        <v>1</v>
      </c>
      <c r="L4581" s="719">
        <v>3</v>
      </c>
      <c r="M4581" s="740">
        <v>5280</v>
      </c>
      <c r="N4581" s="719">
        <v>1</v>
      </c>
      <c r="O4581" s="719">
        <v>6</v>
      </c>
      <c r="P4581" s="651">
        <v>10560</v>
      </c>
    </row>
    <row r="4582" spans="1:16" s="619" customFormat="1" ht="24" x14ac:dyDescent="0.2">
      <c r="A4582" s="625" t="s">
        <v>9036</v>
      </c>
      <c r="B4582" s="640" t="s">
        <v>1908</v>
      </c>
      <c r="C4582" s="638" t="s">
        <v>104</v>
      </c>
      <c r="D4582" s="626" t="s">
        <v>9051</v>
      </c>
      <c r="E4582" s="636">
        <v>2090</v>
      </c>
      <c r="F4582" s="637" t="s">
        <v>9335</v>
      </c>
      <c r="G4582" s="626" t="s">
        <v>9336</v>
      </c>
      <c r="H4582" s="626" t="s">
        <v>2660</v>
      </c>
      <c r="I4582" s="626" t="s">
        <v>1931</v>
      </c>
      <c r="J4582" s="638" t="s">
        <v>2660</v>
      </c>
      <c r="K4582" s="719">
        <v>1</v>
      </c>
      <c r="L4582" s="719">
        <v>3</v>
      </c>
      <c r="M4582" s="740">
        <v>6270</v>
      </c>
      <c r="N4582" s="719">
        <v>1</v>
      </c>
      <c r="O4582" s="719">
        <v>6</v>
      </c>
      <c r="P4582" s="651">
        <v>12540</v>
      </c>
    </row>
    <row r="4583" spans="1:16" s="619" customFormat="1" ht="36" x14ac:dyDescent="0.2">
      <c r="A4583" s="625" t="s">
        <v>9036</v>
      </c>
      <c r="B4583" s="640" t="s">
        <v>1908</v>
      </c>
      <c r="C4583" s="638" t="s">
        <v>104</v>
      </c>
      <c r="D4583" s="626" t="s">
        <v>9051</v>
      </c>
      <c r="E4583" s="636">
        <v>2000</v>
      </c>
      <c r="F4583" s="637" t="s">
        <v>9337</v>
      </c>
      <c r="G4583" s="626" t="s">
        <v>9338</v>
      </c>
      <c r="H4583" s="626" t="s">
        <v>2660</v>
      </c>
      <c r="I4583" s="626" t="s">
        <v>1931</v>
      </c>
      <c r="J4583" s="638" t="s">
        <v>2660</v>
      </c>
      <c r="K4583" s="719">
        <v>0</v>
      </c>
      <c r="L4583" s="719">
        <v>0</v>
      </c>
      <c r="M4583" s="740">
        <v>0</v>
      </c>
      <c r="N4583" s="719">
        <v>1</v>
      </c>
      <c r="O4583" s="719">
        <v>6</v>
      </c>
      <c r="P4583" s="651">
        <v>12000</v>
      </c>
    </row>
    <row r="4584" spans="1:16" s="619" customFormat="1" ht="36" x14ac:dyDescent="0.2">
      <c r="A4584" s="625" t="s">
        <v>9036</v>
      </c>
      <c r="B4584" s="640" t="s">
        <v>1908</v>
      </c>
      <c r="C4584" s="638" t="s">
        <v>104</v>
      </c>
      <c r="D4584" s="626" t="s">
        <v>9051</v>
      </c>
      <c r="E4584" s="636">
        <v>1200</v>
      </c>
      <c r="F4584" s="637" t="s">
        <v>7728</v>
      </c>
      <c r="G4584" s="626" t="s">
        <v>7729</v>
      </c>
      <c r="H4584" s="626" t="s">
        <v>2660</v>
      </c>
      <c r="I4584" s="626" t="s">
        <v>1931</v>
      </c>
      <c r="J4584" s="638" t="s">
        <v>2660</v>
      </c>
      <c r="K4584" s="719">
        <v>0</v>
      </c>
      <c r="L4584" s="719">
        <v>0</v>
      </c>
      <c r="M4584" s="740">
        <v>0</v>
      </c>
      <c r="N4584" s="719">
        <v>1</v>
      </c>
      <c r="O4584" s="719">
        <v>6</v>
      </c>
      <c r="P4584" s="651">
        <v>7200</v>
      </c>
    </row>
    <row r="4585" spans="1:16" s="619" customFormat="1" ht="24" x14ac:dyDescent="0.2">
      <c r="A4585" s="625" t="s">
        <v>9036</v>
      </c>
      <c r="B4585" s="640" t="s">
        <v>1908</v>
      </c>
      <c r="C4585" s="638" t="s">
        <v>104</v>
      </c>
      <c r="D4585" s="626" t="s">
        <v>9051</v>
      </c>
      <c r="E4585" s="636">
        <v>1500</v>
      </c>
      <c r="F4585" s="637" t="s">
        <v>9339</v>
      </c>
      <c r="G4585" s="626" t="s">
        <v>9340</v>
      </c>
      <c r="H4585" s="626" t="s">
        <v>2660</v>
      </c>
      <c r="I4585" s="626" t="s">
        <v>1931</v>
      </c>
      <c r="J4585" s="638" t="s">
        <v>2660</v>
      </c>
      <c r="K4585" s="719">
        <v>0</v>
      </c>
      <c r="L4585" s="719">
        <v>0</v>
      </c>
      <c r="M4585" s="740">
        <v>0</v>
      </c>
      <c r="N4585" s="719">
        <v>1</v>
      </c>
      <c r="O4585" s="719">
        <v>6</v>
      </c>
      <c r="P4585" s="651">
        <v>9000</v>
      </c>
    </row>
    <row r="4586" spans="1:16" s="619" customFormat="1" ht="36" x14ac:dyDescent="0.2">
      <c r="A4586" s="625" t="s">
        <v>9036</v>
      </c>
      <c r="B4586" s="640" t="s">
        <v>1908</v>
      </c>
      <c r="C4586" s="638" t="s">
        <v>104</v>
      </c>
      <c r="D4586" s="626" t="s">
        <v>9051</v>
      </c>
      <c r="E4586" s="636">
        <v>1200</v>
      </c>
      <c r="F4586" s="637" t="s">
        <v>9341</v>
      </c>
      <c r="G4586" s="626" t="s">
        <v>9342</v>
      </c>
      <c r="H4586" s="626" t="s">
        <v>2660</v>
      </c>
      <c r="I4586" s="626" t="s">
        <v>1931</v>
      </c>
      <c r="J4586" s="638" t="s">
        <v>2660</v>
      </c>
      <c r="K4586" s="719">
        <v>0</v>
      </c>
      <c r="L4586" s="719">
        <v>0</v>
      </c>
      <c r="M4586" s="740">
        <v>0</v>
      </c>
      <c r="N4586" s="719">
        <v>1</v>
      </c>
      <c r="O4586" s="719">
        <v>6</v>
      </c>
      <c r="P4586" s="651">
        <v>7200</v>
      </c>
    </row>
    <row r="4587" spans="1:16" s="619" customFormat="1" ht="48" x14ac:dyDescent="0.2">
      <c r="A4587" s="625" t="s">
        <v>9036</v>
      </c>
      <c r="B4587" s="640" t="s">
        <v>1908</v>
      </c>
      <c r="C4587" s="638" t="s">
        <v>104</v>
      </c>
      <c r="D4587" s="626" t="s">
        <v>9051</v>
      </c>
      <c r="E4587" s="636">
        <v>1500</v>
      </c>
      <c r="F4587" s="637" t="s">
        <v>9343</v>
      </c>
      <c r="G4587" s="626" t="s">
        <v>9344</v>
      </c>
      <c r="H4587" s="626" t="s">
        <v>2660</v>
      </c>
      <c r="I4587" s="626" t="s">
        <v>1931</v>
      </c>
      <c r="J4587" s="638" t="s">
        <v>2660</v>
      </c>
      <c r="K4587" s="719">
        <v>0</v>
      </c>
      <c r="L4587" s="719">
        <v>0</v>
      </c>
      <c r="M4587" s="740">
        <v>0</v>
      </c>
      <c r="N4587" s="719">
        <v>1</v>
      </c>
      <c r="O4587" s="719">
        <v>6</v>
      </c>
      <c r="P4587" s="651">
        <v>9000</v>
      </c>
    </row>
    <row r="4588" spans="1:16" s="619" customFormat="1" ht="36" x14ac:dyDescent="0.2">
      <c r="A4588" s="625" t="s">
        <v>9036</v>
      </c>
      <c r="B4588" s="640" t="s">
        <v>1908</v>
      </c>
      <c r="C4588" s="638" t="s">
        <v>104</v>
      </c>
      <c r="D4588" s="626" t="s">
        <v>9051</v>
      </c>
      <c r="E4588" s="636">
        <v>2000</v>
      </c>
      <c r="F4588" s="637" t="s">
        <v>7913</v>
      </c>
      <c r="G4588" s="626" t="s">
        <v>7914</v>
      </c>
      <c r="H4588" s="626" t="s">
        <v>2660</v>
      </c>
      <c r="I4588" s="626" t="s">
        <v>1931</v>
      </c>
      <c r="J4588" s="638" t="s">
        <v>2660</v>
      </c>
      <c r="K4588" s="719">
        <v>0</v>
      </c>
      <c r="L4588" s="719">
        <v>0</v>
      </c>
      <c r="M4588" s="740">
        <v>0</v>
      </c>
      <c r="N4588" s="719">
        <v>1</v>
      </c>
      <c r="O4588" s="719">
        <v>6</v>
      </c>
      <c r="P4588" s="651">
        <v>12000</v>
      </c>
    </row>
    <row r="4589" spans="1:16" s="619" customFormat="1" ht="24" x14ac:dyDescent="0.2">
      <c r="A4589" s="625" t="s">
        <v>9036</v>
      </c>
      <c r="B4589" s="640" t="s">
        <v>1908</v>
      </c>
      <c r="C4589" s="638" t="s">
        <v>104</v>
      </c>
      <c r="D4589" s="626" t="s">
        <v>9051</v>
      </c>
      <c r="E4589" s="636">
        <v>1200</v>
      </c>
      <c r="F4589" s="637" t="s">
        <v>9345</v>
      </c>
      <c r="G4589" s="626" t="s">
        <v>9346</v>
      </c>
      <c r="H4589" s="626" t="s">
        <v>2660</v>
      </c>
      <c r="I4589" s="626" t="s">
        <v>1931</v>
      </c>
      <c r="J4589" s="638" t="s">
        <v>2660</v>
      </c>
      <c r="K4589" s="719">
        <v>0</v>
      </c>
      <c r="L4589" s="719">
        <v>0</v>
      </c>
      <c r="M4589" s="740">
        <v>0</v>
      </c>
      <c r="N4589" s="719">
        <v>1</v>
      </c>
      <c r="O4589" s="719">
        <v>6</v>
      </c>
      <c r="P4589" s="651">
        <v>7200</v>
      </c>
    </row>
    <row r="4590" spans="1:16" s="619" customFormat="1" ht="48" x14ac:dyDescent="0.2">
      <c r="A4590" s="625" t="s">
        <v>9036</v>
      </c>
      <c r="B4590" s="640" t="s">
        <v>1908</v>
      </c>
      <c r="C4590" s="638" t="s">
        <v>104</v>
      </c>
      <c r="D4590" s="626" t="s">
        <v>9051</v>
      </c>
      <c r="E4590" s="636">
        <v>3300</v>
      </c>
      <c r="F4590" s="637" t="s">
        <v>9347</v>
      </c>
      <c r="G4590" s="626" t="s">
        <v>8593</v>
      </c>
      <c r="H4590" s="626" t="s">
        <v>2660</v>
      </c>
      <c r="I4590" s="626" t="s">
        <v>1931</v>
      </c>
      <c r="J4590" s="638" t="s">
        <v>2660</v>
      </c>
      <c r="K4590" s="719">
        <v>0</v>
      </c>
      <c r="L4590" s="719">
        <v>0</v>
      </c>
      <c r="M4590" s="740">
        <v>0</v>
      </c>
      <c r="N4590" s="719">
        <v>1</v>
      </c>
      <c r="O4590" s="719">
        <v>6</v>
      </c>
      <c r="P4590" s="651">
        <v>19800</v>
      </c>
    </row>
    <row r="4591" spans="1:16" s="619" customFormat="1" ht="36" x14ac:dyDescent="0.2">
      <c r="A4591" s="625" t="s">
        <v>9036</v>
      </c>
      <c r="B4591" s="640" t="s">
        <v>1908</v>
      </c>
      <c r="C4591" s="638" t="s">
        <v>104</v>
      </c>
      <c r="D4591" s="626" t="s">
        <v>9051</v>
      </c>
      <c r="E4591" s="636">
        <v>2000</v>
      </c>
      <c r="F4591" s="637" t="s">
        <v>9348</v>
      </c>
      <c r="G4591" s="626" t="s">
        <v>9349</v>
      </c>
      <c r="H4591" s="626" t="s">
        <v>2660</v>
      </c>
      <c r="I4591" s="626" t="s">
        <v>1931</v>
      </c>
      <c r="J4591" s="638" t="s">
        <v>2660</v>
      </c>
      <c r="K4591" s="719">
        <v>0</v>
      </c>
      <c r="L4591" s="719">
        <v>0</v>
      </c>
      <c r="M4591" s="740">
        <v>0</v>
      </c>
      <c r="N4591" s="719">
        <v>1</v>
      </c>
      <c r="O4591" s="719">
        <v>6</v>
      </c>
      <c r="P4591" s="651">
        <v>12000</v>
      </c>
    </row>
    <row r="4592" spans="1:16" s="619" customFormat="1" ht="24" x14ac:dyDescent="0.2">
      <c r="A4592" s="625" t="s">
        <v>9036</v>
      </c>
      <c r="B4592" s="640" t="s">
        <v>1908</v>
      </c>
      <c r="C4592" s="638" t="s">
        <v>104</v>
      </c>
      <c r="D4592" s="626" t="s">
        <v>9051</v>
      </c>
      <c r="E4592" s="636">
        <v>1200</v>
      </c>
      <c r="F4592" s="637" t="s">
        <v>9350</v>
      </c>
      <c r="G4592" s="626" t="s">
        <v>9351</v>
      </c>
      <c r="H4592" s="626" t="s">
        <v>2660</v>
      </c>
      <c r="I4592" s="626" t="s">
        <v>1931</v>
      </c>
      <c r="J4592" s="638" t="s">
        <v>2660</v>
      </c>
      <c r="K4592" s="719">
        <v>0</v>
      </c>
      <c r="L4592" s="719">
        <v>0</v>
      </c>
      <c r="M4592" s="740">
        <v>0</v>
      </c>
      <c r="N4592" s="719">
        <v>1</v>
      </c>
      <c r="O4592" s="719">
        <v>6</v>
      </c>
      <c r="P4592" s="651">
        <v>7200</v>
      </c>
    </row>
    <row r="4593" spans="1:16" s="619" customFormat="1" ht="24" x14ac:dyDescent="0.2">
      <c r="A4593" s="625" t="s">
        <v>9036</v>
      </c>
      <c r="B4593" s="640" t="s">
        <v>1908</v>
      </c>
      <c r="C4593" s="638" t="s">
        <v>104</v>
      </c>
      <c r="D4593" s="626" t="s">
        <v>9051</v>
      </c>
      <c r="E4593" s="636">
        <v>2000</v>
      </c>
      <c r="F4593" s="637" t="s">
        <v>9352</v>
      </c>
      <c r="G4593" s="626" t="s">
        <v>9353</v>
      </c>
      <c r="H4593" s="626" t="s">
        <v>2660</v>
      </c>
      <c r="I4593" s="626" t="s">
        <v>1931</v>
      </c>
      <c r="J4593" s="638" t="s">
        <v>2660</v>
      </c>
      <c r="K4593" s="719">
        <v>0</v>
      </c>
      <c r="L4593" s="719">
        <v>0</v>
      </c>
      <c r="M4593" s="740">
        <v>0</v>
      </c>
      <c r="N4593" s="719">
        <v>1</v>
      </c>
      <c r="O4593" s="719">
        <v>6</v>
      </c>
      <c r="P4593" s="651">
        <v>12000</v>
      </c>
    </row>
    <row r="4594" spans="1:16" s="619" customFormat="1" ht="24" x14ac:dyDescent="0.2">
      <c r="A4594" s="625" t="s">
        <v>9036</v>
      </c>
      <c r="B4594" s="640" t="s">
        <v>1908</v>
      </c>
      <c r="C4594" s="638" t="s">
        <v>104</v>
      </c>
      <c r="D4594" s="626" t="s">
        <v>9051</v>
      </c>
      <c r="E4594" s="636">
        <v>2000</v>
      </c>
      <c r="F4594" s="637" t="s">
        <v>9354</v>
      </c>
      <c r="G4594" s="626" t="s">
        <v>9355</v>
      </c>
      <c r="H4594" s="626" t="s">
        <v>2660</v>
      </c>
      <c r="I4594" s="626" t="s">
        <v>1931</v>
      </c>
      <c r="J4594" s="638" t="s">
        <v>2660</v>
      </c>
      <c r="K4594" s="719">
        <v>0</v>
      </c>
      <c r="L4594" s="719">
        <v>0</v>
      </c>
      <c r="M4594" s="740">
        <v>0</v>
      </c>
      <c r="N4594" s="719">
        <v>1</v>
      </c>
      <c r="O4594" s="719">
        <v>6</v>
      </c>
      <c r="P4594" s="651">
        <v>12000</v>
      </c>
    </row>
    <row r="4595" spans="1:16" s="619" customFormat="1" ht="36" x14ac:dyDescent="0.2">
      <c r="A4595" s="625" t="s">
        <v>9036</v>
      </c>
      <c r="B4595" s="640" t="s">
        <v>1908</v>
      </c>
      <c r="C4595" s="638" t="s">
        <v>104</v>
      </c>
      <c r="D4595" s="626" t="s">
        <v>9051</v>
      </c>
      <c r="E4595" s="636">
        <v>1200</v>
      </c>
      <c r="F4595" s="637" t="s">
        <v>9356</v>
      </c>
      <c r="G4595" s="626" t="s">
        <v>9357</v>
      </c>
      <c r="H4595" s="626" t="s">
        <v>2660</v>
      </c>
      <c r="I4595" s="626" t="s">
        <v>1931</v>
      </c>
      <c r="J4595" s="638" t="s">
        <v>2660</v>
      </c>
      <c r="K4595" s="719">
        <v>0</v>
      </c>
      <c r="L4595" s="719">
        <v>0</v>
      </c>
      <c r="M4595" s="740">
        <v>0</v>
      </c>
      <c r="N4595" s="719">
        <v>1</v>
      </c>
      <c r="O4595" s="719">
        <v>6</v>
      </c>
      <c r="P4595" s="651">
        <v>7200</v>
      </c>
    </row>
    <row r="4596" spans="1:16" s="619" customFormat="1" ht="36" x14ac:dyDescent="0.2">
      <c r="A4596" s="625" t="s">
        <v>9036</v>
      </c>
      <c r="B4596" s="640" t="s">
        <v>1908</v>
      </c>
      <c r="C4596" s="638" t="s">
        <v>104</v>
      </c>
      <c r="D4596" s="626" t="s">
        <v>9051</v>
      </c>
      <c r="E4596" s="636">
        <v>1200</v>
      </c>
      <c r="F4596" s="637" t="s">
        <v>9358</v>
      </c>
      <c r="G4596" s="626" t="s">
        <v>9359</v>
      </c>
      <c r="H4596" s="626" t="s">
        <v>2660</v>
      </c>
      <c r="I4596" s="626" t="s">
        <v>1931</v>
      </c>
      <c r="J4596" s="638" t="s">
        <v>2660</v>
      </c>
      <c r="K4596" s="719">
        <v>0</v>
      </c>
      <c r="L4596" s="719">
        <v>0</v>
      </c>
      <c r="M4596" s="740">
        <v>0</v>
      </c>
      <c r="N4596" s="719">
        <v>1</v>
      </c>
      <c r="O4596" s="719">
        <v>6</v>
      </c>
      <c r="P4596" s="651">
        <v>7200</v>
      </c>
    </row>
    <row r="4597" spans="1:16" s="619" customFormat="1" ht="36" x14ac:dyDescent="0.2">
      <c r="A4597" s="625" t="s">
        <v>9036</v>
      </c>
      <c r="B4597" s="640" t="s">
        <v>1908</v>
      </c>
      <c r="C4597" s="638" t="s">
        <v>104</v>
      </c>
      <c r="D4597" s="626" t="s">
        <v>9051</v>
      </c>
      <c r="E4597" s="636">
        <v>1200</v>
      </c>
      <c r="F4597" s="637" t="s">
        <v>9360</v>
      </c>
      <c r="G4597" s="626" t="s">
        <v>9361</v>
      </c>
      <c r="H4597" s="626" t="s">
        <v>2660</v>
      </c>
      <c r="I4597" s="626" t="s">
        <v>1931</v>
      </c>
      <c r="J4597" s="638" t="s">
        <v>2660</v>
      </c>
      <c r="K4597" s="719">
        <v>0</v>
      </c>
      <c r="L4597" s="719">
        <v>0</v>
      </c>
      <c r="M4597" s="740">
        <v>0</v>
      </c>
      <c r="N4597" s="719">
        <v>1</v>
      </c>
      <c r="O4597" s="719">
        <v>6</v>
      </c>
      <c r="P4597" s="651">
        <v>7200</v>
      </c>
    </row>
    <row r="4598" spans="1:16" s="619" customFormat="1" ht="24" x14ac:dyDescent="0.2">
      <c r="A4598" s="625" t="s">
        <v>9036</v>
      </c>
      <c r="B4598" s="640" t="s">
        <v>1908</v>
      </c>
      <c r="C4598" s="638" t="s">
        <v>104</v>
      </c>
      <c r="D4598" s="626" t="s">
        <v>9051</v>
      </c>
      <c r="E4598" s="636">
        <v>1200</v>
      </c>
      <c r="F4598" s="637" t="s">
        <v>8326</v>
      </c>
      <c r="G4598" s="626" t="s">
        <v>8327</v>
      </c>
      <c r="H4598" s="626" t="s">
        <v>2660</v>
      </c>
      <c r="I4598" s="626" t="s">
        <v>1931</v>
      </c>
      <c r="J4598" s="638" t="s">
        <v>2660</v>
      </c>
      <c r="K4598" s="719">
        <v>0</v>
      </c>
      <c r="L4598" s="719">
        <v>0</v>
      </c>
      <c r="M4598" s="740">
        <v>0</v>
      </c>
      <c r="N4598" s="719">
        <v>1</v>
      </c>
      <c r="O4598" s="719">
        <v>6</v>
      </c>
      <c r="P4598" s="651">
        <v>7200</v>
      </c>
    </row>
    <row r="4599" spans="1:16" s="619" customFormat="1" ht="36" x14ac:dyDescent="0.2">
      <c r="A4599" s="625" t="s">
        <v>9036</v>
      </c>
      <c r="B4599" s="640" t="s">
        <v>1908</v>
      </c>
      <c r="C4599" s="638" t="s">
        <v>104</v>
      </c>
      <c r="D4599" s="626" t="s">
        <v>9051</v>
      </c>
      <c r="E4599" s="636">
        <v>1200</v>
      </c>
      <c r="F4599" s="637" t="s">
        <v>9362</v>
      </c>
      <c r="G4599" s="626" t="s">
        <v>9363</v>
      </c>
      <c r="H4599" s="626" t="s">
        <v>2660</v>
      </c>
      <c r="I4599" s="626" t="s">
        <v>1931</v>
      </c>
      <c r="J4599" s="638" t="s">
        <v>2660</v>
      </c>
      <c r="K4599" s="719">
        <v>0</v>
      </c>
      <c r="L4599" s="719">
        <v>0</v>
      </c>
      <c r="M4599" s="740">
        <v>0</v>
      </c>
      <c r="N4599" s="719">
        <v>1</v>
      </c>
      <c r="O4599" s="719">
        <v>6</v>
      </c>
      <c r="P4599" s="651">
        <v>7200</v>
      </c>
    </row>
    <row r="4600" spans="1:16" s="619" customFormat="1" ht="24" x14ac:dyDescent="0.2">
      <c r="A4600" s="625" t="s">
        <v>9036</v>
      </c>
      <c r="B4600" s="640" t="s">
        <v>1908</v>
      </c>
      <c r="C4600" s="638" t="s">
        <v>104</v>
      </c>
      <c r="D4600" s="626" t="s">
        <v>9051</v>
      </c>
      <c r="E4600" s="636">
        <v>1200</v>
      </c>
      <c r="F4600" s="637" t="s">
        <v>9364</v>
      </c>
      <c r="G4600" s="626" t="s">
        <v>9365</v>
      </c>
      <c r="H4600" s="626" t="s">
        <v>2660</v>
      </c>
      <c r="I4600" s="626" t="s">
        <v>1931</v>
      </c>
      <c r="J4600" s="638" t="s">
        <v>2660</v>
      </c>
      <c r="K4600" s="719">
        <v>0</v>
      </c>
      <c r="L4600" s="719">
        <v>0</v>
      </c>
      <c r="M4600" s="740">
        <v>0</v>
      </c>
      <c r="N4600" s="719">
        <v>1</v>
      </c>
      <c r="O4600" s="719">
        <v>6</v>
      </c>
      <c r="P4600" s="651">
        <v>7200</v>
      </c>
    </row>
    <row r="4601" spans="1:16" s="619" customFormat="1" ht="36" x14ac:dyDescent="0.2">
      <c r="A4601" s="625" t="s">
        <v>9036</v>
      </c>
      <c r="B4601" s="640" t="s">
        <v>1908</v>
      </c>
      <c r="C4601" s="638" t="s">
        <v>104</v>
      </c>
      <c r="D4601" s="626" t="s">
        <v>9051</v>
      </c>
      <c r="E4601" s="636">
        <v>1500</v>
      </c>
      <c r="F4601" s="637" t="s">
        <v>9366</v>
      </c>
      <c r="G4601" s="626" t="s">
        <v>9367</v>
      </c>
      <c r="H4601" s="626" t="s">
        <v>2660</v>
      </c>
      <c r="I4601" s="626" t="s">
        <v>1931</v>
      </c>
      <c r="J4601" s="638" t="s">
        <v>2660</v>
      </c>
      <c r="K4601" s="719">
        <v>0</v>
      </c>
      <c r="L4601" s="719">
        <v>0</v>
      </c>
      <c r="M4601" s="740">
        <v>0</v>
      </c>
      <c r="N4601" s="719">
        <v>1</v>
      </c>
      <c r="O4601" s="719">
        <v>6</v>
      </c>
      <c r="P4601" s="651">
        <v>9000</v>
      </c>
    </row>
    <row r="4602" spans="1:16" s="619" customFormat="1" ht="36" x14ac:dyDescent="0.2">
      <c r="A4602" s="625" t="s">
        <v>9036</v>
      </c>
      <c r="B4602" s="640" t="s">
        <v>1908</v>
      </c>
      <c r="C4602" s="638" t="s">
        <v>104</v>
      </c>
      <c r="D4602" s="626" t="s">
        <v>9051</v>
      </c>
      <c r="E4602" s="636">
        <v>1500</v>
      </c>
      <c r="F4602" s="637" t="s">
        <v>9368</v>
      </c>
      <c r="G4602" s="626" t="s">
        <v>9369</v>
      </c>
      <c r="H4602" s="626" t="s">
        <v>2660</v>
      </c>
      <c r="I4602" s="626" t="s">
        <v>1931</v>
      </c>
      <c r="J4602" s="638" t="s">
        <v>2660</v>
      </c>
      <c r="K4602" s="719">
        <v>0</v>
      </c>
      <c r="L4602" s="719">
        <v>0</v>
      </c>
      <c r="M4602" s="740">
        <v>0</v>
      </c>
      <c r="N4602" s="719">
        <v>1</v>
      </c>
      <c r="O4602" s="719">
        <v>6</v>
      </c>
      <c r="P4602" s="651">
        <v>9000</v>
      </c>
    </row>
    <row r="4603" spans="1:16" s="619" customFormat="1" ht="36" x14ac:dyDescent="0.2">
      <c r="A4603" s="625" t="s">
        <v>9036</v>
      </c>
      <c r="B4603" s="640" t="s">
        <v>1908</v>
      </c>
      <c r="C4603" s="638" t="s">
        <v>104</v>
      </c>
      <c r="D4603" s="626" t="s">
        <v>9051</v>
      </c>
      <c r="E4603" s="636">
        <v>3000</v>
      </c>
      <c r="F4603" s="637" t="s">
        <v>9293</v>
      </c>
      <c r="G4603" s="626" t="s">
        <v>9294</v>
      </c>
      <c r="H4603" s="626" t="s">
        <v>2660</v>
      </c>
      <c r="I4603" s="626" t="s">
        <v>1931</v>
      </c>
      <c r="J4603" s="638" t="s">
        <v>2660</v>
      </c>
      <c r="K4603" s="719">
        <v>0</v>
      </c>
      <c r="L4603" s="719">
        <v>0</v>
      </c>
      <c r="M4603" s="740">
        <v>0</v>
      </c>
      <c r="N4603" s="719">
        <v>1</v>
      </c>
      <c r="O4603" s="719">
        <v>6</v>
      </c>
      <c r="P4603" s="651">
        <v>18000</v>
      </c>
    </row>
    <row r="4604" spans="1:16" s="619" customFormat="1" ht="36" x14ac:dyDescent="0.2">
      <c r="A4604" s="625" t="s">
        <v>9036</v>
      </c>
      <c r="B4604" s="640" t="s">
        <v>1908</v>
      </c>
      <c r="C4604" s="638" t="s">
        <v>104</v>
      </c>
      <c r="D4604" s="626" t="s">
        <v>9051</v>
      </c>
      <c r="E4604" s="636">
        <v>2000</v>
      </c>
      <c r="F4604" s="637" t="s">
        <v>8584</v>
      </c>
      <c r="G4604" s="626" t="s">
        <v>8585</v>
      </c>
      <c r="H4604" s="626" t="s">
        <v>2660</v>
      </c>
      <c r="I4604" s="626" t="s">
        <v>1931</v>
      </c>
      <c r="J4604" s="638" t="s">
        <v>2660</v>
      </c>
      <c r="K4604" s="719">
        <v>0</v>
      </c>
      <c r="L4604" s="719">
        <v>0</v>
      </c>
      <c r="M4604" s="740">
        <v>0</v>
      </c>
      <c r="N4604" s="719">
        <v>1</v>
      </c>
      <c r="O4604" s="719">
        <v>6</v>
      </c>
      <c r="P4604" s="651">
        <v>12000</v>
      </c>
    </row>
    <row r="4605" spans="1:16" s="619" customFormat="1" ht="48" x14ac:dyDescent="0.2">
      <c r="A4605" s="625" t="s">
        <v>9036</v>
      </c>
      <c r="B4605" s="640" t="s">
        <v>1908</v>
      </c>
      <c r="C4605" s="638" t="s">
        <v>104</v>
      </c>
      <c r="D4605" s="626" t="s">
        <v>9051</v>
      </c>
      <c r="E4605" s="636">
        <v>1200</v>
      </c>
      <c r="F4605" s="637" t="s">
        <v>9370</v>
      </c>
      <c r="G4605" s="626" t="s">
        <v>9371</v>
      </c>
      <c r="H4605" s="626" t="s">
        <v>2660</v>
      </c>
      <c r="I4605" s="626" t="s">
        <v>1931</v>
      </c>
      <c r="J4605" s="638" t="s">
        <v>2660</v>
      </c>
      <c r="K4605" s="719">
        <v>0</v>
      </c>
      <c r="L4605" s="719">
        <v>0</v>
      </c>
      <c r="M4605" s="740">
        <v>0</v>
      </c>
      <c r="N4605" s="719">
        <v>1</v>
      </c>
      <c r="O4605" s="719">
        <v>6</v>
      </c>
      <c r="P4605" s="651">
        <v>7200</v>
      </c>
    </row>
    <row r="4606" spans="1:16" s="619" customFormat="1" ht="36" x14ac:dyDescent="0.2">
      <c r="A4606" s="625" t="s">
        <v>9036</v>
      </c>
      <c r="B4606" s="640" t="s">
        <v>1908</v>
      </c>
      <c r="C4606" s="638" t="s">
        <v>104</v>
      </c>
      <c r="D4606" s="626" t="s">
        <v>9051</v>
      </c>
      <c r="E4606" s="636">
        <v>1500</v>
      </c>
      <c r="F4606" s="637" t="s">
        <v>9372</v>
      </c>
      <c r="G4606" s="626" t="s">
        <v>9373</v>
      </c>
      <c r="H4606" s="626" t="s">
        <v>2660</v>
      </c>
      <c r="I4606" s="626" t="s">
        <v>1931</v>
      </c>
      <c r="J4606" s="638" t="s">
        <v>2660</v>
      </c>
      <c r="K4606" s="719">
        <v>0</v>
      </c>
      <c r="L4606" s="719">
        <v>0</v>
      </c>
      <c r="M4606" s="740">
        <v>0</v>
      </c>
      <c r="N4606" s="719">
        <v>1</v>
      </c>
      <c r="O4606" s="719">
        <v>6</v>
      </c>
      <c r="P4606" s="651">
        <v>9000</v>
      </c>
    </row>
    <row r="4607" spans="1:16" s="619" customFormat="1" ht="48" x14ac:dyDescent="0.2">
      <c r="A4607" s="625" t="s">
        <v>9036</v>
      </c>
      <c r="B4607" s="640" t="s">
        <v>1908</v>
      </c>
      <c r="C4607" s="638" t="s">
        <v>104</v>
      </c>
      <c r="D4607" s="626" t="s">
        <v>9051</v>
      </c>
      <c r="E4607" s="636">
        <v>1500</v>
      </c>
      <c r="F4607" s="637" t="s">
        <v>9374</v>
      </c>
      <c r="G4607" s="626" t="s">
        <v>9375</v>
      </c>
      <c r="H4607" s="626" t="s">
        <v>2660</v>
      </c>
      <c r="I4607" s="626" t="s">
        <v>1931</v>
      </c>
      <c r="J4607" s="638" t="s">
        <v>2660</v>
      </c>
      <c r="K4607" s="719">
        <v>0</v>
      </c>
      <c r="L4607" s="719">
        <v>0</v>
      </c>
      <c r="M4607" s="740">
        <v>0</v>
      </c>
      <c r="N4607" s="719">
        <v>1</v>
      </c>
      <c r="O4607" s="719">
        <v>6</v>
      </c>
      <c r="P4607" s="651">
        <v>9000</v>
      </c>
    </row>
    <row r="4608" spans="1:16" s="619" customFormat="1" ht="24" x14ac:dyDescent="0.2">
      <c r="A4608" s="625" t="s">
        <v>9036</v>
      </c>
      <c r="B4608" s="640" t="s">
        <v>1908</v>
      </c>
      <c r="C4608" s="638" t="s">
        <v>104</v>
      </c>
      <c r="D4608" s="626" t="s">
        <v>9051</v>
      </c>
      <c r="E4608" s="636">
        <v>1200</v>
      </c>
      <c r="F4608" s="637" t="s">
        <v>9376</v>
      </c>
      <c r="G4608" s="626" t="s">
        <v>9377</v>
      </c>
      <c r="H4608" s="626" t="s">
        <v>2660</v>
      </c>
      <c r="I4608" s="626" t="s">
        <v>1931</v>
      </c>
      <c r="J4608" s="638" t="s">
        <v>2660</v>
      </c>
      <c r="K4608" s="719">
        <v>0</v>
      </c>
      <c r="L4608" s="719">
        <v>0</v>
      </c>
      <c r="M4608" s="740">
        <v>0</v>
      </c>
      <c r="N4608" s="719">
        <v>1</v>
      </c>
      <c r="O4608" s="719">
        <v>6</v>
      </c>
      <c r="P4608" s="651">
        <v>7200</v>
      </c>
    </row>
    <row r="4609" spans="1:16" s="619" customFormat="1" ht="24" x14ac:dyDescent="0.2">
      <c r="A4609" s="625" t="s">
        <v>9036</v>
      </c>
      <c r="B4609" s="640" t="s">
        <v>1908</v>
      </c>
      <c r="C4609" s="638" t="s">
        <v>104</v>
      </c>
      <c r="D4609" s="626" t="s">
        <v>9051</v>
      </c>
      <c r="E4609" s="636">
        <v>1500</v>
      </c>
      <c r="F4609" s="637" t="s">
        <v>9378</v>
      </c>
      <c r="G4609" s="626" t="s">
        <v>9379</v>
      </c>
      <c r="H4609" s="626" t="s">
        <v>2660</v>
      </c>
      <c r="I4609" s="626" t="s">
        <v>1931</v>
      </c>
      <c r="J4609" s="638" t="s">
        <v>2660</v>
      </c>
      <c r="K4609" s="719">
        <v>0</v>
      </c>
      <c r="L4609" s="719">
        <v>0</v>
      </c>
      <c r="M4609" s="740">
        <v>0</v>
      </c>
      <c r="N4609" s="719">
        <v>1</v>
      </c>
      <c r="O4609" s="719">
        <v>6</v>
      </c>
      <c r="P4609" s="651">
        <v>9000</v>
      </c>
    </row>
    <row r="4610" spans="1:16" s="619" customFormat="1" ht="48" x14ac:dyDescent="0.2">
      <c r="A4610" s="625" t="s">
        <v>9036</v>
      </c>
      <c r="B4610" s="640" t="s">
        <v>1908</v>
      </c>
      <c r="C4610" s="638" t="s">
        <v>104</v>
      </c>
      <c r="D4610" s="626" t="s">
        <v>9051</v>
      </c>
      <c r="E4610" s="636">
        <v>1500</v>
      </c>
      <c r="F4610" s="637" t="s">
        <v>9380</v>
      </c>
      <c r="G4610" s="626" t="s">
        <v>9381</v>
      </c>
      <c r="H4610" s="626" t="s">
        <v>2660</v>
      </c>
      <c r="I4610" s="626" t="s">
        <v>1931</v>
      </c>
      <c r="J4610" s="638" t="s">
        <v>2660</v>
      </c>
      <c r="K4610" s="719">
        <v>0</v>
      </c>
      <c r="L4610" s="719">
        <v>0</v>
      </c>
      <c r="M4610" s="740">
        <v>0</v>
      </c>
      <c r="N4610" s="719">
        <v>1</v>
      </c>
      <c r="O4610" s="719">
        <v>6</v>
      </c>
      <c r="P4610" s="651">
        <v>9000</v>
      </c>
    </row>
    <row r="4611" spans="1:16" s="619" customFormat="1" ht="48" x14ac:dyDescent="0.2">
      <c r="A4611" s="625" t="s">
        <v>9036</v>
      </c>
      <c r="B4611" s="640" t="s">
        <v>1908</v>
      </c>
      <c r="C4611" s="638" t="s">
        <v>104</v>
      </c>
      <c r="D4611" s="626" t="s">
        <v>9051</v>
      </c>
      <c r="E4611" s="636">
        <v>1500</v>
      </c>
      <c r="F4611" s="637" t="s">
        <v>7593</v>
      </c>
      <c r="G4611" s="626" t="s">
        <v>7594</v>
      </c>
      <c r="H4611" s="626" t="s">
        <v>2660</v>
      </c>
      <c r="I4611" s="626" t="s">
        <v>1931</v>
      </c>
      <c r="J4611" s="638" t="s">
        <v>2660</v>
      </c>
      <c r="K4611" s="719">
        <v>0</v>
      </c>
      <c r="L4611" s="719">
        <v>0</v>
      </c>
      <c r="M4611" s="740">
        <v>0</v>
      </c>
      <c r="N4611" s="719">
        <v>1</v>
      </c>
      <c r="O4611" s="719">
        <v>6</v>
      </c>
      <c r="P4611" s="651">
        <v>9000</v>
      </c>
    </row>
    <row r="4612" spans="1:16" s="619" customFormat="1" ht="24" x14ac:dyDescent="0.2">
      <c r="A4612" s="625" t="s">
        <v>9036</v>
      </c>
      <c r="B4612" s="640" t="s">
        <v>1908</v>
      </c>
      <c r="C4612" s="638" t="s">
        <v>104</v>
      </c>
      <c r="D4612" s="626" t="s">
        <v>9051</v>
      </c>
      <c r="E4612" s="636">
        <v>2000</v>
      </c>
      <c r="F4612" s="637" t="s">
        <v>8312</v>
      </c>
      <c r="G4612" s="626" t="s">
        <v>8313</v>
      </c>
      <c r="H4612" s="626" t="s">
        <v>2660</v>
      </c>
      <c r="I4612" s="626" t="s">
        <v>1931</v>
      </c>
      <c r="J4612" s="638" t="s">
        <v>2660</v>
      </c>
      <c r="K4612" s="719">
        <v>0</v>
      </c>
      <c r="L4612" s="719">
        <v>0</v>
      </c>
      <c r="M4612" s="740">
        <v>0</v>
      </c>
      <c r="N4612" s="719">
        <v>1</v>
      </c>
      <c r="O4612" s="719">
        <v>6</v>
      </c>
      <c r="P4612" s="651">
        <v>12000</v>
      </c>
    </row>
    <row r="4613" spans="1:16" s="619" customFormat="1" ht="36" x14ac:dyDescent="0.2">
      <c r="A4613" s="625" t="s">
        <v>9036</v>
      </c>
      <c r="B4613" s="640" t="s">
        <v>1908</v>
      </c>
      <c r="C4613" s="638" t="s">
        <v>104</v>
      </c>
      <c r="D4613" s="626" t="s">
        <v>9051</v>
      </c>
      <c r="E4613" s="636">
        <v>1200</v>
      </c>
      <c r="F4613" s="637" t="s">
        <v>9382</v>
      </c>
      <c r="G4613" s="626" t="s">
        <v>9383</v>
      </c>
      <c r="H4613" s="626" t="s">
        <v>2660</v>
      </c>
      <c r="I4613" s="626" t="s">
        <v>1931</v>
      </c>
      <c r="J4613" s="638" t="s">
        <v>2660</v>
      </c>
      <c r="K4613" s="719">
        <v>0</v>
      </c>
      <c r="L4613" s="719">
        <v>0</v>
      </c>
      <c r="M4613" s="740">
        <v>0</v>
      </c>
      <c r="N4613" s="719">
        <v>1</v>
      </c>
      <c r="O4613" s="719">
        <v>6</v>
      </c>
      <c r="P4613" s="651">
        <v>7200</v>
      </c>
    </row>
    <row r="4614" spans="1:16" s="619" customFormat="1" ht="36" x14ac:dyDescent="0.2">
      <c r="A4614" s="625" t="s">
        <v>9036</v>
      </c>
      <c r="B4614" s="640" t="s">
        <v>1908</v>
      </c>
      <c r="C4614" s="638" t="s">
        <v>104</v>
      </c>
      <c r="D4614" s="626" t="s">
        <v>9051</v>
      </c>
      <c r="E4614" s="636">
        <v>2000</v>
      </c>
      <c r="F4614" s="637" t="s">
        <v>9384</v>
      </c>
      <c r="G4614" s="626" t="s">
        <v>9385</v>
      </c>
      <c r="H4614" s="626" t="s">
        <v>2660</v>
      </c>
      <c r="I4614" s="626" t="s">
        <v>1931</v>
      </c>
      <c r="J4614" s="638" t="s">
        <v>2660</v>
      </c>
      <c r="K4614" s="719">
        <v>0</v>
      </c>
      <c r="L4614" s="719">
        <v>0</v>
      </c>
      <c r="M4614" s="740">
        <v>0</v>
      </c>
      <c r="N4614" s="719">
        <v>1</v>
      </c>
      <c r="O4614" s="719">
        <v>6</v>
      </c>
      <c r="P4614" s="651">
        <v>12000</v>
      </c>
    </row>
    <row r="4615" spans="1:16" s="619" customFormat="1" ht="24" x14ac:dyDescent="0.2">
      <c r="A4615" s="625" t="s">
        <v>9036</v>
      </c>
      <c r="B4615" s="640" t="s">
        <v>1908</v>
      </c>
      <c r="C4615" s="638" t="s">
        <v>104</v>
      </c>
      <c r="D4615" s="626" t="s">
        <v>9051</v>
      </c>
      <c r="E4615" s="636">
        <v>2000</v>
      </c>
      <c r="F4615" s="637" t="s">
        <v>9386</v>
      </c>
      <c r="G4615" s="626" t="s">
        <v>9387</v>
      </c>
      <c r="H4615" s="626" t="s">
        <v>2660</v>
      </c>
      <c r="I4615" s="626" t="s">
        <v>1931</v>
      </c>
      <c r="J4615" s="638" t="s">
        <v>2660</v>
      </c>
      <c r="K4615" s="719">
        <v>0</v>
      </c>
      <c r="L4615" s="719">
        <v>0</v>
      </c>
      <c r="M4615" s="740">
        <v>0</v>
      </c>
      <c r="N4615" s="719">
        <v>1</v>
      </c>
      <c r="O4615" s="719">
        <v>6</v>
      </c>
      <c r="P4615" s="651">
        <v>12000</v>
      </c>
    </row>
    <row r="4616" spans="1:16" s="619" customFormat="1" ht="24" x14ac:dyDescent="0.2">
      <c r="A4616" s="625" t="s">
        <v>9036</v>
      </c>
      <c r="B4616" s="640" t="s">
        <v>1908</v>
      </c>
      <c r="C4616" s="638" t="s">
        <v>104</v>
      </c>
      <c r="D4616" s="626" t="s">
        <v>9051</v>
      </c>
      <c r="E4616" s="636">
        <v>2000</v>
      </c>
      <c r="F4616" s="637" t="s">
        <v>9388</v>
      </c>
      <c r="G4616" s="626" t="s">
        <v>9389</v>
      </c>
      <c r="H4616" s="626" t="s">
        <v>2660</v>
      </c>
      <c r="I4616" s="626" t="s">
        <v>1931</v>
      </c>
      <c r="J4616" s="638" t="s">
        <v>2660</v>
      </c>
      <c r="K4616" s="719">
        <v>0</v>
      </c>
      <c r="L4616" s="719">
        <v>0</v>
      </c>
      <c r="M4616" s="740">
        <v>0</v>
      </c>
      <c r="N4616" s="719">
        <v>1</v>
      </c>
      <c r="O4616" s="719">
        <v>6</v>
      </c>
      <c r="P4616" s="651">
        <v>12000</v>
      </c>
    </row>
    <row r="4617" spans="1:16" s="619" customFormat="1" ht="24" x14ac:dyDescent="0.2">
      <c r="A4617" s="625" t="s">
        <v>9036</v>
      </c>
      <c r="B4617" s="640" t="s">
        <v>1908</v>
      </c>
      <c r="C4617" s="638" t="s">
        <v>104</v>
      </c>
      <c r="D4617" s="626" t="s">
        <v>9051</v>
      </c>
      <c r="E4617" s="636">
        <v>2000</v>
      </c>
      <c r="F4617" s="637" t="s">
        <v>9390</v>
      </c>
      <c r="G4617" s="626" t="s">
        <v>9391</v>
      </c>
      <c r="H4617" s="626" t="s">
        <v>2660</v>
      </c>
      <c r="I4617" s="626" t="s">
        <v>1931</v>
      </c>
      <c r="J4617" s="638" t="s">
        <v>2660</v>
      </c>
      <c r="K4617" s="719">
        <v>0</v>
      </c>
      <c r="L4617" s="719">
        <v>0</v>
      </c>
      <c r="M4617" s="740">
        <v>0</v>
      </c>
      <c r="N4617" s="719">
        <v>1</v>
      </c>
      <c r="O4617" s="719">
        <v>6</v>
      </c>
      <c r="P4617" s="651">
        <v>12000</v>
      </c>
    </row>
    <row r="4618" spans="1:16" s="619" customFormat="1" ht="24" x14ac:dyDescent="0.2">
      <c r="A4618" s="625" t="s">
        <v>9036</v>
      </c>
      <c r="B4618" s="640" t="s">
        <v>1908</v>
      </c>
      <c r="C4618" s="638" t="s">
        <v>104</v>
      </c>
      <c r="D4618" s="626" t="s">
        <v>9051</v>
      </c>
      <c r="E4618" s="636">
        <v>2000</v>
      </c>
      <c r="F4618" s="637" t="s">
        <v>9392</v>
      </c>
      <c r="G4618" s="626" t="s">
        <v>9393</v>
      </c>
      <c r="H4618" s="626" t="s">
        <v>2660</v>
      </c>
      <c r="I4618" s="626" t="s">
        <v>1931</v>
      </c>
      <c r="J4618" s="638" t="s">
        <v>2660</v>
      </c>
      <c r="K4618" s="719">
        <v>0</v>
      </c>
      <c r="L4618" s="719">
        <v>0</v>
      </c>
      <c r="M4618" s="740">
        <v>0</v>
      </c>
      <c r="N4618" s="719">
        <v>1</v>
      </c>
      <c r="O4618" s="719">
        <v>6</v>
      </c>
      <c r="P4618" s="651">
        <v>12000</v>
      </c>
    </row>
    <row r="4619" spans="1:16" s="619" customFormat="1" ht="24" x14ac:dyDescent="0.2">
      <c r="A4619" s="625" t="s">
        <v>9036</v>
      </c>
      <c r="B4619" s="640" t="s">
        <v>1908</v>
      </c>
      <c r="C4619" s="638" t="s">
        <v>104</v>
      </c>
      <c r="D4619" s="626" t="s">
        <v>9051</v>
      </c>
      <c r="E4619" s="636">
        <v>2000</v>
      </c>
      <c r="F4619" s="637" t="s">
        <v>9394</v>
      </c>
      <c r="G4619" s="626" t="s">
        <v>8583</v>
      </c>
      <c r="H4619" s="626" t="s">
        <v>2660</v>
      </c>
      <c r="I4619" s="626" t="s">
        <v>1931</v>
      </c>
      <c r="J4619" s="638" t="s">
        <v>2660</v>
      </c>
      <c r="K4619" s="719">
        <v>0</v>
      </c>
      <c r="L4619" s="719">
        <v>0</v>
      </c>
      <c r="M4619" s="740">
        <v>0</v>
      </c>
      <c r="N4619" s="719">
        <v>1</v>
      </c>
      <c r="O4619" s="719">
        <v>6</v>
      </c>
      <c r="P4619" s="651">
        <v>12000</v>
      </c>
    </row>
    <row r="4620" spans="1:16" s="619" customFormat="1" ht="24" x14ac:dyDescent="0.2">
      <c r="A4620" s="625" t="s">
        <v>9036</v>
      </c>
      <c r="B4620" s="640" t="s">
        <v>1908</v>
      </c>
      <c r="C4620" s="638" t="s">
        <v>104</v>
      </c>
      <c r="D4620" s="626" t="s">
        <v>9051</v>
      </c>
      <c r="E4620" s="636">
        <v>2000</v>
      </c>
      <c r="F4620" s="637" t="s">
        <v>9395</v>
      </c>
      <c r="G4620" s="626" t="s">
        <v>9396</v>
      </c>
      <c r="H4620" s="626" t="s">
        <v>2660</v>
      </c>
      <c r="I4620" s="626" t="s">
        <v>1931</v>
      </c>
      <c r="J4620" s="638" t="s">
        <v>2660</v>
      </c>
      <c r="K4620" s="719">
        <v>0</v>
      </c>
      <c r="L4620" s="719">
        <v>0</v>
      </c>
      <c r="M4620" s="740">
        <v>0</v>
      </c>
      <c r="N4620" s="719">
        <v>1</v>
      </c>
      <c r="O4620" s="719">
        <v>6</v>
      </c>
      <c r="P4620" s="651">
        <v>12000</v>
      </c>
    </row>
    <row r="4621" spans="1:16" s="619" customFormat="1" ht="36" x14ac:dyDescent="0.2">
      <c r="A4621" s="625" t="s">
        <v>9036</v>
      </c>
      <c r="B4621" s="640" t="s">
        <v>1908</v>
      </c>
      <c r="C4621" s="638" t="s">
        <v>104</v>
      </c>
      <c r="D4621" s="626" t="s">
        <v>9051</v>
      </c>
      <c r="E4621" s="636">
        <v>2000</v>
      </c>
      <c r="F4621" s="637" t="s">
        <v>9397</v>
      </c>
      <c r="G4621" s="626" t="s">
        <v>9398</v>
      </c>
      <c r="H4621" s="626" t="s">
        <v>2660</v>
      </c>
      <c r="I4621" s="626" t="s">
        <v>1931</v>
      </c>
      <c r="J4621" s="638" t="s">
        <v>2660</v>
      </c>
      <c r="K4621" s="719">
        <v>0</v>
      </c>
      <c r="L4621" s="719">
        <v>0</v>
      </c>
      <c r="M4621" s="740">
        <v>0</v>
      </c>
      <c r="N4621" s="719">
        <v>1</v>
      </c>
      <c r="O4621" s="719">
        <v>6</v>
      </c>
      <c r="P4621" s="651">
        <v>12000</v>
      </c>
    </row>
    <row r="4622" spans="1:16" s="619" customFormat="1" ht="36" x14ac:dyDescent="0.2">
      <c r="A4622" s="625" t="s">
        <v>9036</v>
      </c>
      <c r="B4622" s="640" t="s">
        <v>1908</v>
      </c>
      <c r="C4622" s="638" t="s">
        <v>104</v>
      </c>
      <c r="D4622" s="626" t="s">
        <v>9051</v>
      </c>
      <c r="E4622" s="636">
        <v>2000</v>
      </c>
      <c r="F4622" s="637" t="s">
        <v>9399</v>
      </c>
      <c r="G4622" s="626" t="s">
        <v>9400</v>
      </c>
      <c r="H4622" s="626" t="s">
        <v>2660</v>
      </c>
      <c r="I4622" s="626" t="s">
        <v>1931</v>
      </c>
      <c r="J4622" s="638" t="s">
        <v>2660</v>
      </c>
      <c r="K4622" s="719">
        <v>0</v>
      </c>
      <c r="L4622" s="719">
        <v>0</v>
      </c>
      <c r="M4622" s="740">
        <v>0</v>
      </c>
      <c r="N4622" s="719">
        <v>1</v>
      </c>
      <c r="O4622" s="719">
        <v>6</v>
      </c>
      <c r="P4622" s="651">
        <v>12000</v>
      </c>
    </row>
    <row r="4623" spans="1:16" s="619" customFormat="1" ht="24" x14ac:dyDescent="0.2">
      <c r="A4623" s="625" t="s">
        <v>9036</v>
      </c>
      <c r="B4623" s="640" t="s">
        <v>1908</v>
      </c>
      <c r="C4623" s="638" t="s">
        <v>104</v>
      </c>
      <c r="D4623" s="626" t="s">
        <v>9051</v>
      </c>
      <c r="E4623" s="636">
        <v>1500</v>
      </c>
      <c r="F4623" s="637" t="s">
        <v>9401</v>
      </c>
      <c r="G4623" s="626" t="s">
        <v>9402</v>
      </c>
      <c r="H4623" s="626" t="s">
        <v>7626</v>
      </c>
      <c r="I4623" s="626" t="s">
        <v>1931</v>
      </c>
      <c r="J4623" s="638" t="s">
        <v>7626</v>
      </c>
      <c r="K4623" s="719">
        <v>2</v>
      </c>
      <c r="L4623" s="719">
        <v>5</v>
      </c>
      <c r="M4623" s="740">
        <v>7500</v>
      </c>
      <c r="N4623" s="719">
        <v>1</v>
      </c>
      <c r="O4623" s="719">
        <v>6</v>
      </c>
      <c r="P4623" s="651">
        <v>9000</v>
      </c>
    </row>
    <row r="4624" spans="1:16" s="619" customFormat="1" ht="36" x14ac:dyDescent="0.2">
      <c r="A4624" s="625" t="s">
        <v>9036</v>
      </c>
      <c r="B4624" s="640" t="s">
        <v>1908</v>
      </c>
      <c r="C4624" s="638" t="s">
        <v>104</v>
      </c>
      <c r="D4624" s="626" t="s">
        <v>9051</v>
      </c>
      <c r="E4624" s="636">
        <v>1200</v>
      </c>
      <c r="F4624" s="637" t="s">
        <v>9403</v>
      </c>
      <c r="G4624" s="626" t="s">
        <v>9404</v>
      </c>
      <c r="H4624" s="626" t="s">
        <v>7626</v>
      </c>
      <c r="I4624" s="626" t="s">
        <v>1931</v>
      </c>
      <c r="J4624" s="638" t="s">
        <v>7626</v>
      </c>
      <c r="K4624" s="719">
        <v>2</v>
      </c>
      <c r="L4624" s="719">
        <v>5</v>
      </c>
      <c r="M4624" s="740">
        <v>6000</v>
      </c>
      <c r="N4624" s="719">
        <v>1</v>
      </c>
      <c r="O4624" s="719">
        <v>6</v>
      </c>
      <c r="P4624" s="651">
        <v>7200</v>
      </c>
    </row>
    <row r="4625" spans="1:16" s="619" customFormat="1" ht="36" x14ac:dyDescent="0.2">
      <c r="A4625" s="625" t="s">
        <v>9036</v>
      </c>
      <c r="B4625" s="640" t="s">
        <v>1908</v>
      </c>
      <c r="C4625" s="638" t="s">
        <v>104</v>
      </c>
      <c r="D4625" s="626" t="s">
        <v>9051</v>
      </c>
      <c r="E4625" s="636">
        <v>1500</v>
      </c>
      <c r="F4625" s="637" t="s">
        <v>9405</v>
      </c>
      <c r="G4625" s="626" t="s">
        <v>9406</v>
      </c>
      <c r="H4625" s="626" t="s">
        <v>7626</v>
      </c>
      <c r="I4625" s="626" t="s">
        <v>1931</v>
      </c>
      <c r="J4625" s="638" t="s">
        <v>7626</v>
      </c>
      <c r="K4625" s="719">
        <v>2</v>
      </c>
      <c r="L4625" s="719">
        <v>5</v>
      </c>
      <c r="M4625" s="740">
        <v>7500</v>
      </c>
      <c r="N4625" s="719">
        <v>1</v>
      </c>
      <c r="O4625" s="719">
        <v>6</v>
      </c>
      <c r="P4625" s="651">
        <v>9000</v>
      </c>
    </row>
    <row r="4626" spans="1:16" s="619" customFormat="1" ht="36" x14ac:dyDescent="0.2">
      <c r="A4626" s="625" t="s">
        <v>9036</v>
      </c>
      <c r="B4626" s="640" t="s">
        <v>1908</v>
      </c>
      <c r="C4626" s="638" t="s">
        <v>104</v>
      </c>
      <c r="D4626" s="626" t="s">
        <v>9051</v>
      </c>
      <c r="E4626" s="636">
        <v>1500</v>
      </c>
      <c r="F4626" s="637" t="s">
        <v>9407</v>
      </c>
      <c r="G4626" s="626" t="s">
        <v>9408</v>
      </c>
      <c r="H4626" s="626" t="s">
        <v>7626</v>
      </c>
      <c r="I4626" s="626" t="s">
        <v>1931</v>
      </c>
      <c r="J4626" s="638" t="s">
        <v>7626</v>
      </c>
      <c r="K4626" s="719">
        <v>2</v>
      </c>
      <c r="L4626" s="719">
        <v>5</v>
      </c>
      <c r="M4626" s="740">
        <v>7500</v>
      </c>
      <c r="N4626" s="719">
        <v>1</v>
      </c>
      <c r="O4626" s="719">
        <v>6</v>
      </c>
      <c r="P4626" s="651">
        <v>9000</v>
      </c>
    </row>
    <row r="4627" spans="1:16" s="619" customFormat="1" ht="36" x14ac:dyDescent="0.2">
      <c r="A4627" s="625" t="s">
        <v>9036</v>
      </c>
      <c r="B4627" s="640" t="s">
        <v>1908</v>
      </c>
      <c r="C4627" s="638" t="s">
        <v>104</v>
      </c>
      <c r="D4627" s="626" t="s">
        <v>9051</v>
      </c>
      <c r="E4627" s="636">
        <v>1500</v>
      </c>
      <c r="F4627" s="637" t="s">
        <v>9409</v>
      </c>
      <c r="G4627" s="626" t="s">
        <v>9410</v>
      </c>
      <c r="H4627" s="626" t="s">
        <v>7626</v>
      </c>
      <c r="I4627" s="626" t="s">
        <v>1931</v>
      </c>
      <c r="J4627" s="638" t="s">
        <v>7626</v>
      </c>
      <c r="K4627" s="719">
        <v>2</v>
      </c>
      <c r="L4627" s="719">
        <v>5</v>
      </c>
      <c r="M4627" s="740">
        <v>7500</v>
      </c>
      <c r="N4627" s="719">
        <v>1</v>
      </c>
      <c r="O4627" s="719">
        <v>6</v>
      </c>
      <c r="P4627" s="651">
        <v>9000</v>
      </c>
    </row>
    <row r="4628" spans="1:16" s="619" customFormat="1" ht="36" x14ac:dyDescent="0.2">
      <c r="A4628" s="625" t="s">
        <v>9036</v>
      </c>
      <c r="B4628" s="640" t="s">
        <v>1908</v>
      </c>
      <c r="C4628" s="638" t="s">
        <v>104</v>
      </c>
      <c r="D4628" s="626" t="s">
        <v>9051</v>
      </c>
      <c r="E4628" s="636">
        <v>1500</v>
      </c>
      <c r="F4628" s="637" t="s">
        <v>9411</v>
      </c>
      <c r="G4628" s="626" t="s">
        <v>9412</v>
      </c>
      <c r="H4628" s="626" t="s">
        <v>6299</v>
      </c>
      <c r="I4628" s="626" t="s">
        <v>1931</v>
      </c>
      <c r="J4628" s="638" t="s">
        <v>6299</v>
      </c>
      <c r="K4628" s="719">
        <v>1</v>
      </c>
      <c r="L4628" s="719">
        <v>1</v>
      </c>
      <c r="M4628" s="740">
        <v>1500</v>
      </c>
      <c r="N4628" s="719">
        <v>1</v>
      </c>
      <c r="O4628" s="719">
        <v>6</v>
      </c>
      <c r="P4628" s="651">
        <v>9000</v>
      </c>
    </row>
    <row r="4629" spans="1:16" s="619" customFormat="1" ht="24" x14ac:dyDescent="0.2">
      <c r="A4629" s="625" t="s">
        <v>9036</v>
      </c>
      <c r="B4629" s="640" t="s">
        <v>1908</v>
      </c>
      <c r="C4629" s="638" t="s">
        <v>104</v>
      </c>
      <c r="D4629" s="626" t="s">
        <v>9051</v>
      </c>
      <c r="E4629" s="636">
        <v>1200</v>
      </c>
      <c r="F4629" s="637" t="s">
        <v>9413</v>
      </c>
      <c r="G4629" s="626" t="s">
        <v>9414</v>
      </c>
      <c r="H4629" s="626" t="s">
        <v>6299</v>
      </c>
      <c r="I4629" s="626" t="s">
        <v>1931</v>
      </c>
      <c r="J4629" s="638" t="s">
        <v>6299</v>
      </c>
      <c r="K4629" s="719">
        <v>3</v>
      </c>
      <c r="L4629" s="719">
        <v>12</v>
      </c>
      <c r="M4629" s="740">
        <v>14400</v>
      </c>
      <c r="N4629" s="719">
        <v>0</v>
      </c>
      <c r="O4629" s="719">
        <v>0</v>
      </c>
      <c r="P4629" s="651">
        <v>0</v>
      </c>
    </row>
    <row r="4630" spans="1:16" s="619" customFormat="1" ht="24" x14ac:dyDescent="0.2">
      <c r="A4630" s="625" t="s">
        <v>9036</v>
      </c>
      <c r="B4630" s="640" t="s">
        <v>1908</v>
      </c>
      <c r="C4630" s="638" t="s">
        <v>104</v>
      </c>
      <c r="D4630" s="626" t="s">
        <v>9051</v>
      </c>
      <c r="E4630" s="636">
        <v>1200</v>
      </c>
      <c r="F4630" s="637" t="s">
        <v>9415</v>
      </c>
      <c r="G4630" s="626" t="s">
        <v>9416</v>
      </c>
      <c r="H4630" s="626" t="s">
        <v>6299</v>
      </c>
      <c r="I4630" s="626" t="s">
        <v>1931</v>
      </c>
      <c r="J4630" s="638" t="s">
        <v>6299</v>
      </c>
      <c r="K4630" s="719">
        <v>3</v>
      </c>
      <c r="L4630" s="719">
        <v>12</v>
      </c>
      <c r="M4630" s="740">
        <v>14400</v>
      </c>
      <c r="N4630" s="719">
        <v>1</v>
      </c>
      <c r="O4630" s="719">
        <v>6</v>
      </c>
      <c r="P4630" s="651">
        <v>7200</v>
      </c>
    </row>
    <row r="4631" spans="1:16" s="619" customFormat="1" ht="24" x14ac:dyDescent="0.2">
      <c r="A4631" s="625" t="s">
        <v>9036</v>
      </c>
      <c r="B4631" s="640" t="s">
        <v>1908</v>
      </c>
      <c r="C4631" s="638" t="s">
        <v>104</v>
      </c>
      <c r="D4631" s="626" t="s">
        <v>9051</v>
      </c>
      <c r="E4631" s="636">
        <v>3300</v>
      </c>
      <c r="F4631" s="637" t="s">
        <v>9417</v>
      </c>
      <c r="G4631" s="626" t="s">
        <v>9418</v>
      </c>
      <c r="H4631" s="626" t="s">
        <v>6299</v>
      </c>
      <c r="I4631" s="626" t="s">
        <v>1931</v>
      </c>
      <c r="J4631" s="638" t="s">
        <v>6299</v>
      </c>
      <c r="K4631" s="719">
        <v>1</v>
      </c>
      <c r="L4631" s="719">
        <v>1</v>
      </c>
      <c r="M4631" s="740">
        <v>3300</v>
      </c>
      <c r="N4631" s="719">
        <v>1</v>
      </c>
      <c r="O4631" s="719">
        <v>6</v>
      </c>
      <c r="P4631" s="651">
        <v>19800</v>
      </c>
    </row>
    <row r="4632" spans="1:16" s="619" customFormat="1" ht="24" x14ac:dyDescent="0.2">
      <c r="A4632" s="625" t="s">
        <v>9036</v>
      </c>
      <c r="B4632" s="640" t="s">
        <v>1908</v>
      </c>
      <c r="C4632" s="638" t="s">
        <v>104</v>
      </c>
      <c r="D4632" s="626" t="s">
        <v>9051</v>
      </c>
      <c r="E4632" s="636">
        <v>2000</v>
      </c>
      <c r="F4632" s="637" t="s">
        <v>6346</v>
      </c>
      <c r="G4632" s="626" t="s">
        <v>6347</v>
      </c>
      <c r="H4632" s="626" t="s">
        <v>6299</v>
      </c>
      <c r="I4632" s="626" t="s">
        <v>1931</v>
      </c>
      <c r="J4632" s="638" t="s">
        <v>6299</v>
      </c>
      <c r="K4632" s="719">
        <v>0</v>
      </c>
      <c r="L4632" s="719">
        <v>0</v>
      </c>
      <c r="M4632" s="740">
        <v>0</v>
      </c>
      <c r="N4632" s="719">
        <v>1</v>
      </c>
      <c r="O4632" s="719">
        <v>6</v>
      </c>
      <c r="P4632" s="651">
        <v>12000</v>
      </c>
    </row>
    <row r="4633" spans="1:16" s="619" customFormat="1" ht="36" x14ac:dyDescent="0.2">
      <c r="A4633" s="625" t="s">
        <v>9036</v>
      </c>
      <c r="B4633" s="640" t="s">
        <v>1908</v>
      </c>
      <c r="C4633" s="638" t="s">
        <v>104</v>
      </c>
      <c r="D4633" s="626" t="s">
        <v>9051</v>
      </c>
      <c r="E4633" s="636">
        <v>2000</v>
      </c>
      <c r="F4633" s="637" t="s">
        <v>6913</v>
      </c>
      <c r="G4633" s="626" t="s">
        <v>6914</v>
      </c>
      <c r="H4633" s="626" t="s">
        <v>6299</v>
      </c>
      <c r="I4633" s="626" t="s">
        <v>1931</v>
      </c>
      <c r="J4633" s="638" t="s">
        <v>6299</v>
      </c>
      <c r="K4633" s="719">
        <v>0</v>
      </c>
      <c r="L4633" s="719">
        <v>0</v>
      </c>
      <c r="M4633" s="740">
        <v>0</v>
      </c>
      <c r="N4633" s="719">
        <v>1</v>
      </c>
      <c r="O4633" s="719">
        <v>6</v>
      </c>
      <c r="P4633" s="651">
        <v>12000</v>
      </c>
    </row>
    <row r="4634" spans="1:16" s="619" customFormat="1" ht="48" x14ac:dyDescent="0.2">
      <c r="A4634" s="625" t="s">
        <v>9036</v>
      </c>
      <c r="B4634" s="640" t="s">
        <v>1908</v>
      </c>
      <c r="C4634" s="638" t="s">
        <v>104</v>
      </c>
      <c r="D4634" s="626" t="s">
        <v>9051</v>
      </c>
      <c r="E4634" s="636">
        <v>1200</v>
      </c>
      <c r="F4634" s="637" t="s">
        <v>8233</v>
      </c>
      <c r="G4634" s="626" t="s">
        <v>8234</v>
      </c>
      <c r="H4634" s="626" t="s">
        <v>6299</v>
      </c>
      <c r="I4634" s="626" t="s">
        <v>1931</v>
      </c>
      <c r="J4634" s="638" t="s">
        <v>6299</v>
      </c>
      <c r="K4634" s="719">
        <v>0</v>
      </c>
      <c r="L4634" s="719">
        <v>0</v>
      </c>
      <c r="M4634" s="740">
        <v>0</v>
      </c>
      <c r="N4634" s="719">
        <v>1</v>
      </c>
      <c r="O4634" s="719">
        <v>6</v>
      </c>
      <c r="P4634" s="651">
        <v>7200</v>
      </c>
    </row>
    <row r="4635" spans="1:16" s="619" customFormat="1" ht="24" x14ac:dyDescent="0.2">
      <c r="A4635" s="625" t="s">
        <v>9036</v>
      </c>
      <c r="B4635" s="640" t="s">
        <v>1908</v>
      </c>
      <c r="C4635" s="638" t="s">
        <v>104</v>
      </c>
      <c r="D4635" s="626" t="s">
        <v>9051</v>
      </c>
      <c r="E4635" s="636">
        <v>1200</v>
      </c>
      <c r="F4635" s="637" t="s">
        <v>9419</v>
      </c>
      <c r="G4635" s="626" t="s">
        <v>9420</v>
      </c>
      <c r="H4635" s="626" t="s">
        <v>9421</v>
      </c>
      <c r="I4635" s="626" t="s">
        <v>3551</v>
      </c>
      <c r="J4635" s="638" t="s">
        <v>9421</v>
      </c>
      <c r="K4635" s="719">
        <v>3</v>
      </c>
      <c r="L4635" s="719">
        <v>12</v>
      </c>
      <c r="M4635" s="740">
        <v>14400</v>
      </c>
      <c r="N4635" s="719">
        <v>1</v>
      </c>
      <c r="O4635" s="719">
        <v>6</v>
      </c>
      <c r="P4635" s="651">
        <v>7200</v>
      </c>
    </row>
    <row r="4636" spans="1:16" s="619" customFormat="1" ht="36" x14ac:dyDescent="0.2">
      <c r="A4636" s="625" t="s">
        <v>9036</v>
      </c>
      <c r="B4636" s="640" t="s">
        <v>1908</v>
      </c>
      <c r="C4636" s="638" t="s">
        <v>104</v>
      </c>
      <c r="D4636" s="626" t="s">
        <v>9051</v>
      </c>
      <c r="E4636" s="636">
        <v>1200</v>
      </c>
      <c r="F4636" s="637" t="s">
        <v>9422</v>
      </c>
      <c r="G4636" s="626" t="s">
        <v>9423</v>
      </c>
      <c r="H4636" s="626" t="s">
        <v>9421</v>
      </c>
      <c r="I4636" s="626" t="s">
        <v>3551</v>
      </c>
      <c r="J4636" s="638" t="s">
        <v>9421</v>
      </c>
      <c r="K4636" s="719">
        <v>3</v>
      </c>
      <c r="L4636" s="719">
        <v>12</v>
      </c>
      <c r="M4636" s="740">
        <v>14400</v>
      </c>
      <c r="N4636" s="719">
        <v>1</v>
      </c>
      <c r="O4636" s="719">
        <v>6</v>
      </c>
      <c r="P4636" s="651">
        <v>7200</v>
      </c>
    </row>
    <row r="4637" spans="1:16" s="619" customFormat="1" ht="24" x14ac:dyDescent="0.2">
      <c r="A4637" s="625" t="s">
        <v>9036</v>
      </c>
      <c r="B4637" s="640" t="s">
        <v>1908</v>
      </c>
      <c r="C4637" s="638" t="s">
        <v>104</v>
      </c>
      <c r="D4637" s="626" t="s">
        <v>9051</v>
      </c>
      <c r="E4637" s="636">
        <v>1200</v>
      </c>
      <c r="F4637" s="637" t="s">
        <v>9424</v>
      </c>
      <c r="G4637" s="626" t="s">
        <v>9425</v>
      </c>
      <c r="H4637" s="626" t="s">
        <v>9421</v>
      </c>
      <c r="I4637" s="626" t="s">
        <v>3551</v>
      </c>
      <c r="J4637" s="638" t="s">
        <v>9421</v>
      </c>
      <c r="K4637" s="719">
        <v>3</v>
      </c>
      <c r="L4637" s="719">
        <v>12</v>
      </c>
      <c r="M4637" s="740">
        <v>14400</v>
      </c>
      <c r="N4637" s="719">
        <v>1</v>
      </c>
      <c r="O4637" s="719">
        <v>6</v>
      </c>
      <c r="P4637" s="651">
        <v>7200</v>
      </c>
    </row>
    <row r="4638" spans="1:16" s="619" customFormat="1" ht="36" x14ac:dyDescent="0.2">
      <c r="A4638" s="625" t="s">
        <v>9036</v>
      </c>
      <c r="B4638" s="640" t="s">
        <v>1908</v>
      </c>
      <c r="C4638" s="638" t="s">
        <v>104</v>
      </c>
      <c r="D4638" s="626" t="s">
        <v>9051</v>
      </c>
      <c r="E4638" s="636">
        <v>2000</v>
      </c>
      <c r="F4638" s="637" t="s">
        <v>9426</v>
      </c>
      <c r="G4638" s="626" t="s">
        <v>9427</v>
      </c>
      <c r="H4638" s="626" t="s">
        <v>7724</v>
      </c>
      <c r="I4638" s="626" t="s">
        <v>3567</v>
      </c>
      <c r="J4638" s="638" t="s">
        <v>7724</v>
      </c>
      <c r="K4638" s="719">
        <v>3</v>
      </c>
      <c r="L4638" s="719">
        <v>12</v>
      </c>
      <c r="M4638" s="740">
        <v>24000</v>
      </c>
      <c r="N4638" s="719">
        <v>1</v>
      </c>
      <c r="O4638" s="719">
        <v>6</v>
      </c>
      <c r="P4638" s="651">
        <v>12000</v>
      </c>
    </row>
    <row r="4639" spans="1:16" s="619" customFormat="1" ht="36" x14ac:dyDescent="0.2">
      <c r="A4639" s="625" t="s">
        <v>9036</v>
      </c>
      <c r="B4639" s="640" t="s">
        <v>1908</v>
      </c>
      <c r="C4639" s="638" t="s">
        <v>104</v>
      </c>
      <c r="D4639" s="626" t="s">
        <v>9051</v>
      </c>
      <c r="E4639" s="636">
        <v>2000</v>
      </c>
      <c r="F4639" s="637" t="s">
        <v>9428</v>
      </c>
      <c r="G4639" s="626" t="s">
        <v>9429</v>
      </c>
      <c r="H4639" s="626" t="s">
        <v>8662</v>
      </c>
      <c r="I4639" s="626" t="s">
        <v>3567</v>
      </c>
      <c r="J4639" s="638" t="s">
        <v>8662</v>
      </c>
      <c r="K4639" s="719">
        <v>1</v>
      </c>
      <c r="L4639" s="719">
        <v>1</v>
      </c>
      <c r="M4639" s="740">
        <v>2000</v>
      </c>
      <c r="N4639" s="719">
        <v>1</v>
      </c>
      <c r="O4639" s="719">
        <v>6</v>
      </c>
      <c r="P4639" s="651">
        <v>12000</v>
      </c>
    </row>
    <row r="4640" spans="1:16" s="619" customFormat="1" ht="24" x14ac:dyDescent="0.2">
      <c r="A4640" s="625" t="s">
        <v>9036</v>
      </c>
      <c r="B4640" s="640" t="s">
        <v>1908</v>
      </c>
      <c r="C4640" s="638" t="s">
        <v>104</v>
      </c>
      <c r="D4640" s="626" t="s">
        <v>9051</v>
      </c>
      <c r="E4640" s="636">
        <v>2000</v>
      </c>
      <c r="F4640" s="637" t="s">
        <v>9430</v>
      </c>
      <c r="G4640" s="626" t="s">
        <v>9431</v>
      </c>
      <c r="H4640" s="626" t="s">
        <v>8662</v>
      </c>
      <c r="I4640" s="626" t="s">
        <v>3567</v>
      </c>
      <c r="J4640" s="638" t="s">
        <v>8662</v>
      </c>
      <c r="K4640" s="719">
        <v>3</v>
      </c>
      <c r="L4640" s="719">
        <v>12</v>
      </c>
      <c r="M4640" s="740">
        <v>24000</v>
      </c>
      <c r="N4640" s="719">
        <v>1</v>
      </c>
      <c r="O4640" s="719">
        <v>6</v>
      </c>
      <c r="P4640" s="651">
        <v>12000</v>
      </c>
    </row>
    <row r="4641" spans="1:16" s="619" customFormat="1" ht="36" x14ac:dyDescent="0.2">
      <c r="A4641" s="625" t="s">
        <v>9036</v>
      </c>
      <c r="B4641" s="640" t="s">
        <v>1908</v>
      </c>
      <c r="C4641" s="638" t="s">
        <v>104</v>
      </c>
      <c r="D4641" s="626" t="s">
        <v>9051</v>
      </c>
      <c r="E4641" s="636">
        <v>6000</v>
      </c>
      <c r="F4641" s="637">
        <v>70937250</v>
      </c>
      <c r="G4641" s="626" t="s">
        <v>9432</v>
      </c>
      <c r="H4641" s="626" t="s">
        <v>8662</v>
      </c>
      <c r="I4641" s="626" t="s">
        <v>3567</v>
      </c>
      <c r="J4641" s="638" t="s">
        <v>8662</v>
      </c>
      <c r="K4641" s="719">
        <v>1</v>
      </c>
      <c r="L4641" s="719">
        <v>3</v>
      </c>
      <c r="M4641" s="740">
        <v>18000</v>
      </c>
      <c r="N4641" s="719">
        <v>1</v>
      </c>
      <c r="O4641" s="719">
        <v>6</v>
      </c>
      <c r="P4641" s="651">
        <v>36000</v>
      </c>
    </row>
    <row r="4642" spans="1:16" s="619" customFormat="1" ht="48" x14ac:dyDescent="0.2">
      <c r="A4642" s="625" t="s">
        <v>9036</v>
      </c>
      <c r="B4642" s="640" t="s">
        <v>1908</v>
      </c>
      <c r="C4642" s="638" t="s">
        <v>104</v>
      </c>
      <c r="D4642" s="626" t="s">
        <v>9051</v>
      </c>
      <c r="E4642" s="636">
        <v>6000</v>
      </c>
      <c r="F4642" s="637" t="s">
        <v>9433</v>
      </c>
      <c r="G4642" s="626" t="s">
        <v>9434</v>
      </c>
      <c r="H4642" s="626" t="s">
        <v>8662</v>
      </c>
      <c r="I4642" s="626" t="s">
        <v>3567</v>
      </c>
      <c r="J4642" s="638" t="s">
        <v>8662</v>
      </c>
      <c r="K4642" s="719">
        <v>1</v>
      </c>
      <c r="L4642" s="719">
        <v>3</v>
      </c>
      <c r="M4642" s="740">
        <v>18000</v>
      </c>
      <c r="N4642" s="719">
        <v>1</v>
      </c>
      <c r="O4642" s="719">
        <v>6</v>
      </c>
      <c r="P4642" s="651">
        <v>36000</v>
      </c>
    </row>
    <row r="4643" spans="1:16" s="619" customFormat="1" ht="36" x14ac:dyDescent="0.2">
      <c r="A4643" s="625" t="s">
        <v>9036</v>
      </c>
      <c r="B4643" s="640" t="s">
        <v>1908</v>
      </c>
      <c r="C4643" s="638" t="s">
        <v>104</v>
      </c>
      <c r="D4643" s="626" t="s">
        <v>9051</v>
      </c>
      <c r="E4643" s="636">
        <v>4000</v>
      </c>
      <c r="F4643" s="637" t="s">
        <v>9435</v>
      </c>
      <c r="G4643" s="626" t="s">
        <v>9436</v>
      </c>
      <c r="H4643" s="626" t="s">
        <v>8662</v>
      </c>
      <c r="I4643" s="626" t="s">
        <v>3567</v>
      </c>
      <c r="J4643" s="638" t="s">
        <v>8662</v>
      </c>
      <c r="K4643" s="719">
        <v>0</v>
      </c>
      <c r="L4643" s="719">
        <v>0</v>
      </c>
      <c r="M4643" s="740">
        <v>0</v>
      </c>
      <c r="N4643" s="719">
        <v>1</v>
      </c>
      <c r="O4643" s="719">
        <v>6</v>
      </c>
      <c r="P4643" s="651">
        <v>24000</v>
      </c>
    </row>
    <row r="4644" spans="1:16" s="619" customFormat="1" ht="48" x14ac:dyDescent="0.2">
      <c r="A4644" s="625" t="s">
        <v>9036</v>
      </c>
      <c r="B4644" s="640" t="s">
        <v>1908</v>
      </c>
      <c r="C4644" s="638" t="s">
        <v>104</v>
      </c>
      <c r="D4644" s="626" t="s">
        <v>9051</v>
      </c>
      <c r="E4644" s="636">
        <v>2000</v>
      </c>
      <c r="F4644" s="637" t="s">
        <v>9437</v>
      </c>
      <c r="G4644" s="626" t="s">
        <v>9438</v>
      </c>
      <c r="H4644" s="626" t="s">
        <v>8662</v>
      </c>
      <c r="I4644" s="626" t="s">
        <v>3567</v>
      </c>
      <c r="J4644" s="638" t="s">
        <v>8662</v>
      </c>
      <c r="K4644" s="719">
        <v>0</v>
      </c>
      <c r="L4644" s="719">
        <v>0</v>
      </c>
      <c r="M4644" s="740">
        <v>0</v>
      </c>
      <c r="N4644" s="719">
        <v>1</v>
      </c>
      <c r="O4644" s="719">
        <v>6</v>
      </c>
      <c r="P4644" s="651">
        <v>12000</v>
      </c>
    </row>
    <row r="4645" spans="1:16" s="619" customFormat="1" ht="36" x14ac:dyDescent="0.2">
      <c r="A4645" s="625" t="s">
        <v>9036</v>
      </c>
      <c r="B4645" s="640" t="s">
        <v>1908</v>
      </c>
      <c r="C4645" s="638" t="s">
        <v>104</v>
      </c>
      <c r="D4645" s="626" t="s">
        <v>9037</v>
      </c>
      <c r="E4645" s="636">
        <v>1050</v>
      </c>
      <c r="F4645" s="637" t="s">
        <v>9439</v>
      </c>
      <c r="G4645" s="626" t="s">
        <v>9440</v>
      </c>
      <c r="H4645" s="626" t="s">
        <v>6158</v>
      </c>
      <c r="I4645" s="626" t="s">
        <v>3551</v>
      </c>
      <c r="J4645" s="638" t="s">
        <v>6158</v>
      </c>
      <c r="K4645" s="719">
        <v>3</v>
      </c>
      <c r="L4645" s="719">
        <v>12</v>
      </c>
      <c r="M4645" s="740">
        <v>12600</v>
      </c>
      <c r="N4645" s="719">
        <v>1</v>
      </c>
      <c r="O4645" s="719">
        <v>6</v>
      </c>
      <c r="P4645" s="651">
        <v>6300</v>
      </c>
    </row>
    <row r="4646" spans="1:16" s="619" customFormat="1" ht="24" x14ac:dyDescent="0.2">
      <c r="A4646" s="625" t="s">
        <v>9036</v>
      </c>
      <c r="B4646" s="640" t="s">
        <v>1908</v>
      </c>
      <c r="C4646" s="638" t="s">
        <v>104</v>
      </c>
      <c r="D4646" s="626" t="s">
        <v>9037</v>
      </c>
      <c r="E4646" s="636">
        <v>1050</v>
      </c>
      <c r="F4646" s="637" t="s">
        <v>9441</v>
      </c>
      <c r="G4646" s="626" t="s">
        <v>9442</v>
      </c>
      <c r="H4646" s="626" t="s">
        <v>6158</v>
      </c>
      <c r="I4646" s="626" t="s">
        <v>3551</v>
      </c>
      <c r="J4646" s="638" t="s">
        <v>6158</v>
      </c>
      <c r="K4646" s="719">
        <v>3</v>
      </c>
      <c r="L4646" s="719">
        <v>12</v>
      </c>
      <c r="M4646" s="740">
        <v>12600</v>
      </c>
      <c r="N4646" s="719">
        <v>1</v>
      </c>
      <c r="O4646" s="719">
        <v>6</v>
      </c>
      <c r="P4646" s="651">
        <v>6300</v>
      </c>
    </row>
    <row r="4647" spans="1:16" s="619" customFormat="1" ht="24" x14ac:dyDescent="0.2">
      <c r="A4647" s="625" t="s">
        <v>9036</v>
      </c>
      <c r="B4647" s="640" t="s">
        <v>1908</v>
      </c>
      <c r="C4647" s="638" t="s">
        <v>104</v>
      </c>
      <c r="D4647" s="626" t="s">
        <v>9037</v>
      </c>
      <c r="E4647" s="636">
        <v>1050</v>
      </c>
      <c r="F4647" s="637" t="s">
        <v>9443</v>
      </c>
      <c r="G4647" s="626" t="s">
        <v>9444</v>
      </c>
      <c r="H4647" s="626" t="s">
        <v>6158</v>
      </c>
      <c r="I4647" s="626" t="s">
        <v>3551</v>
      </c>
      <c r="J4647" s="638" t="s">
        <v>6158</v>
      </c>
      <c r="K4647" s="719">
        <v>3</v>
      </c>
      <c r="L4647" s="719">
        <v>12</v>
      </c>
      <c r="M4647" s="740">
        <v>12600</v>
      </c>
      <c r="N4647" s="719">
        <v>1</v>
      </c>
      <c r="O4647" s="719">
        <v>6</v>
      </c>
      <c r="P4647" s="651">
        <v>6300</v>
      </c>
    </row>
    <row r="4648" spans="1:16" s="619" customFormat="1" ht="36" x14ac:dyDescent="0.2">
      <c r="A4648" s="625" t="s">
        <v>9036</v>
      </c>
      <c r="B4648" s="640" t="s">
        <v>1908</v>
      </c>
      <c r="C4648" s="638" t="s">
        <v>104</v>
      </c>
      <c r="D4648" s="626" t="s">
        <v>9037</v>
      </c>
      <c r="E4648" s="636">
        <v>1050</v>
      </c>
      <c r="F4648" s="637" t="s">
        <v>9445</v>
      </c>
      <c r="G4648" s="626" t="s">
        <v>9446</v>
      </c>
      <c r="H4648" s="626" t="s">
        <v>6158</v>
      </c>
      <c r="I4648" s="626" t="s">
        <v>3551</v>
      </c>
      <c r="J4648" s="638" t="s">
        <v>6158</v>
      </c>
      <c r="K4648" s="719">
        <v>3</v>
      </c>
      <c r="L4648" s="719">
        <v>12</v>
      </c>
      <c r="M4648" s="740">
        <v>12600</v>
      </c>
      <c r="N4648" s="719">
        <v>1</v>
      </c>
      <c r="O4648" s="719">
        <v>6</v>
      </c>
      <c r="P4648" s="651">
        <v>6300</v>
      </c>
    </row>
    <row r="4649" spans="1:16" s="619" customFormat="1" ht="24" x14ac:dyDescent="0.2">
      <c r="A4649" s="625" t="s">
        <v>9036</v>
      </c>
      <c r="B4649" s="640" t="s">
        <v>1908</v>
      </c>
      <c r="C4649" s="638" t="s">
        <v>104</v>
      </c>
      <c r="D4649" s="626" t="s">
        <v>9037</v>
      </c>
      <c r="E4649" s="636">
        <v>1050</v>
      </c>
      <c r="F4649" s="637" t="s">
        <v>9447</v>
      </c>
      <c r="G4649" s="626" t="s">
        <v>9448</v>
      </c>
      <c r="H4649" s="626" t="s">
        <v>6158</v>
      </c>
      <c r="I4649" s="626" t="s">
        <v>3551</v>
      </c>
      <c r="J4649" s="638" t="s">
        <v>6158</v>
      </c>
      <c r="K4649" s="719">
        <v>2</v>
      </c>
      <c r="L4649" s="719">
        <v>7</v>
      </c>
      <c r="M4649" s="740">
        <v>7350</v>
      </c>
      <c r="N4649" s="719">
        <v>1</v>
      </c>
      <c r="O4649" s="719">
        <v>6</v>
      </c>
      <c r="P4649" s="651">
        <v>6300</v>
      </c>
    </row>
    <row r="4650" spans="1:16" s="619" customFormat="1" ht="24" x14ac:dyDescent="0.2">
      <c r="A4650" s="625" t="s">
        <v>9036</v>
      </c>
      <c r="B4650" s="640" t="s">
        <v>1908</v>
      </c>
      <c r="C4650" s="638" t="s">
        <v>104</v>
      </c>
      <c r="D4650" s="626" t="s">
        <v>9037</v>
      </c>
      <c r="E4650" s="636">
        <v>1050</v>
      </c>
      <c r="F4650" s="637">
        <v>33594985</v>
      </c>
      <c r="G4650" s="626" t="s">
        <v>9449</v>
      </c>
      <c r="H4650" s="626" t="s">
        <v>6158</v>
      </c>
      <c r="I4650" s="626" t="s">
        <v>3551</v>
      </c>
      <c r="J4650" s="638" t="s">
        <v>6158</v>
      </c>
      <c r="K4650" s="719">
        <v>1</v>
      </c>
      <c r="L4650" s="719">
        <v>2</v>
      </c>
      <c r="M4650" s="740">
        <v>2100</v>
      </c>
      <c r="N4650" s="719">
        <v>1</v>
      </c>
      <c r="O4650" s="719">
        <v>6</v>
      </c>
      <c r="P4650" s="651">
        <v>6300</v>
      </c>
    </row>
    <row r="4651" spans="1:16" s="619" customFormat="1" ht="24" x14ac:dyDescent="0.2">
      <c r="A4651" s="625" t="s">
        <v>9036</v>
      </c>
      <c r="B4651" s="640" t="s">
        <v>1908</v>
      </c>
      <c r="C4651" s="638" t="s">
        <v>104</v>
      </c>
      <c r="D4651" s="626" t="s">
        <v>9037</v>
      </c>
      <c r="E4651" s="636">
        <v>1050</v>
      </c>
      <c r="F4651" s="637" t="s">
        <v>9450</v>
      </c>
      <c r="G4651" s="626" t="s">
        <v>9451</v>
      </c>
      <c r="H4651" s="626" t="s">
        <v>6158</v>
      </c>
      <c r="I4651" s="626" t="s">
        <v>3551</v>
      </c>
      <c r="J4651" s="638" t="s">
        <v>6158</v>
      </c>
      <c r="K4651" s="719">
        <v>1</v>
      </c>
      <c r="L4651" s="719">
        <v>2</v>
      </c>
      <c r="M4651" s="740">
        <v>2100</v>
      </c>
      <c r="N4651" s="719">
        <v>1</v>
      </c>
      <c r="O4651" s="719">
        <v>6</v>
      </c>
      <c r="P4651" s="651">
        <v>6300</v>
      </c>
    </row>
    <row r="4652" spans="1:16" s="619" customFormat="1" ht="36" x14ac:dyDescent="0.2">
      <c r="A4652" s="625" t="s">
        <v>9036</v>
      </c>
      <c r="B4652" s="640" t="s">
        <v>1908</v>
      </c>
      <c r="C4652" s="638" t="s">
        <v>104</v>
      </c>
      <c r="D4652" s="626" t="s">
        <v>9037</v>
      </c>
      <c r="E4652" s="636">
        <v>1050</v>
      </c>
      <c r="F4652" s="637" t="s">
        <v>9452</v>
      </c>
      <c r="G4652" s="626" t="s">
        <v>9453</v>
      </c>
      <c r="H4652" s="626" t="s">
        <v>6158</v>
      </c>
      <c r="I4652" s="626" t="s">
        <v>3551</v>
      </c>
      <c r="J4652" s="638" t="s">
        <v>6158</v>
      </c>
      <c r="K4652" s="719">
        <v>2</v>
      </c>
      <c r="L4652" s="719">
        <v>7</v>
      </c>
      <c r="M4652" s="740">
        <v>7350</v>
      </c>
      <c r="N4652" s="719">
        <v>1</v>
      </c>
      <c r="O4652" s="719">
        <v>6</v>
      </c>
      <c r="P4652" s="651">
        <v>6300</v>
      </c>
    </row>
    <row r="4653" spans="1:16" s="619" customFormat="1" ht="36" x14ac:dyDescent="0.2">
      <c r="A4653" s="625" t="s">
        <v>9036</v>
      </c>
      <c r="B4653" s="640" t="s">
        <v>1908</v>
      </c>
      <c r="C4653" s="638" t="s">
        <v>104</v>
      </c>
      <c r="D4653" s="626" t="s">
        <v>9037</v>
      </c>
      <c r="E4653" s="636">
        <v>1050</v>
      </c>
      <c r="F4653" s="637" t="s">
        <v>9454</v>
      </c>
      <c r="G4653" s="626" t="s">
        <v>9455</v>
      </c>
      <c r="H4653" s="626" t="s">
        <v>6158</v>
      </c>
      <c r="I4653" s="626" t="s">
        <v>3551</v>
      </c>
      <c r="J4653" s="638" t="s">
        <v>6158</v>
      </c>
      <c r="K4653" s="719">
        <v>2</v>
      </c>
      <c r="L4653" s="719">
        <v>7</v>
      </c>
      <c r="M4653" s="740">
        <v>7350</v>
      </c>
      <c r="N4653" s="719">
        <v>1</v>
      </c>
      <c r="O4653" s="719">
        <v>6</v>
      </c>
      <c r="P4653" s="651">
        <v>6300</v>
      </c>
    </row>
    <row r="4654" spans="1:16" s="619" customFormat="1" ht="24" x14ac:dyDescent="0.2">
      <c r="A4654" s="625" t="s">
        <v>9036</v>
      </c>
      <c r="B4654" s="640" t="s">
        <v>1908</v>
      </c>
      <c r="C4654" s="638" t="s">
        <v>104</v>
      </c>
      <c r="D4654" s="626" t="s">
        <v>9037</v>
      </c>
      <c r="E4654" s="636">
        <v>1050</v>
      </c>
      <c r="F4654" s="637" t="s">
        <v>9456</v>
      </c>
      <c r="G4654" s="626" t="s">
        <v>9457</v>
      </c>
      <c r="H4654" s="626" t="s">
        <v>6158</v>
      </c>
      <c r="I4654" s="626" t="s">
        <v>3551</v>
      </c>
      <c r="J4654" s="638" t="s">
        <v>6158</v>
      </c>
      <c r="K4654" s="719">
        <v>3</v>
      </c>
      <c r="L4654" s="719">
        <v>12</v>
      </c>
      <c r="M4654" s="740">
        <v>12600</v>
      </c>
      <c r="N4654" s="719">
        <v>1</v>
      </c>
      <c r="O4654" s="719">
        <v>6</v>
      </c>
      <c r="P4654" s="651">
        <v>6300</v>
      </c>
    </row>
    <row r="4655" spans="1:16" s="619" customFormat="1" ht="24" x14ac:dyDescent="0.2">
      <c r="A4655" s="625" t="s">
        <v>9036</v>
      </c>
      <c r="B4655" s="640" t="s">
        <v>1908</v>
      </c>
      <c r="C4655" s="638" t="s">
        <v>104</v>
      </c>
      <c r="D4655" s="626" t="s">
        <v>9037</v>
      </c>
      <c r="E4655" s="636">
        <v>1050</v>
      </c>
      <c r="F4655" s="637" t="s">
        <v>9458</v>
      </c>
      <c r="G4655" s="626" t="s">
        <v>9459</v>
      </c>
      <c r="H4655" s="626" t="s">
        <v>6158</v>
      </c>
      <c r="I4655" s="626" t="s">
        <v>3551</v>
      </c>
      <c r="J4655" s="638" t="s">
        <v>6158</v>
      </c>
      <c r="K4655" s="719">
        <v>3</v>
      </c>
      <c r="L4655" s="719">
        <v>12</v>
      </c>
      <c r="M4655" s="740">
        <v>12600</v>
      </c>
      <c r="N4655" s="719">
        <v>1</v>
      </c>
      <c r="O4655" s="719">
        <v>6</v>
      </c>
      <c r="P4655" s="651">
        <v>6300</v>
      </c>
    </row>
    <row r="4656" spans="1:16" s="619" customFormat="1" ht="36" x14ac:dyDescent="0.2">
      <c r="A4656" s="625" t="s">
        <v>9036</v>
      </c>
      <c r="B4656" s="640" t="s">
        <v>1908</v>
      </c>
      <c r="C4656" s="638" t="s">
        <v>104</v>
      </c>
      <c r="D4656" s="626" t="s">
        <v>9037</v>
      </c>
      <c r="E4656" s="636">
        <v>1050</v>
      </c>
      <c r="F4656" s="637" t="s">
        <v>9460</v>
      </c>
      <c r="G4656" s="626" t="s">
        <v>9461</v>
      </c>
      <c r="H4656" s="626" t="s">
        <v>6158</v>
      </c>
      <c r="I4656" s="626" t="s">
        <v>3551</v>
      </c>
      <c r="J4656" s="638" t="s">
        <v>6158</v>
      </c>
      <c r="K4656" s="719">
        <v>3</v>
      </c>
      <c r="L4656" s="719">
        <v>12</v>
      </c>
      <c r="M4656" s="740">
        <v>12600</v>
      </c>
      <c r="N4656" s="719">
        <v>1</v>
      </c>
      <c r="O4656" s="719">
        <v>6</v>
      </c>
      <c r="P4656" s="651">
        <v>6300</v>
      </c>
    </row>
    <row r="4657" spans="1:16" s="619" customFormat="1" ht="48" x14ac:dyDescent="0.2">
      <c r="A4657" s="625" t="s">
        <v>9036</v>
      </c>
      <c r="B4657" s="640" t="s">
        <v>1908</v>
      </c>
      <c r="C4657" s="638" t="s">
        <v>104</v>
      </c>
      <c r="D4657" s="626" t="s">
        <v>9037</v>
      </c>
      <c r="E4657" s="636">
        <v>1050</v>
      </c>
      <c r="F4657" s="637" t="s">
        <v>9462</v>
      </c>
      <c r="G4657" s="626" t="s">
        <v>9463</v>
      </c>
      <c r="H4657" s="626" t="s">
        <v>6158</v>
      </c>
      <c r="I4657" s="626" t="s">
        <v>1931</v>
      </c>
      <c r="J4657" s="638" t="s">
        <v>6158</v>
      </c>
      <c r="K4657" s="719">
        <v>3</v>
      </c>
      <c r="L4657" s="719">
        <v>12</v>
      </c>
      <c r="M4657" s="740">
        <v>12600</v>
      </c>
      <c r="N4657" s="719">
        <v>1</v>
      </c>
      <c r="O4657" s="719">
        <v>6</v>
      </c>
      <c r="P4657" s="651">
        <v>6300</v>
      </c>
    </row>
    <row r="4658" spans="1:16" s="619" customFormat="1" ht="36" x14ac:dyDescent="0.2">
      <c r="A4658" s="625" t="s">
        <v>9036</v>
      </c>
      <c r="B4658" s="640" t="s">
        <v>1908</v>
      </c>
      <c r="C4658" s="638" t="s">
        <v>104</v>
      </c>
      <c r="D4658" s="626" t="s">
        <v>9037</v>
      </c>
      <c r="E4658" s="636">
        <v>1050</v>
      </c>
      <c r="F4658" s="637" t="s">
        <v>9464</v>
      </c>
      <c r="G4658" s="626" t="s">
        <v>9465</v>
      </c>
      <c r="H4658" s="626" t="s">
        <v>6158</v>
      </c>
      <c r="I4658" s="626" t="s">
        <v>3551</v>
      </c>
      <c r="J4658" s="638" t="s">
        <v>6158</v>
      </c>
      <c r="K4658" s="719">
        <v>3</v>
      </c>
      <c r="L4658" s="719">
        <v>12</v>
      </c>
      <c r="M4658" s="740">
        <v>12600</v>
      </c>
      <c r="N4658" s="719">
        <v>1</v>
      </c>
      <c r="O4658" s="719">
        <v>6</v>
      </c>
      <c r="P4658" s="651">
        <v>6300</v>
      </c>
    </row>
    <row r="4659" spans="1:16" s="619" customFormat="1" ht="36" x14ac:dyDescent="0.2">
      <c r="A4659" s="625" t="s">
        <v>9036</v>
      </c>
      <c r="B4659" s="640" t="s">
        <v>1908</v>
      </c>
      <c r="C4659" s="638" t="s">
        <v>104</v>
      </c>
      <c r="D4659" s="626" t="s">
        <v>9037</v>
      </c>
      <c r="E4659" s="636">
        <v>1050</v>
      </c>
      <c r="F4659" s="637" t="s">
        <v>9466</v>
      </c>
      <c r="G4659" s="626" t="s">
        <v>9467</v>
      </c>
      <c r="H4659" s="626" t="s">
        <v>6158</v>
      </c>
      <c r="I4659" s="626" t="s">
        <v>3551</v>
      </c>
      <c r="J4659" s="638" t="s">
        <v>6158</v>
      </c>
      <c r="K4659" s="719">
        <v>3</v>
      </c>
      <c r="L4659" s="719">
        <v>12</v>
      </c>
      <c r="M4659" s="740">
        <v>12600</v>
      </c>
      <c r="N4659" s="719">
        <v>1</v>
      </c>
      <c r="O4659" s="719">
        <v>6</v>
      </c>
      <c r="P4659" s="651">
        <v>6300</v>
      </c>
    </row>
    <row r="4660" spans="1:16" s="619" customFormat="1" ht="24" x14ac:dyDescent="0.2">
      <c r="A4660" s="625" t="s">
        <v>9036</v>
      </c>
      <c r="B4660" s="640" t="s">
        <v>1908</v>
      </c>
      <c r="C4660" s="638" t="s">
        <v>104</v>
      </c>
      <c r="D4660" s="626" t="s">
        <v>9037</v>
      </c>
      <c r="E4660" s="636">
        <v>1050</v>
      </c>
      <c r="F4660" s="637" t="s">
        <v>9468</v>
      </c>
      <c r="G4660" s="626" t="s">
        <v>9469</v>
      </c>
      <c r="H4660" s="626" t="s">
        <v>6158</v>
      </c>
      <c r="I4660" s="626" t="s">
        <v>3551</v>
      </c>
      <c r="J4660" s="638" t="s">
        <v>6158</v>
      </c>
      <c r="K4660" s="719">
        <v>3</v>
      </c>
      <c r="L4660" s="719">
        <v>12</v>
      </c>
      <c r="M4660" s="740">
        <v>12600</v>
      </c>
      <c r="N4660" s="719">
        <v>1</v>
      </c>
      <c r="O4660" s="719">
        <v>6</v>
      </c>
      <c r="P4660" s="651">
        <v>6300</v>
      </c>
    </row>
    <row r="4661" spans="1:16" s="619" customFormat="1" ht="24" x14ac:dyDescent="0.2">
      <c r="A4661" s="625" t="s">
        <v>9036</v>
      </c>
      <c r="B4661" s="640" t="s">
        <v>1908</v>
      </c>
      <c r="C4661" s="638" t="s">
        <v>104</v>
      </c>
      <c r="D4661" s="626" t="s">
        <v>9037</v>
      </c>
      <c r="E4661" s="636">
        <v>1050</v>
      </c>
      <c r="F4661" s="637" t="s">
        <v>9470</v>
      </c>
      <c r="G4661" s="626" t="s">
        <v>9471</v>
      </c>
      <c r="H4661" s="626" t="s">
        <v>6158</v>
      </c>
      <c r="I4661" s="626" t="s">
        <v>3551</v>
      </c>
      <c r="J4661" s="638" t="s">
        <v>6158</v>
      </c>
      <c r="K4661" s="719">
        <v>0</v>
      </c>
      <c r="L4661" s="719">
        <v>0</v>
      </c>
      <c r="M4661" s="740">
        <v>0</v>
      </c>
      <c r="N4661" s="719">
        <v>1</v>
      </c>
      <c r="O4661" s="719">
        <v>6</v>
      </c>
      <c r="P4661" s="651">
        <v>6300</v>
      </c>
    </row>
    <row r="4662" spans="1:16" s="619" customFormat="1" ht="24" x14ac:dyDescent="0.2">
      <c r="A4662" s="625" t="s">
        <v>9036</v>
      </c>
      <c r="B4662" s="640" t="s">
        <v>1908</v>
      </c>
      <c r="C4662" s="638" t="s">
        <v>104</v>
      </c>
      <c r="D4662" s="626" t="s">
        <v>9037</v>
      </c>
      <c r="E4662" s="636">
        <v>1050</v>
      </c>
      <c r="F4662" s="637" t="s">
        <v>9472</v>
      </c>
      <c r="G4662" s="626" t="s">
        <v>9473</v>
      </c>
      <c r="H4662" s="626" t="s">
        <v>6158</v>
      </c>
      <c r="I4662" s="626" t="s">
        <v>3551</v>
      </c>
      <c r="J4662" s="638" t="s">
        <v>6158</v>
      </c>
      <c r="K4662" s="719">
        <v>0</v>
      </c>
      <c r="L4662" s="719">
        <v>0</v>
      </c>
      <c r="M4662" s="740">
        <v>0</v>
      </c>
      <c r="N4662" s="719">
        <v>1</v>
      </c>
      <c r="O4662" s="719">
        <v>6</v>
      </c>
      <c r="P4662" s="651">
        <v>6300</v>
      </c>
    </row>
    <row r="4663" spans="1:16" s="619" customFormat="1" ht="36" x14ac:dyDescent="0.2">
      <c r="A4663" s="625" t="s">
        <v>9036</v>
      </c>
      <c r="B4663" s="640" t="s">
        <v>1908</v>
      </c>
      <c r="C4663" s="638" t="s">
        <v>104</v>
      </c>
      <c r="D4663" s="626" t="s">
        <v>9037</v>
      </c>
      <c r="E4663" s="636">
        <v>1200</v>
      </c>
      <c r="F4663" s="637" t="s">
        <v>9474</v>
      </c>
      <c r="G4663" s="626" t="s">
        <v>9475</v>
      </c>
      <c r="H4663" s="626" t="s">
        <v>6158</v>
      </c>
      <c r="I4663" s="626" t="s">
        <v>3551</v>
      </c>
      <c r="J4663" s="638" t="s">
        <v>6158</v>
      </c>
      <c r="K4663" s="719">
        <v>0</v>
      </c>
      <c r="L4663" s="719">
        <v>0</v>
      </c>
      <c r="M4663" s="740">
        <v>0</v>
      </c>
      <c r="N4663" s="719">
        <v>1</v>
      </c>
      <c r="O4663" s="719">
        <v>6</v>
      </c>
      <c r="P4663" s="651">
        <v>7200</v>
      </c>
    </row>
    <row r="4664" spans="1:16" s="619" customFormat="1" ht="48" x14ac:dyDescent="0.2">
      <c r="A4664" s="625" t="s">
        <v>9036</v>
      </c>
      <c r="B4664" s="640" t="s">
        <v>1908</v>
      </c>
      <c r="C4664" s="638" t="s">
        <v>104</v>
      </c>
      <c r="D4664" s="626" t="s">
        <v>9037</v>
      </c>
      <c r="E4664" s="636">
        <v>1200</v>
      </c>
      <c r="F4664" s="637" t="s">
        <v>9476</v>
      </c>
      <c r="G4664" s="626" t="s">
        <v>9477</v>
      </c>
      <c r="H4664" s="626" t="s">
        <v>6158</v>
      </c>
      <c r="I4664" s="626" t="s">
        <v>3551</v>
      </c>
      <c r="J4664" s="638" t="s">
        <v>6158</v>
      </c>
      <c r="K4664" s="719">
        <v>0</v>
      </c>
      <c r="L4664" s="719">
        <v>0</v>
      </c>
      <c r="M4664" s="740">
        <v>0</v>
      </c>
      <c r="N4664" s="719">
        <v>1</v>
      </c>
      <c r="O4664" s="719">
        <v>6</v>
      </c>
      <c r="P4664" s="651">
        <v>7200</v>
      </c>
    </row>
    <row r="4665" spans="1:16" s="619" customFormat="1" ht="36" x14ac:dyDescent="0.2">
      <c r="A4665" s="625" t="s">
        <v>9036</v>
      </c>
      <c r="B4665" s="640" t="s">
        <v>1908</v>
      </c>
      <c r="C4665" s="638" t="s">
        <v>104</v>
      </c>
      <c r="D4665" s="626" t="s">
        <v>9037</v>
      </c>
      <c r="E4665" s="636">
        <v>1050</v>
      </c>
      <c r="F4665" s="637" t="s">
        <v>9478</v>
      </c>
      <c r="G4665" s="626" t="s">
        <v>9479</v>
      </c>
      <c r="H4665" s="626" t="s">
        <v>6158</v>
      </c>
      <c r="I4665" s="626" t="s">
        <v>3551</v>
      </c>
      <c r="J4665" s="638" t="s">
        <v>6158</v>
      </c>
      <c r="K4665" s="719">
        <v>0</v>
      </c>
      <c r="L4665" s="719">
        <v>0</v>
      </c>
      <c r="M4665" s="740">
        <v>0</v>
      </c>
      <c r="N4665" s="719">
        <v>1</v>
      </c>
      <c r="O4665" s="719">
        <v>6</v>
      </c>
      <c r="P4665" s="651">
        <v>6300</v>
      </c>
    </row>
    <row r="4666" spans="1:16" s="619" customFormat="1" ht="36" x14ac:dyDescent="0.2">
      <c r="A4666" s="625" t="s">
        <v>9036</v>
      </c>
      <c r="B4666" s="640" t="s">
        <v>1908</v>
      </c>
      <c r="C4666" s="638" t="s">
        <v>104</v>
      </c>
      <c r="D4666" s="626" t="s">
        <v>9037</v>
      </c>
      <c r="E4666" s="636">
        <v>1050</v>
      </c>
      <c r="F4666" s="637" t="s">
        <v>9480</v>
      </c>
      <c r="G4666" s="626" t="s">
        <v>9481</v>
      </c>
      <c r="H4666" s="626" t="s">
        <v>3548</v>
      </c>
      <c r="I4666" s="626" t="s">
        <v>3551</v>
      </c>
      <c r="J4666" s="638" t="s">
        <v>3548</v>
      </c>
      <c r="K4666" s="719">
        <v>2</v>
      </c>
      <c r="L4666" s="719">
        <v>7</v>
      </c>
      <c r="M4666" s="740">
        <v>7350</v>
      </c>
      <c r="N4666" s="719">
        <v>1</v>
      </c>
      <c r="O4666" s="719">
        <v>6</v>
      </c>
      <c r="P4666" s="651">
        <v>6300</v>
      </c>
    </row>
    <row r="4667" spans="1:16" s="619" customFormat="1" ht="48" x14ac:dyDescent="0.2">
      <c r="A4667" s="625" t="s">
        <v>9036</v>
      </c>
      <c r="B4667" s="640" t="s">
        <v>1908</v>
      </c>
      <c r="C4667" s="638" t="s">
        <v>104</v>
      </c>
      <c r="D4667" s="626" t="s">
        <v>9037</v>
      </c>
      <c r="E4667" s="636">
        <v>1050</v>
      </c>
      <c r="F4667" s="637" t="s">
        <v>9482</v>
      </c>
      <c r="G4667" s="626" t="s">
        <v>9483</v>
      </c>
      <c r="H4667" s="626" t="s">
        <v>3548</v>
      </c>
      <c r="I4667" s="626" t="s">
        <v>3551</v>
      </c>
      <c r="J4667" s="638" t="s">
        <v>3548</v>
      </c>
      <c r="K4667" s="719">
        <v>3</v>
      </c>
      <c r="L4667" s="719">
        <v>12</v>
      </c>
      <c r="M4667" s="740">
        <v>12600</v>
      </c>
      <c r="N4667" s="719">
        <v>1</v>
      </c>
      <c r="O4667" s="719">
        <v>6</v>
      </c>
      <c r="P4667" s="651">
        <v>6300</v>
      </c>
    </row>
    <row r="4668" spans="1:16" s="619" customFormat="1" ht="24" x14ac:dyDescent="0.2">
      <c r="A4668" s="625" t="s">
        <v>9036</v>
      </c>
      <c r="B4668" s="640" t="s">
        <v>1908</v>
      </c>
      <c r="C4668" s="638" t="s">
        <v>104</v>
      </c>
      <c r="D4668" s="626" t="s">
        <v>9037</v>
      </c>
      <c r="E4668" s="636">
        <v>1050</v>
      </c>
      <c r="F4668" s="637" t="s">
        <v>9484</v>
      </c>
      <c r="G4668" s="626" t="s">
        <v>9485</v>
      </c>
      <c r="H4668" s="626" t="s">
        <v>3548</v>
      </c>
      <c r="I4668" s="626" t="s">
        <v>3551</v>
      </c>
      <c r="J4668" s="638" t="s">
        <v>3548</v>
      </c>
      <c r="K4668" s="719">
        <v>3</v>
      </c>
      <c r="L4668" s="719">
        <v>12</v>
      </c>
      <c r="M4668" s="740">
        <v>12600</v>
      </c>
      <c r="N4668" s="719">
        <v>1</v>
      </c>
      <c r="O4668" s="719">
        <v>6</v>
      </c>
      <c r="P4668" s="651">
        <v>6300</v>
      </c>
    </row>
    <row r="4669" spans="1:16" s="619" customFormat="1" ht="24" x14ac:dyDescent="0.2">
      <c r="A4669" s="625" t="s">
        <v>9036</v>
      </c>
      <c r="B4669" s="640" t="s">
        <v>1908</v>
      </c>
      <c r="C4669" s="638" t="s">
        <v>104</v>
      </c>
      <c r="D4669" s="626" t="s">
        <v>9037</v>
      </c>
      <c r="E4669" s="636">
        <v>1050</v>
      </c>
      <c r="F4669" s="637" t="s">
        <v>9486</v>
      </c>
      <c r="G4669" s="626" t="s">
        <v>9487</v>
      </c>
      <c r="H4669" s="626" t="s">
        <v>3548</v>
      </c>
      <c r="I4669" s="626" t="s">
        <v>3551</v>
      </c>
      <c r="J4669" s="638" t="s">
        <v>3548</v>
      </c>
      <c r="K4669" s="719">
        <v>2</v>
      </c>
      <c r="L4669" s="719">
        <v>6</v>
      </c>
      <c r="M4669" s="740">
        <v>6300</v>
      </c>
      <c r="N4669" s="719">
        <v>1</v>
      </c>
      <c r="O4669" s="719">
        <v>2</v>
      </c>
      <c r="P4669" s="651">
        <v>2100</v>
      </c>
    </row>
    <row r="4670" spans="1:16" s="619" customFormat="1" ht="36" x14ac:dyDescent="0.2">
      <c r="A4670" s="625" t="s">
        <v>9036</v>
      </c>
      <c r="B4670" s="640" t="s">
        <v>1908</v>
      </c>
      <c r="C4670" s="638" t="s">
        <v>104</v>
      </c>
      <c r="D4670" s="626" t="s">
        <v>9037</v>
      </c>
      <c r="E4670" s="636">
        <v>1050</v>
      </c>
      <c r="F4670" s="637" t="s">
        <v>9488</v>
      </c>
      <c r="G4670" s="626" t="s">
        <v>9489</v>
      </c>
      <c r="H4670" s="626" t="s">
        <v>3548</v>
      </c>
      <c r="I4670" s="626" t="s">
        <v>3551</v>
      </c>
      <c r="J4670" s="638" t="s">
        <v>3548</v>
      </c>
      <c r="K4670" s="719">
        <v>3</v>
      </c>
      <c r="L4670" s="719">
        <v>12</v>
      </c>
      <c r="M4670" s="740">
        <v>12600</v>
      </c>
      <c r="N4670" s="719">
        <v>1</v>
      </c>
      <c r="O4670" s="719">
        <v>6</v>
      </c>
      <c r="P4670" s="651">
        <v>6300</v>
      </c>
    </row>
    <row r="4671" spans="1:16" s="619" customFormat="1" ht="24" x14ac:dyDescent="0.2">
      <c r="A4671" s="625" t="s">
        <v>9036</v>
      </c>
      <c r="B4671" s="640" t="s">
        <v>1908</v>
      </c>
      <c r="C4671" s="638" t="s">
        <v>104</v>
      </c>
      <c r="D4671" s="626" t="s">
        <v>9037</v>
      </c>
      <c r="E4671" s="636">
        <v>1050</v>
      </c>
      <c r="F4671" s="637" t="s">
        <v>9490</v>
      </c>
      <c r="G4671" s="626" t="s">
        <v>9491</v>
      </c>
      <c r="H4671" s="626" t="s">
        <v>3548</v>
      </c>
      <c r="I4671" s="626" t="s">
        <v>3551</v>
      </c>
      <c r="J4671" s="638" t="s">
        <v>3548</v>
      </c>
      <c r="K4671" s="719">
        <v>1</v>
      </c>
      <c r="L4671" s="719">
        <v>1</v>
      </c>
      <c r="M4671" s="740">
        <v>1050</v>
      </c>
      <c r="N4671" s="719">
        <v>1</v>
      </c>
      <c r="O4671" s="719">
        <v>6</v>
      </c>
      <c r="P4671" s="651">
        <v>6300</v>
      </c>
    </row>
    <row r="4672" spans="1:16" s="619" customFormat="1" ht="36" x14ac:dyDescent="0.2">
      <c r="A4672" s="625" t="s">
        <v>9036</v>
      </c>
      <c r="B4672" s="640" t="s">
        <v>1908</v>
      </c>
      <c r="C4672" s="638" t="s">
        <v>104</v>
      </c>
      <c r="D4672" s="626" t="s">
        <v>9037</v>
      </c>
      <c r="E4672" s="636">
        <v>1050</v>
      </c>
      <c r="F4672" s="637" t="s">
        <v>9492</v>
      </c>
      <c r="G4672" s="626" t="s">
        <v>9493</v>
      </c>
      <c r="H4672" s="626" t="s">
        <v>3548</v>
      </c>
      <c r="I4672" s="626" t="s">
        <v>3551</v>
      </c>
      <c r="J4672" s="638" t="s">
        <v>3548</v>
      </c>
      <c r="K4672" s="719">
        <v>3</v>
      </c>
      <c r="L4672" s="719">
        <v>12</v>
      </c>
      <c r="M4672" s="740">
        <v>12600</v>
      </c>
      <c r="N4672" s="719">
        <v>1</v>
      </c>
      <c r="O4672" s="719">
        <v>6</v>
      </c>
      <c r="P4672" s="651">
        <v>6300</v>
      </c>
    </row>
    <row r="4673" spans="1:16" s="619" customFormat="1" ht="36" x14ac:dyDescent="0.2">
      <c r="A4673" s="625" t="s">
        <v>9036</v>
      </c>
      <c r="B4673" s="640" t="s">
        <v>1908</v>
      </c>
      <c r="C4673" s="638" t="s">
        <v>104</v>
      </c>
      <c r="D4673" s="626" t="s">
        <v>9037</v>
      </c>
      <c r="E4673" s="636">
        <v>1050</v>
      </c>
      <c r="F4673" s="637" t="s">
        <v>9494</v>
      </c>
      <c r="G4673" s="626" t="s">
        <v>9495</v>
      </c>
      <c r="H4673" s="626" t="s">
        <v>3548</v>
      </c>
      <c r="I4673" s="626" t="s">
        <v>3551</v>
      </c>
      <c r="J4673" s="638" t="s">
        <v>3548</v>
      </c>
      <c r="K4673" s="719">
        <v>3</v>
      </c>
      <c r="L4673" s="719">
        <v>12</v>
      </c>
      <c r="M4673" s="740">
        <v>12600</v>
      </c>
      <c r="N4673" s="719">
        <v>1</v>
      </c>
      <c r="O4673" s="719">
        <v>6</v>
      </c>
      <c r="P4673" s="651">
        <v>6300</v>
      </c>
    </row>
    <row r="4674" spans="1:16" s="619" customFormat="1" ht="24.75" thickBot="1" x14ac:dyDescent="0.25">
      <c r="A4674" s="625" t="s">
        <v>9036</v>
      </c>
      <c r="B4674" s="640" t="s">
        <v>1908</v>
      </c>
      <c r="C4674" s="638" t="s">
        <v>104</v>
      </c>
      <c r="D4674" s="626" t="s">
        <v>9037</v>
      </c>
      <c r="E4674" s="636">
        <v>1050</v>
      </c>
      <c r="F4674" s="637" t="s">
        <v>9496</v>
      </c>
      <c r="G4674" s="626" t="s">
        <v>9497</v>
      </c>
      <c r="H4674" s="626" t="s">
        <v>3548</v>
      </c>
      <c r="I4674" s="626" t="s">
        <v>3551</v>
      </c>
      <c r="J4674" s="638" t="s">
        <v>3548</v>
      </c>
      <c r="K4674" s="719">
        <v>0</v>
      </c>
      <c r="L4674" s="719">
        <v>0</v>
      </c>
      <c r="M4674" s="740">
        <v>0</v>
      </c>
      <c r="N4674" s="719">
        <v>1</v>
      </c>
      <c r="O4674" s="719">
        <v>6</v>
      </c>
      <c r="P4674" s="696">
        <v>6300</v>
      </c>
    </row>
    <row r="4675" spans="1:16" s="619" customFormat="1" ht="13.5" customHeight="1" thickBot="1" x14ac:dyDescent="0.25">
      <c r="A4675" s="1149" t="s">
        <v>1890</v>
      </c>
      <c r="B4675" s="1150"/>
      <c r="C4675" s="1150"/>
      <c r="D4675" s="1151"/>
      <c r="E4675" s="610">
        <f>SUM(E4424:E4674)</f>
        <v>599583.33000000007</v>
      </c>
      <c r="F4675" s="109"/>
      <c r="G4675" s="109"/>
      <c r="H4675" s="109"/>
      <c r="I4675" s="109"/>
      <c r="J4675" s="109"/>
      <c r="K4675" s="109"/>
      <c r="L4675" s="109"/>
      <c r="M4675" s="610">
        <f>SUM(M4672:M4674)</f>
        <v>25200</v>
      </c>
      <c r="N4675" s="109"/>
      <c r="O4675" s="109"/>
      <c r="P4675" s="610">
        <f>SUM(P4424:P4674)</f>
        <v>3459099.98</v>
      </c>
    </row>
    <row r="4676" spans="1:16" s="619" customFormat="1" ht="24" x14ac:dyDescent="0.2">
      <c r="A4676" s="630" t="s">
        <v>9498</v>
      </c>
      <c r="B4676" s="626" t="s">
        <v>1908</v>
      </c>
      <c r="C4676" s="638" t="s">
        <v>104</v>
      </c>
      <c r="D4676" s="626" t="s">
        <v>2660</v>
      </c>
      <c r="E4676" s="647">
        <v>930</v>
      </c>
      <c r="F4676" s="626" t="s">
        <v>9499</v>
      </c>
      <c r="G4676" s="626" t="s">
        <v>9500</v>
      </c>
      <c r="H4676" s="626" t="s">
        <v>2660</v>
      </c>
      <c r="I4676" s="626" t="s">
        <v>3768</v>
      </c>
      <c r="J4676" s="638" t="s">
        <v>9501</v>
      </c>
      <c r="K4676" s="741">
        <v>1</v>
      </c>
      <c r="L4676" s="638">
        <v>12</v>
      </c>
      <c r="M4676" s="742">
        <f t="shared" ref="M4676:M4739" si="50">+E4676*L4676</f>
        <v>11160</v>
      </c>
      <c r="N4676" s="743">
        <v>1</v>
      </c>
      <c r="O4676" s="630">
        <v>12</v>
      </c>
      <c r="P4676" s="744">
        <f t="shared" ref="P4676:P4739" si="51">+E4676*O4676</f>
        <v>11160</v>
      </c>
    </row>
    <row r="4677" spans="1:16" s="619" customFormat="1" ht="24" x14ac:dyDescent="0.2">
      <c r="A4677" s="626" t="s">
        <v>9498</v>
      </c>
      <c r="B4677" s="626" t="s">
        <v>1908</v>
      </c>
      <c r="C4677" s="638" t="s">
        <v>104</v>
      </c>
      <c r="D4677" s="626" t="s">
        <v>6101</v>
      </c>
      <c r="E4677" s="647">
        <v>1800</v>
      </c>
      <c r="F4677" s="626" t="s">
        <v>9502</v>
      </c>
      <c r="G4677" s="626" t="s">
        <v>9503</v>
      </c>
      <c r="H4677" s="626" t="s">
        <v>6101</v>
      </c>
      <c r="I4677" s="626" t="s">
        <v>3768</v>
      </c>
      <c r="J4677" s="638" t="s">
        <v>3523</v>
      </c>
      <c r="K4677" s="745">
        <v>2</v>
      </c>
      <c r="L4677" s="638">
        <v>12</v>
      </c>
      <c r="M4677" s="746">
        <f t="shared" si="50"/>
        <v>21600</v>
      </c>
      <c r="N4677" s="743">
        <v>2</v>
      </c>
      <c r="O4677" s="626">
        <v>12</v>
      </c>
      <c r="P4677" s="744">
        <f t="shared" si="51"/>
        <v>21600</v>
      </c>
    </row>
    <row r="4678" spans="1:16" s="619" customFormat="1" ht="24" x14ac:dyDescent="0.2">
      <c r="A4678" s="626" t="s">
        <v>9498</v>
      </c>
      <c r="B4678" s="626" t="s">
        <v>1908</v>
      </c>
      <c r="C4678" s="638" t="s">
        <v>104</v>
      </c>
      <c r="D4678" s="626" t="s">
        <v>2660</v>
      </c>
      <c r="E4678" s="647">
        <v>930</v>
      </c>
      <c r="F4678" s="626" t="s">
        <v>9504</v>
      </c>
      <c r="G4678" s="626" t="s">
        <v>9505</v>
      </c>
      <c r="H4678" s="626" t="s">
        <v>2660</v>
      </c>
      <c r="I4678" s="626" t="s">
        <v>3768</v>
      </c>
      <c r="J4678" s="638" t="s">
        <v>9501</v>
      </c>
      <c r="K4678" s="745">
        <v>3</v>
      </c>
      <c r="L4678" s="638">
        <v>12</v>
      </c>
      <c r="M4678" s="746">
        <f t="shared" si="50"/>
        <v>11160</v>
      </c>
      <c r="N4678" s="743">
        <v>3</v>
      </c>
      <c r="O4678" s="626">
        <v>12</v>
      </c>
      <c r="P4678" s="744">
        <f t="shared" si="51"/>
        <v>11160</v>
      </c>
    </row>
    <row r="4679" spans="1:16" s="619" customFormat="1" ht="36" x14ac:dyDescent="0.2">
      <c r="A4679" s="626" t="s">
        <v>9498</v>
      </c>
      <c r="B4679" s="626" t="s">
        <v>1908</v>
      </c>
      <c r="C4679" s="638" t="s">
        <v>104</v>
      </c>
      <c r="D4679" s="626" t="s">
        <v>1965</v>
      </c>
      <c r="E4679" s="647">
        <v>2300</v>
      </c>
      <c r="F4679" s="626" t="s">
        <v>9506</v>
      </c>
      <c r="G4679" s="626" t="s">
        <v>9507</v>
      </c>
      <c r="H4679" s="626" t="s">
        <v>1965</v>
      </c>
      <c r="I4679" s="626" t="s">
        <v>3768</v>
      </c>
      <c r="J4679" s="638" t="s">
        <v>3523</v>
      </c>
      <c r="K4679" s="745">
        <v>4</v>
      </c>
      <c r="L4679" s="638">
        <v>12</v>
      </c>
      <c r="M4679" s="746">
        <f t="shared" si="50"/>
        <v>27600</v>
      </c>
      <c r="N4679" s="743">
        <v>4</v>
      </c>
      <c r="O4679" s="626">
        <v>12</v>
      </c>
      <c r="P4679" s="744">
        <f t="shared" si="51"/>
        <v>27600</v>
      </c>
    </row>
    <row r="4680" spans="1:16" s="619" customFormat="1" ht="24" x14ac:dyDescent="0.2">
      <c r="A4680" s="626" t="s">
        <v>9498</v>
      </c>
      <c r="B4680" s="626" t="s">
        <v>1908</v>
      </c>
      <c r="C4680" s="638" t="s">
        <v>104</v>
      </c>
      <c r="D4680" s="626" t="s">
        <v>2660</v>
      </c>
      <c r="E4680" s="647">
        <v>930</v>
      </c>
      <c r="F4680" s="626" t="s">
        <v>9508</v>
      </c>
      <c r="G4680" s="626" t="s">
        <v>9509</v>
      </c>
      <c r="H4680" s="626" t="s">
        <v>2660</v>
      </c>
      <c r="I4680" s="626" t="s">
        <v>3768</v>
      </c>
      <c r="J4680" s="638" t="s">
        <v>9501</v>
      </c>
      <c r="K4680" s="745">
        <v>5</v>
      </c>
      <c r="L4680" s="638">
        <v>12</v>
      </c>
      <c r="M4680" s="746">
        <f t="shared" si="50"/>
        <v>11160</v>
      </c>
      <c r="N4680" s="743">
        <v>5</v>
      </c>
      <c r="O4680" s="626">
        <v>12</v>
      </c>
      <c r="P4680" s="744">
        <f t="shared" si="51"/>
        <v>11160</v>
      </c>
    </row>
    <row r="4681" spans="1:16" s="619" customFormat="1" ht="36" x14ac:dyDescent="0.2">
      <c r="A4681" s="626" t="s">
        <v>9498</v>
      </c>
      <c r="B4681" s="626" t="s">
        <v>1908</v>
      </c>
      <c r="C4681" s="638" t="s">
        <v>104</v>
      </c>
      <c r="D4681" s="626" t="s">
        <v>6120</v>
      </c>
      <c r="E4681" s="647">
        <v>2000</v>
      </c>
      <c r="F4681" s="626" t="s">
        <v>9510</v>
      </c>
      <c r="G4681" s="626" t="s">
        <v>9511</v>
      </c>
      <c r="H4681" s="626" t="s">
        <v>6120</v>
      </c>
      <c r="I4681" s="626" t="s">
        <v>1931</v>
      </c>
      <c r="J4681" s="638" t="s">
        <v>9501</v>
      </c>
      <c r="K4681" s="745">
        <v>6</v>
      </c>
      <c r="L4681" s="638">
        <v>12</v>
      </c>
      <c r="M4681" s="746">
        <f t="shared" si="50"/>
        <v>24000</v>
      </c>
      <c r="N4681" s="743">
        <v>6</v>
      </c>
      <c r="O4681" s="626">
        <v>12</v>
      </c>
      <c r="P4681" s="744">
        <f t="shared" si="51"/>
        <v>24000</v>
      </c>
    </row>
    <row r="4682" spans="1:16" s="619" customFormat="1" ht="48" x14ac:dyDescent="0.2">
      <c r="A4682" s="626" t="s">
        <v>9498</v>
      </c>
      <c r="B4682" s="626" t="s">
        <v>1908</v>
      </c>
      <c r="C4682" s="638" t="s">
        <v>104</v>
      </c>
      <c r="D4682" s="626" t="s">
        <v>6299</v>
      </c>
      <c r="E4682" s="647">
        <v>930</v>
      </c>
      <c r="F4682" s="626" t="s">
        <v>9512</v>
      </c>
      <c r="G4682" s="626" t="s">
        <v>9513</v>
      </c>
      <c r="H4682" s="626" t="s">
        <v>6299</v>
      </c>
      <c r="I4682" s="626" t="s">
        <v>3674</v>
      </c>
      <c r="J4682" s="638" t="s">
        <v>9501</v>
      </c>
      <c r="K4682" s="745">
        <v>7</v>
      </c>
      <c r="L4682" s="638">
        <v>12</v>
      </c>
      <c r="M4682" s="746">
        <f t="shared" si="50"/>
        <v>11160</v>
      </c>
      <c r="N4682" s="743">
        <v>7</v>
      </c>
      <c r="O4682" s="626">
        <v>12</v>
      </c>
      <c r="P4682" s="744">
        <f t="shared" si="51"/>
        <v>11160</v>
      </c>
    </row>
    <row r="4683" spans="1:16" s="619" customFormat="1" ht="36" x14ac:dyDescent="0.2">
      <c r="A4683" s="626" t="s">
        <v>9498</v>
      </c>
      <c r="B4683" s="626" t="s">
        <v>1908</v>
      </c>
      <c r="C4683" s="638" t="s">
        <v>104</v>
      </c>
      <c r="D4683" s="626" t="s">
        <v>7740</v>
      </c>
      <c r="E4683" s="647">
        <v>2000</v>
      </c>
      <c r="F4683" s="626" t="s">
        <v>9514</v>
      </c>
      <c r="G4683" s="626" t="s">
        <v>9515</v>
      </c>
      <c r="H4683" s="626" t="s">
        <v>7740</v>
      </c>
      <c r="I4683" s="626" t="s">
        <v>3768</v>
      </c>
      <c r="J4683" s="638" t="s">
        <v>3523</v>
      </c>
      <c r="K4683" s="745">
        <v>8</v>
      </c>
      <c r="L4683" s="638">
        <v>12</v>
      </c>
      <c r="M4683" s="746">
        <f t="shared" si="50"/>
        <v>24000</v>
      </c>
      <c r="N4683" s="743">
        <v>8</v>
      </c>
      <c r="O4683" s="626">
        <v>12</v>
      </c>
      <c r="P4683" s="744">
        <f t="shared" si="51"/>
        <v>24000</v>
      </c>
    </row>
    <row r="4684" spans="1:16" s="619" customFormat="1" ht="24" x14ac:dyDescent="0.2">
      <c r="A4684" s="626" t="s">
        <v>9498</v>
      </c>
      <c r="B4684" s="626" t="s">
        <v>1908</v>
      </c>
      <c r="C4684" s="638" t="s">
        <v>104</v>
      </c>
      <c r="D4684" s="626" t="s">
        <v>6092</v>
      </c>
      <c r="E4684" s="647">
        <v>1600</v>
      </c>
      <c r="F4684" s="626" t="s">
        <v>6879</v>
      </c>
      <c r="G4684" s="626" t="s">
        <v>6880</v>
      </c>
      <c r="H4684" s="626" t="s">
        <v>6092</v>
      </c>
      <c r="I4684" s="626" t="s">
        <v>3768</v>
      </c>
      <c r="J4684" s="638" t="s">
        <v>3523</v>
      </c>
      <c r="K4684" s="745"/>
      <c r="L4684" s="638">
        <v>0</v>
      </c>
      <c r="M4684" s="746">
        <f t="shared" si="50"/>
        <v>0</v>
      </c>
      <c r="N4684" s="638">
        <v>280</v>
      </c>
      <c r="O4684" s="626">
        <v>10</v>
      </c>
      <c r="P4684" s="744">
        <f t="shared" si="51"/>
        <v>16000</v>
      </c>
    </row>
    <row r="4685" spans="1:16" s="619" customFormat="1" ht="36" x14ac:dyDescent="0.2">
      <c r="A4685" s="626" t="s">
        <v>9498</v>
      </c>
      <c r="B4685" s="626" t="s">
        <v>1908</v>
      </c>
      <c r="C4685" s="638" t="s">
        <v>104</v>
      </c>
      <c r="D4685" s="626" t="s">
        <v>6114</v>
      </c>
      <c r="E4685" s="647">
        <v>1000</v>
      </c>
      <c r="F4685" s="626" t="s">
        <v>9516</v>
      </c>
      <c r="G4685" s="626" t="s">
        <v>9517</v>
      </c>
      <c r="H4685" s="626" t="s">
        <v>6114</v>
      </c>
      <c r="I4685" s="626" t="s">
        <v>1931</v>
      </c>
      <c r="J4685" s="638" t="s">
        <v>9501</v>
      </c>
      <c r="K4685" s="745">
        <v>9</v>
      </c>
      <c r="L4685" s="638">
        <v>12</v>
      </c>
      <c r="M4685" s="746">
        <f t="shared" si="50"/>
        <v>12000</v>
      </c>
      <c r="N4685" s="743">
        <v>9</v>
      </c>
      <c r="O4685" s="626">
        <v>12</v>
      </c>
      <c r="P4685" s="744">
        <f t="shared" si="51"/>
        <v>12000</v>
      </c>
    </row>
    <row r="4686" spans="1:16" s="619" customFormat="1" ht="36" x14ac:dyDescent="0.2">
      <c r="A4686" s="626" t="s">
        <v>9498</v>
      </c>
      <c r="B4686" s="626" t="s">
        <v>1908</v>
      </c>
      <c r="C4686" s="638" t="s">
        <v>104</v>
      </c>
      <c r="D4686" s="626" t="s">
        <v>2660</v>
      </c>
      <c r="E4686" s="647">
        <v>930</v>
      </c>
      <c r="F4686" s="626" t="s">
        <v>9518</v>
      </c>
      <c r="G4686" s="626" t="s">
        <v>9519</v>
      </c>
      <c r="H4686" s="626" t="s">
        <v>2660</v>
      </c>
      <c r="I4686" s="626" t="s">
        <v>3768</v>
      </c>
      <c r="J4686" s="638" t="s">
        <v>9501</v>
      </c>
      <c r="K4686" s="745">
        <v>10</v>
      </c>
      <c r="L4686" s="638">
        <v>12</v>
      </c>
      <c r="M4686" s="746">
        <f t="shared" si="50"/>
        <v>11160</v>
      </c>
      <c r="N4686" s="743">
        <v>10</v>
      </c>
      <c r="O4686" s="626">
        <v>12</v>
      </c>
      <c r="P4686" s="744">
        <f t="shared" si="51"/>
        <v>11160</v>
      </c>
    </row>
    <row r="4687" spans="1:16" s="619" customFormat="1" ht="36" x14ac:dyDescent="0.2">
      <c r="A4687" s="626" t="s">
        <v>9498</v>
      </c>
      <c r="B4687" s="626" t="s">
        <v>1908</v>
      </c>
      <c r="C4687" s="638" t="s">
        <v>104</v>
      </c>
      <c r="D4687" s="626" t="s">
        <v>6120</v>
      </c>
      <c r="E4687" s="647">
        <v>1000</v>
      </c>
      <c r="F4687" s="626" t="s">
        <v>9520</v>
      </c>
      <c r="G4687" s="626" t="s">
        <v>9521</v>
      </c>
      <c r="H4687" s="626" t="s">
        <v>6120</v>
      </c>
      <c r="I4687" s="626" t="s">
        <v>1931</v>
      </c>
      <c r="J4687" s="638" t="s">
        <v>9501</v>
      </c>
      <c r="K4687" s="745">
        <v>11</v>
      </c>
      <c r="L4687" s="638">
        <v>12</v>
      </c>
      <c r="M4687" s="746">
        <f t="shared" si="50"/>
        <v>12000</v>
      </c>
      <c r="N4687" s="743">
        <v>11</v>
      </c>
      <c r="O4687" s="626">
        <v>12</v>
      </c>
      <c r="P4687" s="744">
        <f t="shared" si="51"/>
        <v>12000</v>
      </c>
    </row>
    <row r="4688" spans="1:16" s="619" customFormat="1" ht="36" x14ac:dyDescent="0.2">
      <c r="A4688" s="626" t="s">
        <v>9498</v>
      </c>
      <c r="B4688" s="626" t="s">
        <v>1908</v>
      </c>
      <c r="C4688" s="638" t="s">
        <v>104</v>
      </c>
      <c r="D4688" s="626" t="s">
        <v>3548</v>
      </c>
      <c r="E4688" s="647">
        <v>930</v>
      </c>
      <c r="F4688" s="626" t="s">
        <v>9522</v>
      </c>
      <c r="G4688" s="626" t="s">
        <v>9523</v>
      </c>
      <c r="H4688" s="626" t="s">
        <v>3548</v>
      </c>
      <c r="I4688" s="626" t="s">
        <v>3614</v>
      </c>
      <c r="J4688" s="638" t="s">
        <v>8667</v>
      </c>
      <c r="K4688" s="745">
        <v>12</v>
      </c>
      <c r="L4688" s="638">
        <v>12</v>
      </c>
      <c r="M4688" s="746">
        <f t="shared" si="50"/>
        <v>11160</v>
      </c>
      <c r="N4688" s="743">
        <v>12</v>
      </c>
      <c r="O4688" s="626">
        <v>12</v>
      </c>
      <c r="P4688" s="744">
        <f t="shared" si="51"/>
        <v>11160</v>
      </c>
    </row>
    <row r="4689" spans="1:16" s="619" customFormat="1" ht="24" x14ac:dyDescent="0.2">
      <c r="A4689" s="626" t="s">
        <v>9498</v>
      </c>
      <c r="B4689" s="626" t="s">
        <v>1908</v>
      </c>
      <c r="C4689" s="638" t="s">
        <v>104</v>
      </c>
      <c r="D4689" s="626" t="s">
        <v>6158</v>
      </c>
      <c r="E4689" s="647">
        <v>930</v>
      </c>
      <c r="F4689" s="626" t="s">
        <v>9524</v>
      </c>
      <c r="G4689" s="626" t="s">
        <v>9525</v>
      </c>
      <c r="H4689" s="626" t="s">
        <v>6158</v>
      </c>
      <c r="I4689" s="626" t="s">
        <v>3614</v>
      </c>
      <c r="J4689" s="638" t="s">
        <v>8667</v>
      </c>
      <c r="K4689" s="745">
        <v>13</v>
      </c>
      <c r="L4689" s="638">
        <v>12</v>
      </c>
      <c r="M4689" s="746">
        <f t="shared" si="50"/>
        <v>11160</v>
      </c>
      <c r="N4689" s="743">
        <v>13</v>
      </c>
      <c r="O4689" s="626">
        <v>12</v>
      </c>
      <c r="P4689" s="744">
        <f t="shared" si="51"/>
        <v>11160</v>
      </c>
    </row>
    <row r="4690" spans="1:16" s="619" customFormat="1" ht="48" x14ac:dyDescent="0.2">
      <c r="A4690" s="626" t="s">
        <v>9498</v>
      </c>
      <c r="B4690" s="626" t="s">
        <v>1908</v>
      </c>
      <c r="C4690" s="638" t="s">
        <v>104</v>
      </c>
      <c r="D4690" s="626" t="s">
        <v>6092</v>
      </c>
      <c r="E4690" s="647">
        <v>3300</v>
      </c>
      <c r="F4690" s="626" t="s">
        <v>9526</v>
      </c>
      <c r="G4690" s="626" t="s">
        <v>9527</v>
      </c>
      <c r="H4690" s="626" t="s">
        <v>6092</v>
      </c>
      <c r="I4690" s="626" t="s">
        <v>3768</v>
      </c>
      <c r="J4690" s="638" t="s">
        <v>3523</v>
      </c>
      <c r="K4690" s="745"/>
      <c r="L4690" s="638">
        <v>0</v>
      </c>
      <c r="M4690" s="746">
        <f t="shared" si="50"/>
        <v>0</v>
      </c>
      <c r="N4690" s="638">
        <v>318</v>
      </c>
      <c r="O4690" s="626">
        <v>5</v>
      </c>
      <c r="P4690" s="744">
        <f t="shared" si="51"/>
        <v>16500</v>
      </c>
    </row>
    <row r="4691" spans="1:16" s="619" customFormat="1" ht="36" x14ac:dyDescent="0.2">
      <c r="A4691" s="626" t="s">
        <v>9498</v>
      </c>
      <c r="B4691" s="626" t="s">
        <v>1908</v>
      </c>
      <c r="C4691" s="638" t="s">
        <v>104</v>
      </c>
      <c r="D4691" s="626" t="s">
        <v>3695</v>
      </c>
      <c r="E4691" s="647">
        <v>1800</v>
      </c>
      <c r="F4691" s="626" t="s">
        <v>9528</v>
      </c>
      <c r="G4691" s="626" t="s">
        <v>9529</v>
      </c>
      <c r="H4691" s="626" t="s">
        <v>3695</v>
      </c>
      <c r="I4691" s="626" t="s">
        <v>3768</v>
      </c>
      <c r="J4691" s="638" t="s">
        <v>3523</v>
      </c>
      <c r="K4691" s="745"/>
      <c r="L4691" s="638">
        <v>0</v>
      </c>
      <c r="M4691" s="746">
        <f t="shared" si="50"/>
        <v>0</v>
      </c>
      <c r="N4691" s="743">
        <v>14</v>
      </c>
      <c r="O4691" s="626">
        <v>12</v>
      </c>
      <c r="P4691" s="744">
        <f t="shared" si="51"/>
        <v>21600</v>
      </c>
    </row>
    <row r="4692" spans="1:16" s="619" customFormat="1" ht="24" x14ac:dyDescent="0.2">
      <c r="A4692" s="626" t="s">
        <v>9498</v>
      </c>
      <c r="B4692" s="626" t="s">
        <v>1908</v>
      </c>
      <c r="C4692" s="638" t="s">
        <v>104</v>
      </c>
      <c r="D4692" s="626" t="s">
        <v>2660</v>
      </c>
      <c r="E4692" s="647">
        <v>930</v>
      </c>
      <c r="F4692" s="626" t="s">
        <v>9530</v>
      </c>
      <c r="G4692" s="626" t="s">
        <v>9531</v>
      </c>
      <c r="H4692" s="626" t="s">
        <v>2660</v>
      </c>
      <c r="I4692" s="626" t="s">
        <v>3768</v>
      </c>
      <c r="J4692" s="638" t="s">
        <v>9501</v>
      </c>
      <c r="K4692" s="745">
        <v>14</v>
      </c>
      <c r="L4692" s="638">
        <v>12</v>
      </c>
      <c r="M4692" s="746">
        <f t="shared" si="50"/>
        <v>11160</v>
      </c>
      <c r="N4692" s="743">
        <v>15</v>
      </c>
      <c r="O4692" s="626">
        <v>12</v>
      </c>
      <c r="P4692" s="744">
        <f t="shared" si="51"/>
        <v>11160</v>
      </c>
    </row>
    <row r="4693" spans="1:16" s="619" customFormat="1" ht="24" x14ac:dyDescent="0.2">
      <c r="A4693" s="626" t="s">
        <v>9498</v>
      </c>
      <c r="B4693" s="626" t="s">
        <v>1908</v>
      </c>
      <c r="C4693" s="638" t="s">
        <v>104</v>
      </c>
      <c r="D4693" s="626" t="s">
        <v>6092</v>
      </c>
      <c r="E4693" s="647">
        <v>1800</v>
      </c>
      <c r="F4693" s="626" t="s">
        <v>9532</v>
      </c>
      <c r="G4693" s="626" t="s">
        <v>9533</v>
      </c>
      <c r="H4693" s="626" t="s">
        <v>6092</v>
      </c>
      <c r="I4693" s="626" t="s">
        <v>3768</v>
      </c>
      <c r="J4693" s="638" t="s">
        <v>3523</v>
      </c>
      <c r="K4693" s="745">
        <v>15</v>
      </c>
      <c r="L4693" s="638">
        <v>12</v>
      </c>
      <c r="M4693" s="746">
        <f t="shared" si="50"/>
        <v>21600</v>
      </c>
      <c r="N4693" s="743">
        <v>16</v>
      </c>
      <c r="O4693" s="626">
        <v>12</v>
      </c>
      <c r="P4693" s="744">
        <f t="shared" si="51"/>
        <v>21600</v>
      </c>
    </row>
    <row r="4694" spans="1:16" s="619" customFormat="1" ht="24" x14ac:dyDescent="0.2">
      <c r="A4694" s="626" t="s">
        <v>9498</v>
      </c>
      <c r="B4694" s="626" t="s">
        <v>1908</v>
      </c>
      <c r="C4694" s="638" t="s">
        <v>104</v>
      </c>
      <c r="D4694" s="626" t="s">
        <v>1996</v>
      </c>
      <c r="E4694" s="647">
        <v>930</v>
      </c>
      <c r="F4694" s="626" t="s">
        <v>9534</v>
      </c>
      <c r="G4694" s="626" t="s">
        <v>9535</v>
      </c>
      <c r="H4694" s="626" t="s">
        <v>1996</v>
      </c>
      <c r="I4694" s="626" t="s">
        <v>3614</v>
      </c>
      <c r="J4694" s="638" t="s">
        <v>8667</v>
      </c>
      <c r="K4694" s="745"/>
      <c r="L4694" s="638">
        <v>0</v>
      </c>
      <c r="M4694" s="746">
        <f t="shared" si="50"/>
        <v>0</v>
      </c>
      <c r="N4694" s="638">
        <v>281</v>
      </c>
      <c r="O4694" s="626">
        <v>10</v>
      </c>
      <c r="P4694" s="744">
        <f t="shared" si="51"/>
        <v>9300</v>
      </c>
    </row>
    <row r="4695" spans="1:16" s="619" customFormat="1" ht="36" x14ac:dyDescent="0.2">
      <c r="A4695" s="626" t="s">
        <v>9498</v>
      </c>
      <c r="B4695" s="626" t="s">
        <v>1908</v>
      </c>
      <c r="C4695" s="638" t="s">
        <v>104</v>
      </c>
      <c r="D4695" s="626" t="s">
        <v>6198</v>
      </c>
      <c r="E4695" s="647">
        <v>1800</v>
      </c>
      <c r="F4695" s="626" t="s">
        <v>9536</v>
      </c>
      <c r="G4695" s="626" t="s">
        <v>9537</v>
      </c>
      <c r="H4695" s="626" t="s">
        <v>6198</v>
      </c>
      <c r="I4695" s="626" t="s">
        <v>3768</v>
      </c>
      <c r="J4695" s="638" t="s">
        <v>3523</v>
      </c>
      <c r="K4695" s="745"/>
      <c r="L4695" s="638">
        <v>0</v>
      </c>
      <c r="M4695" s="746">
        <f t="shared" si="50"/>
        <v>0</v>
      </c>
      <c r="N4695" s="638">
        <v>282</v>
      </c>
      <c r="O4695" s="626">
        <v>10</v>
      </c>
      <c r="P4695" s="744">
        <f t="shared" si="51"/>
        <v>18000</v>
      </c>
    </row>
    <row r="4696" spans="1:16" s="619" customFormat="1" ht="24" x14ac:dyDescent="0.2">
      <c r="A4696" s="626" t="s">
        <v>9498</v>
      </c>
      <c r="B4696" s="626" t="s">
        <v>1908</v>
      </c>
      <c r="C4696" s="638" t="s">
        <v>104</v>
      </c>
      <c r="D4696" s="626" t="s">
        <v>9538</v>
      </c>
      <c r="E4696" s="647">
        <v>1500</v>
      </c>
      <c r="F4696" s="626" t="s">
        <v>9539</v>
      </c>
      <c r="G4696" s="626" t="s">
        <v>9540</v>
      </c>
      <c r="H4696" s="626" t="s">
        <v>4068</v>
      </c>
      <c r="I4696" s="626" t="s">
        <v>1931</v>
      </c>
      <c r="J4696" s="638" t="s">
        <v>9501</v>
      </c>
      <c r="K4696" s="745">
        <v>16</v>
      </c>
      <c r="L4696" s="638">
        <v>12</v>
      </c>
      <c r="M4696" s="746">
        <f t="shared" si="50"/>
        <v>18000</v>
      </c>
      <c r="N4696" s="743">
        <v>17</v>
      </c>
      <c r="O4696" s="626">
        <v>12</v>
      </c>
      <c r="P4696" s="744">
        <f t="shared" si="51"/>
        <v>18000</v>
      </c>
    </row>
    <row r="4697" spans="1:16" s="619" customFormat="1" ht="24" x14ac:dyDescent="0.2">
      <c r="A4697" s="626" t="s">
        <v>9498</v>
      </c>
      <c r="B4697" s="626" t="s">
        <v>1908</v>
      </c>
      <c r="C4697" s="638" t="s">
        <v>104</v>
      </c>
      <c r="D4697" s="626" t="s">
        <v>7626</v>
      </c>
      <c r="E4697" s="647">
        <v>1000</v>
      </c>
      <c r="F4697" s="626" t="s">
        <v>9541</v>
      </c>
      <c r="G4697" s="626" t="s">
        <v>9542</v>
      </c>
      <c r="H4697" s="626" t="s">
        <v>7626</v>
      </c>
      <c r="I4697" s="626" t="s">
        <v>1931</v>
      </c>
      <c r="J4697" s="638" t="s">
        <v>9501</v>
      </c>
      <c r="K4697" s="745">
        <v>17</v>
      </c>
      <c r="L4697" s="638">
        <v>12</v>
      </c>
      <c r="M4697" s="746">
        <f t="shared" si="50"/>
        <v>12000</v>
      </c>
      <c r="N4697" s="743">
        <v>18</v>
      </c>
      <c r="O4697" s="626">
        <v>12</v>
      </c>
      <c r="P4697" s="744">
        <f t="shared" si="51"/>
        <v>12000</v>
      </c>
    </row>
    <row r="4698" spans="1:16" s="619" customFormat="1" ht="36" x14ac:dyDescent="0.2">
      <c r="A4698" s="626" t="s">
        <v>9498</v>
      </c>
      <c r="B4698" s="626" t="s">
        <v>1908</v>
      </c>
      <c r="C4698" s="638" t="s">
        <v>104</v>
      </c>
      <c r="D4698" s="626" t="s">
        <v>2660</v>
      </c>
      <c r="E4698" s="647">
        <v>930</v>
      </c>
      <c r="F4698" s="626" t="s">
        <v>9543</v>
      </c>
      <c r="G4698" s="626" t="s">
        <v>9544</v>
      </c>
      <c r="H4698" s="626" t="s">
        <v>2660</v>
      </c>
      <c r="I4698" s="626" t="s">
        <v>3768</v>
      </c>
      <c r="J4698" s="638" t="s">
        <v>9501</v>
      </c>
      <c r="K4698" s="745">
        <v>18</v>
      </c>
      <c r="L4698" s="638">
        <v>12</v>
      </c>
      <c r="M4698" s="746">
        <f t="shared" si="50"/>
        <v>11160</v>
      </c>
      <c r="N4698" s="743">
        <v>19</v>
      </c>
      <c r="O4698" s="626">
        <v>12</v>
      </c>
      <c r="P4698" s="744">
        <f t="shared" si="51"/>
        <v>11160</v>
      </c>
    </row>
    <row r="4699" spans="1:16" s="619" customFormat="1" ht="24" x14ac:dyDescent="0.2">
      <c r="A4699" s="626" t="s">
        <v>9498</v>
      </c>
      <c r="B4699" s="626" t="s">
        <v>1908</v>
      </c>
      <c r="C4699" s="638" t="s">
        <v>104</v>
      </c>
      <c r="D4699" s="626" t="s">
        <v>3545</v>
      </c>
      <c r="E4699" s="647">
        <v>930</v>
      </c>
      <c r="F4699" s="626" t="s">
        <v>9545</v>
      </c>
      <c r="G4699" s="626" t="s">
        <v>9546</v>
      </c>
      <c r="H4699" s="626" t="s">
        <v>3545</v>
      </c>
      <c r="I4699" s="626" t="s">
        <v>3768</v>
      </c>
      <c r="J4699" s="638" t="s">
        <v>3523</v>
      </c>
      <c r="K4699" s="745">
        <v>19</v>
      </c>
      <c r="L4699" s="638">
        <v>12</v>
      </c>
      <c r="M4699" s="746">
        <f t="shared" si="50"/>
        <v>11160</v>
      </c>
      <c r="N4699" s="743">
        <v>20</v>
      </c>
      <c r="O4699" s="626">
        <v>12</v>
      </c>
      <c r="P4699" s="744">
        <f t="shared" si="51"/>
        <v>11160</v>
      </c>
    </row>
    <row r="4700" spans="1:16" s="619" customFormat="1" ht="24" x14ac:dyDescent="0.2">
      <c r="A4700" s="626" t="s">
        <v>9498</v>
      </c>
      <c r="B4700" s="626" t="s">
        <v>1908</v>
      </c>
      <c r="C4700" s="638" t="s">
        <v>104</v>
      </c>
      <c r="D4700" s="626" t="s">
        <v>2660</v>
      </c>
      <c r="E4700" s="647">
        <v>930</v>
      </c>
      <c r="F4700" s="626" t="s">
        <v>9547</v>
      </c>
      <c r="G4700" s="626" t="s">
        <v>9548</v>
      </c>
      <c r="H4700" s="626" t="s">
        <v>2660</v>
      </c>
      <c r="I4700" s="626" t="s">
        <v>3768</v>
      </c>
      <c r="J4700" s="638" t="s">
        <v>9501</v>
      </c>
      <c r="K4700" s="745">
        <v>20</v>
      </c>
      <c r="L4700" s="638">
        <v>12</v>
      </c>
      <c r="M4700" s="746">
        <f t="shared" si="50"/>
        <v>11160</v>
      </c>
      <c r="N4700" s="743">
        <v>21</v>
      </c>
      <c r="O4700" s="626">
        <v>12</v>
      </c>
      <c r="P4700" s="744">
        <f t="shared" si="51"/>
        <v>11160</v>
      </c>
    </row>
    <row r="4701" spans="1:16" s="619" customFormat="1" ht="24" x14ac:dyDescent="0.2">
      <c r="A4701" s="626" t="s">
        <v>9498</v>
      </c>
      <c r="B4701" s="626" t="s">
        <v>1908</v>
      </c>
      <c r="C4701" s="638" t="s">
        <v>104</v>
      </c>
      <c r="D4701" s="626" t="s">
        <v>2660</v>
      </c>
      <c r="E4701" s="647">
        <v>1800</v>
      </c>
      <c r="F4701" s="626" t="s">
        <v>9549</v>
      </c>
      <c r="G4701" s="626" t="s">
        <v>9550</v>
      </c>
      <c r="H4701" s="626" t="s">
        <v>2660</v>
      </c>
      <c r="I4701" s="626" t="s">
        <v>3768</v>
      </c>
      <c r="J4701" s="638" t="s">
        <v>9501</v>
      </c>
      <c r="K4701" s="745"/>
      <c r="L4701" s="638">
        <v>0</v>
      </c>
      <c r="M4701" s="746">
        <f t="shared" si="50"/>
        <v>0</v>
      </c>
      <c r="N4701" s="743">
        <v>22</v>
      </c>
      <c r="O4701" s="626">
        <v>12</v>
      </c>
      <c r="P4701" s="744">
        <f t="shared" si="51"/>
        <v>21600</v>
      </c>
    </row>
    <row r="4702" spans="1:16" s="619" customFormat="1" ht="48" x14ac:dyDescent="0.2">
      <c r="A4702" s="626" t="s">
        <v>9498</v>
      </c>
      <c r="B4702" s="626" t="s">
        <v>1908</v>
      </c>
      <c r="C4702" s="638" t="s">
        <v>104</v>
      </c>
      <c r="D4702" s="626" t="s">
        <v>6158</v>
      </c>
      <c r="E4702" s="647">
        <v>1000</v>
      </c>
      <c r="F4702" s="626" t="s">
        <v>9551</v>
      </c>
      <c r="G4702" s="626" t="s">
        <v>9552</v>
      </c>
      <c r="H4702" s="626" t="s">
        <v>6158</v>
      </c>
      <c r="I4702" s="626" t="s">
        <v>3614</v>
      </c>
      <c r="J4702" s="638" t="s">
        <v>8667</v>
      </c>
      <c r="K4702" s="745">
        <v>21</v>
      </c>
      <c r="L4702" s="638">
        <v>12</v>
      </c>
      <c r="M4702" s="746">
        <f t="shared" si="50"/>
        <v>12000</v>
      </c>
      <c r="N4702" s="743">
        <v>23</v>
      </c>
      <c r="O4702" s="626">
        <v>12</v>
      </c>
      <c r="P4702" s="744">
        <f t="shared" si="51"/>
        <v>12000</v>
      </c>
    </row>
    <row r="4703" spans="1:16" s="619" customFormat="1" ht="36" x14ac:dyDescent="0.2">
      <c r="A4703" s="626" t="s">
        <v>9498</v>
      </c>
      <c r="B4703" s="626" t="s">
        <v>1908</v>
      </c>
      <c r="C4703" s="638" t="s">
        <v>104</v>
      </c>
      <c r="D4703" s="626" t="s">
        <v>3569</v>
      </c>
      <c r="E4703" s="647">
        <v>1000</v>
      </c>
      <c r="F4703" s="626" t="s">
        <v>9553</v>
      </c>
      <c r="G4703" s="626" t="s">
        <v>9554</v>
      </c>
      <c r="H4703" s="626" t="s">
        <v>6120</v>
      </c>
      <c r="I4703" s="626" t="s">
        <v>6</v>
      </c>
      <c r="J4703" s="638" t="s">
        <v>9501</v>
      </c>
      <c r="K4703" s="745">
        <v>22</v>
      </c>
      <c r="L4703" s="638">
        <v>12</v>
      </c>
      <c r="M4703" s="746">
        <f t="shared" si="50"/>
        <v>12000</v>
      </c>
      <c r="N4703" s="743">
        <v>24</v>
      </c>
      <c r="O4703" s="626">
        <v>12</v>
      </c>
      <c r="P4703" s="744">
        <f t="shared" si="51"/>
        <v>12000</v>
      </c>
    </row>
    <row r="4704" spans="1:16" s="619" customFormat="1" ht="36" x14ac:dyDescent="0.2">
      <c r="A4704" s="626" t="s">
        <v>9498</v>
      </c>
      <c r="B4704" s="626" t="s">
        <v>1908</v>
      </c>
      <c r="C4704" s="638" t="s">
        <v>104</v>
      </c>
      <c r="D4704" s="626" t="s">
        <v>2660</v>
      </c>
      <c r="E4704" s="647">
        <v>930</v>
      </c>
      <c r="F4704" s="626" t="s">
        <v>9555</v>
      </c>
      <c r="G4704" s="626" t="s">
        <v>9556</v>
      </c>
      <c r="H4704" s="626" t="s">
        <v>2660</v>
      </c>
      <c r="I4704" s="626" t="s">
        <v>3768</v>
      </c>
      <c r="J4704" s="638" t="s">
        <v>9501</v>
      </c>
      <c r="K4704" s="745">
        <v>23</v>
      </c>
      <c r="L4704" s="638">
        <v>12</v>
      </c>
      <c r="M4704" s="746">
        <f t="shared" si="50"/>
        <v>11160</v>
      </c>
      <c r="N4704" s="743">
        <v>25</v>
      </c>
      <c r="O4704" s="626">
        <v>12</v>
      </c>
      <c r="P4704" s="744">
        <f t="shared" si="51"/>
        <v>11160</v>
      </c>
    </row>
    <row r="4705" spans="1:16" s="619" customFormat="1" ht="36" x14ac:dyDescent="0.2">
      <c r="A4705" s="626" t="s">
        <v>9498</v>
      </c>
      <c r="B4705" s="626" t="s">
        <v>1908</v>
      </c>
      <c r="C4705" s="638" t="s">
        <v>104</v>
      </c>
      <c r="D4705" s="626" t="s">
        <v>9557</v>
      </c>
      <c r="E4705" s="647">
        <v>2300</v>
      </c>
      <c r="F4705" s="626" t="s">
        <v>9558</v>
      </c>
      <c r="G4705" s="626" t="s">
        <v>9559</v>
      </c>
      <c r="H4705" s="626" t="s">
        <v>2232</v>
      </c>
      <c r="I4705" s="626" t="s">
        <v>3768</v>
      </c>
      <c r="J4705" s="638" t="s">
        <v>3523</v>
      </c>
      <c r="K4705" s="745">
        <v>24</v>
      </c>
      <c r="L4705" s="638">
        <v>12</v>
      </c>
      <c r="M4705" s="746">
        <f t="shared" si="50"/>
        <v>27600</v>
      </c>
      <c r="N4705" s="743">
        <v>2</v>
      </c>
      <c r="O4705" s="626">
        <v>12</v>
      </c>
      <c r="P4705" s="744">
        <f t="shared" si="51"/>
        <v>27600</v>
      </c>
    </row>
    <row r="4706" spans="1:16" s="619" customFormat="1" ht="36" x14ac:dyDescent="0.2">
      <c r="A4706" s="626" t="s">
        <v>9498</v>
      </c>
      <c r="B4706" s="626" t="s">
        <v>1908</v>
      </c>
      <c r="C4706" s="638" t="s">
        <v>104</v>
      </c>
      <c r="D4706" s="626" t="s">
        <v>6158</v>
      </c>
      <c r="E4706" s="647">
        <v>930</v>
      </c>
      <c r="F4706" s="626" t="s">
        <v>9560</v>
      </c>
      <c r="G4706" s="626" t="s">
        <v>9561</v>
      </c>
      <c r="H4706" s="626" t="s">
        <v>6158</v>
      </c>
      <c r="I4706" s="626" t="s">
        <v>3614</v>
      </c>
      <c r="J4706" s="638" t="s">
        <v>8667</v>
      </c>
      <c r="K4706" s="745">
        <v>25</v>
      </c>
      <c r="L4706" s="638">
        <v>12</v>
      </c>
      <c r="M4706" s="746">
        <f t="shared" si="50"/>
        <v>11160</v>
      </c>
      <c r="N4706" s="743">
        <v>6</v>
      </c>
      <c r="O4706" s="626">
        <v>12</v>
      </c>
      <c r="P4706" s="744">
        <f t="shared" si="51"/>
        <v>11160</v>
      </c>
    </row>
    <row r="4707" spans="1:16" s="619" customFormat="1" ht="36" x14ac:dyDescent="0.2">
      <c r="A4707" s="626" t="s">
        <v>9498</v>
      </c>
      <c r="B4707" s="626" t="s">
        <v>1908</v>
      </c>
      <c r="C4707" s="638" t="s">
        <v>104</v>
      </c>
      <c r="D4707" s="626" t="s">
        <v>6187</v>
      </c>
      <c r="E4707" s="647">
        <v>1000</v>
      </c>
      <c r="F4707" s="626" t="s">
        <v>9562</v>
      </c>
      <c r="G4707" s="626" t="s">
        <v>9563</v>
      </c>
      <c r="H4707" s="626" t="s">
        <v>6120</v>
      </c>
      <c r="I4707" s="626" t="s">
        <v>1931</v>
      </c>
      <c r="J4707" s="638" t="s">
        <v>9501</v>
      </c>
      <c r="K4707" s="745">
        <v>26</v>
      </c>
      <c r="L4707" s="638">
        <v>12</v>
      </c>
      <c r="M4707" s="746">
        <f t="shared" si="50"/>
        <v>12000</v>
      </c>
      <c r="N4707" s="743">
        <v>27</v>
      </c>
      <c r="O4707" s="626">
        <v>12</v>
      </c>
      <c r="P4707" s="744">
        <f t="shared" si="51"/>
        <v>12000</v>
      </c>
    </row>
    <row r="4708" spans="1:16" s="619" customFormat="1" ht="24" x14ac:dyDescent="0.2">
      <c r="A4708" s="626" t="s">
        <v>9498</v>
      </c>
      <c r="B4708" s="626" t="s">
        <v>1908</v>
      </c>
      <c r="C4708" s="638" t="s">
        <v>104</v>
      </c>
      <c r="D4708" s="626" t="s">
        <v>2764</v>
      </c>
      <c r="E4708" s="647">
        <v>1800</v>
      </c>
      <c r="F4708" s="626" t="s">
        <v>9564</v>
      </c>
      <c r="G4708" s="626" t="s">
        <v>9565</v>
      </c>
      <c r="H4708" s="626" t="s">
        <v>2764</v>
      </c>
      <c r="I4708" s="626" t="s">
        <v>3768</v>
      </c>
      <c r="J4708" s="638" t="s">
        <v>3523</v>
      </c>
      <c r="K4708" s="745">
        <v>27</v>
      </c>
      <c r="L4708" s="638">
        <v>12</v>
      </c>
      <c r="M4708" s="746">
        <f t="shared" si="50"/>
        <v>21600</v>
      </c>
      <c r="N4708" s="743">
        <v>28</v>
      </c>
      <c r="O4708" s="626">
        <v>12</v>
      </c>
      <c r="P4708" s="744">
        <f t="shared" si="51"/>
        <v>21600</v>
      </c>
    </row>
    <row r="4709" spans="1:16" s="619" customFormat="1" ht="36" x14ac:dyDescent="0.2">
      <c r="A4709" s="626" t="s">
        <v>9498</v>
      </c>
      <c r="B4709" s="626" t="s">
        <v>1908</v>
      </c>
      <c r="C4709" s="638" t="s">
        <v>104</v>
      </c>
      <c r="D4709" s="626" t="s">
        <v>2660</v>
      </c>
      <c r="E4709" s="647">
        <v>930</v>
      </c>
      <c r="F4709" s="626" t="s">
        <v>9566</v>
      </c>
      <c r="G4709" s="626" t="s">
        <v>9567</v>
      </c>
      <c r="H4709" s="626" t="s">
        <v>2660</v>
      </c>
      <c r="I4709" s="626" t="s">
        <v>3768</v>
      </c>
      <c r="J4709" s="638" t="s">
        <v>9501</v>
      </c>
      <c r="K4709" s="745">
        <v>28</v>
      </c>
      <c r="L4709" s="638">
        <v>12</v>
      </c>
      <c r="M4709" s="746">
        <f t="shared" si="50"/>
        <v>11160</v>
      </c>
      <c r="N4709" s="743">
        <v>29</v>
      </c>
      <c r="O4709" s="626">
        <v>12</v>
      </c>
      <c r="P4709" s="744">
        <f t="shared" si="51"/>
        <v>11160</v>
      </c>
    </row>
    <row r="4710" spans="1:16" s="619" customFormat="1" ht="60" x14ac:dyDescent="0.2">
      <c r="A4710" s="626" t="s">
        <v>9498</v>
      </c>
      <c r="B4710" s="626" t="s">
        <v>1908</v>
      </c>
      <c r="C4710" s="638" t="s">
        <v>104</v>
      </c>
      <c r="D4710" s="626" t="s">
        <v>9568</v>
      </c>
      <c r="E4710" s="647">
        <v>1200</v>
      </c>
      <c r="F4710" s="626" t="s">
        <v>9569</v>
      </c>
      <c r="G4710" s="626" t="s">
        <v>9570</v>
      </c>
      <c r="H4710" s="626" t="s">
        <v>4253</v>
      </c>
      <c r="I4710" s="626" t="s">
        <v>3587</v>
      </c>
      <c r="J4710" s="638" t="s">
        <v>9501</v>
      </c>
      <c r="K4710" s="745"/>
      <c r="L4710" s="638">
        <v>0</v>
      </c>
      <c r="M4710" s="746">
        <f t="shared" si="50"/>
        <v>0</v>
      </c>
      <c r="N4710" s="638">
        <v>320</v>
      </c>
      <c r="O4710" s="626">
        <v>4</v>
      </c>
      <c r="P4710" s="744">
        <f t="shared" si="51"/>
        <v>4800</v>
      </c>
    </row>
    <row r="4711" spans="1:16" s="619" customFormat="1" ht="36" x14ac:dyDescent="0.2">
      <c r="A4711" s="626" t="s">
        <v>9498</v>
      </c>
      <c r="B4711" s="626" t="s">
        <v>1908</v>
      </c>
      <c r="C4711" s="638" t="s">
        <v>104</v>
      </c>
      <c r="D4711" s="626" t="s">
        <v>2660</v>
      </c>
      <c r="E4711" s="647">
        <v>930</v>
      </c>
      <c r="F4711" s="626" t="s">
        <v>9571</v>
      </c>
      <c r="G4711" s="626" t="s">
        <v>9572</v>
      </c>
      <c r="H4711" s="626" t="s">
        <v>2660</v>
      </c>
      <c r="I4711" s="626" t="s">
        <v>3768</v>
      </c>
      <c r="J4711" s="638" t="s">
        <v>9501</v>
      </c>
      <c r="K4711" s="745"/>
      <c r="L4711" s="638">
        <v>0</v>
      </c>
      <c r="M4711" s="746">
        <f t="shared" si="50"/>
        <v>0</v>
      </c>
      <c r="N4711" s="638">
        <v>283</v>
      </c>
      <c r="O4711" s="626">
        <v>10</v>
      </c>
      <c r="P4711" s="744">
        <f t="shared" si="51"/>
        <v>9300</v>
      </c>
    </row>
    <row r="4712" spans="1:16" s="619" customFormat="1" ht="36" x14ac:dyDescent="0.2">
      <c r="A4712" s="626" t="s">
        <v>9498</v>
      </c>
      <c r="B4712" s="626" t="s">
        <v>1908</v>
      </c>
      <c r="C4712" s="638" t="s">
        <v>104</v>
      </c>
      <c r="D4712" s="626" t="s">
        <v>6092</v>
      </c>
      <c r="E4712" s="647">
        <v>1800</v>
      </c>
      <c r="F4712" s="626" t="s">
        <v>9573</v>
      </c>
      <c r="G4712" s="626" t="s">
        <v>9574</v>
      </c>
      <c r="H4712" s="626" t="s">
        <v>6092</v>
      </c>
      <c r="I4712" s="626" t="s">
        <v>3768</v>
      </c>
      <c r="J4712" s="638" t="s">
        <v>3523</v>
      </c>
      <c r="K4712" s="745">
        <v>29</v>
      </c>
      <c r="L4712" s="638">
        <v>12</v>
      </c>
      <c r="M4712" s="746">
        <f t="shared" si="50"/>
        <v>21600</v>
      </c>
      <c r="N4712" s="743">
        <v>30</v>
      </c>
      <c r="O4712" s="626">
        <v>12</v>
      </c>
      <c r="P4712" s="744">
        <f t="shared" si="51"/>
        <v>21600</v>
      </c>
    </row>
    <row r="4713" spans="1:16" s="619" customFormat="1" ht="48" x14ac:dyDescent="0.2">
      <c r="A4713" s="626" t="s">
        <v>9498</v>
      </c>
      <c r="B4713" s="626" t="s">
        <v>1908</v>
      </c>
      <c r="C4713" s="638" t="s">
        <v>104</v>
      </c>
      <c r="D4713" s="626" t="s">
        <v>6120</v>
      </c>
      <c r="E4713" s="647">
        <v>1000</v>
      </c>
      <c r="F4713" s="626" t="s">
        <v>9575</v>
      </c>
      <c r="G4713" s="626" t="s">
        <v>9576</v>
      </c>
      <c r="H4713" s="626" t="s">
        <v>6120</v>
      </c>
      <c r="I4713" s="626" t="s">
        <v>1931</v>
      </c>
      <c r="J4713" s="638" t="s">
        <v>9501</v>
      </c>
      <c r="K4713" s="745">
        <v>30</v>
      </c>
      <c r="L4713" s="638">
        <v>12</v>
      </c>
      <c r="M4713" s="746">
        <f t="shared" si="50"/>
        <v>12000</v>
      </c>
      <c r="N4713" s="743">
        <v>31</v>
      </c>
      <c r="O4713" s="626">
        <v>12</v>
      </c>
      <c r="P4713" s="744">
        <f t="shared" si="51"/>
        <v>12000</v>
      </c>
    </row>
    <row r="4714" spans="1:16" s="619" customFormat="1" ht="36" x14ac:dyDescent="0.2">
      <c r="A4714" s="626" t="s">
        <v>9498</v>
      </c>
      <c r="B4714" s="626" t="s">
        <v>1908</v>
      </c>
      <c r="C4714" s="638" t="s">
        <v>104</v>
      </c>
      <c r="D4714" s="626" t="s">
        <v>6227</v>
      </c>
      <c r="E4714" s="647">
        <v>2500</v>
      </c>
      <c r="F4714" s="626" t="s">
        <v>9577</v>
      </c>
      <c r="G4714" s="626" t="s">
        <v>9578</v>
      </c>
      <c r="H4714" s="626" t="s">
        <v>6227</v>
      </c>
      <c r="I4714" s="626" t="s">
        <v>3768</v>
      </c>
      <c r="J4714" s="638" t="s">
        <v>3523</v>
      </c>
      <c r="K4714" s="745">
        <v>31</v>
      </c>
      <c r="L4714" s="638">
        <v>12</v>
      </c>
      <c r="M4714" s="746">
        <f t="shared" si="50"/>
        <v>30000</v>
      </c>
      <c r="N4714" s="743">
        <v>32</v>
      </c>
      <c r="O4714" s="626">
        <v>12</v>
      </c>
      <c r="P4714" s="744">
        <f t="shared" si="51"/>
        <v>30000</v>
      </c>
    </row>
    <row r="4715" spans="1:16" s="619" customFormat="1" ht="36" x14ac:dyDescent="0.2">
      <c r="A4715" s="626" t="s">
        <v>9498</v>
      </c>
      <c r="B4715" s="626" t="s">
        <v>1908</v>
      </c>
      <c r="C4715" s="638" t="s">
        <v>104</v>
      </c>
      <c r="D4715" s="626" t="s">
        <v>7745</v>
      </c>
      <c r="E4715" s="647">
        <v>2000</v>
      </c>
      <c r="F4715" s="626" t="s">
        <v>9579</v>
      </c>
      <c r="G4715" s="626" t="s">
        <v>9580</v>
      </c>
      <c r="H4715" s="626" t="s">
        <v>7745</v>
      </c>
      <c r="I4715" s="626" t="s">
        <v>3768</v>
      </c>
      <c r="J4715" s="638" t="s">
        <v>3523</v>
      </c>
      <c r="K4715" s="745">
        <v>32</v>
      </c>
      <c r="L4715" s="638">
        <v>12</v>
      </c>
      <c r="M4715" s="746">
        <f t="shared" si="50"/>
        <v>24000</v>
      </c>
      <c r="N4715" s="743">
        <v>34</v>
      </c>
      <c r="O4715" s="626">
        <v>12</v>
      </c>
      <c r="P4715" s="744">
        <f t="shared" si="51"/>
        <v>24000</v>
      </c>
    </row>
    <row r="4716" spans="1:16" s="619" customFormat="1" ht="24" x14ac:dyDescent="0.2">
      <c r="A4716" s="626" t="s">
        <v>9498</v>
      </c>
      <c r="B4716" s="626" t="s">
        <v>1908</v>
      </c>
      <c r="C4716" s="638" t="s">
        <v>104</v>
      </c>
      <c r="D4716" s="626" t="s">
        <v>2660</v>
      </c>
      <c r="E4716" s="647">
        <v>930</v>
      </c>
      <c r="F4716" s="626" t="s">
        <v>9581</v>
      </c>
      <c r="G4716" s="626" t="s">
        <v>9582</v>
      </c>
      <c r="H4716" s="626" t="s">
        <v>2660</v>
      </c>
      <c r="I4716" s="626" t="s">
        <v>3768</v>
      </c>
      <c r="J4716" s="638" t="s">
        <v>9501</v>
      </c>
      <c r="K4716" s="745"/>
      <c r="L4716" s="638">
        <v>0</v>
      </c>
      <c r="M4716" s="746">
        <f t="shared" si="50"/>
        <v>0</v>
      </c>
      <c r="N4716" s="743">
        <v>35</v>
      </c>
      <c r="O4716" s="626">
        <v>12</v>
      </c>
      <c r="P4716" s="744">
        <f t="shared" si="51"/>
        <v>11160</v>
      </c>
    </row>
    <row r="4717" spans="1:16" s="619" customFormat="1" ht="36" x14ac:dyDescent="0.2">
      <c r="A4717" s="626" t="s">
        <v>9498</v>
      </c>
      <c r="B4717" s="626" t="s">
        <v>1908</v>
      </c>
      <c r="C4717" s="638" t="s">
        <v>104</v>
      </c>
      <c r="D4717" s="626" t="s">
        <v>2660</v>
      </c>
      <c r="E4717" s="647">
        <v>930</v>
      </c>
      <c r="F4717" s="626" t="s">
        <v>9583</v>
      </c>
      <c r="G4717" s="626" t="s">
        <v>9584</v>
      </c>
      <c r="H4717" s="626" t="s">
        <v>2660</v>
      </c>
      <c r="I4717" s="626" t="s">
        <v>3768</v>
      </c>
      <c r="J4717" s="638" t="s">
        <v>9501</v>
      </c>
      <c r="K4717" s="745">
        <v>33</v>
      </c>
      <c r="L4717" s="638">
        <v>12</v>
      </c>
      <c r="M4717" s="746">
        <f t="shared" si="50"/>
        <v>11160</v>
      </c>
      <c r="N4717" s="743">
        <v>36</v>
      </c>
      <c r="O4717" s="626">
        <v>12</v>
      </c>
      <c r="P4717" s="744">
        <f t="shared" si="51"/>
        <v>11160</v>
      </c>
    </row>
    <row r="4718" spans="1:16" s="619" customFormat="1" ht="36" x14ac:dyDescent="0.2">
      <c r="A4718" s="626" t="s">
        <v>9498</v>
      </c>
      <c r="B4718" s="626" t="s">
        <v>1908</v>
      </c>
      <c r="C4718" s="638" t="s">
        <v>104</v>
      </c>
      <c r="D4718" s="626" t="s">
        <v>2660</v>
      </c>
      <c r="E4718" s="647">
        <v>1000</v>
      </c>
      <c r="F4718" s="626" t="s">
        <v>9585</v>
      </c>
      <c r="G4718" s="626" t="s">
        <v>9586</v>
      </c>
      <c r="H4718" s="626" t="s">
        <v>2660</v>
      </c>
      <c r="I4718" s="626" t="s">
        <v>3768</v>
      </c>
      <c r="J4718" s="638" t="s">
        <v>9501</v>
      </c>
      <c r="K4718" s="745">
        <v>34</v>
      </c>
      <c r="L4718" s="638">
        <v>12</v>
      </c>
      <c r="M4718" s="746">
        <f t="shared" si="50"/>
        <v>12000</v>
      </c>
      <c r="N4718" s="743">
        <v>37</v>
      </c>
      <c r="O4718" s="626">
        <v>12</v>
      </c>
      <c r="P4718" s="744">
        <f t="shared" si="51"/>
        <v>12000</v>
      </c>
    </row>
    <row r="4719" spans="1:16" s="619" customFormat="1" ht="24" x14ac:dyDescent="0.2">
      <c r="A4719" s="626" t="s">
        <v>9498</v>
      </c>
      <c r="B4719" s="626" t="s">
        <v>1908</v>
      </c>
      <c r="C4719" s="638" t="s">
        <v>104</v>
      </c>
      <c r="D4719" s="626" t="s">
        <v>3529</v>
      </c>
      <c r="E4719" s="647">
        <v>2000</v>
      </c>
      <c r="F4719" s="626" t="s">
        <v>9587</v>
      </c>
      <c r="G4719" s="626" t="s">
        <v>9588</v>
      </c>
      <c r="H4719" s="626" t="s">
        <v>3529</v>
      </c>
      <c r="I4719" s="626" t="s">
        <v>3768</v>
      </c>
      <c r="J4719" s="638" t="s">
        <v>3523</v>
      </c>
      <c r="K4719" s="745">
        <v>35</v>
      </c>
      <c r="L4719" s="638">
        <v>12</v>
      </c>
      <c r="M4719" s="746">
        <f t="shared" si="50"/>
        <v>24000</v>
      </c>
      <c r="N4719" s="743">
        <v>38</v>
      </c>
      <c r="O4719" s="626">
        <v>12</v>
      </c>
      <c r="P4719" s="744">
        <f t="shared" si="51"/>
        <v>24000</v>
      </c>
    </row>
    <row r="4720" spans="1:16" s="619" customFormat="1" ht="24" x14ac:dyDescent="0.2">
      <c r="A4720" s="626" t="s">
        <v>9498</v>
      </c>
      <c r="B4720" s="626" t="s">
        <v>1908</v>
      </c>
      <c r="C4720" s="638" t="s">
        <v>104</v>
      </c>
      <c r="D4720" s="626" t="s">
        <v>7626</v>
      </c>
      <c r="E4720" s="647">
        <v>930</v>
      </c>
      <c r="F4720" s="626" t="s">
        <v>9589</v>
      </c>
      <c r="G4720" s="626" t="s">
        <v>9590</v>
      </c>
      <c r="H4720" s="626" t="s">
        <v>7626</v>
      </c>
      <c r="I4720" s="626" t="s">
        <v>1931</v>
      </c>
      <c r="J4720" s="638" t="s">
        <v>9501</v>
      </c>
      <c r="K4720" s="745"/>
      <c r="L4720" s="638">
        <v>0</v>
      </c>
      <c r="M4720" s="746">
        <f t="shared" si="50"/>
        <v>0</v>
      </c>
      <c r="N4720" s="638">
        <v>313</v>
      </c>
      <c r="O4720" s="626">
        <v>9</v>
      </c>
      <c r="P4720" s="744">
        <f t="shared" si="51"/>
        <v>8370</v>
      </c>
    </row>
    <row r="4721" spans="1:16" s="619" customFormat="1" ht="36" x14ac:dyDescent="0.2">
      <c r="A4721" s="626" t="s">
        <v>9498</v>
      </c>
      <c r="B4721" s="626" t="s">
        <v>1908</v>
      </c>
      <c r="C4721" s="638" t="s">
        <v>104</v>
      </c>
      <c r="D4721" s="626" t="s">
        <v>6120</v>
      </c>
      <c r="E4721" s="647">
        <v>1000</v>
      </c>
      <c r="F4721" s="626" t="s">
        <v>9591</v>
      </c>
      <c r="G4721" s="626" t="s">
        <v>9592</v>
      </c>
      <c r="H4721" s="626" t="s">
        <v>6120</v>
      </c>
      <c r="I4721" s="626" t="s">
        <v>1931</v>
      </c>
      <c r="J4721" s="638" t="s">
        <v>9501</v>
      </c>
      <c r="K4721" s="745"/>
      <c r="L4721" s="638">
        <v>0</v>
      </c>
      <c r="M4721" s="746">
        <f t="shared" si="50"/>
        <v>0</v>
      </c>
      <c r="N4721" s="638">
        <v>284</v>
      </c>
      <c r="O4721" s="626">
        <v>10</v>
      </c>
      <c r="P4721" s="744">
        <f t="shared" si="51"/>
        <v>10000</v>
      </c>
    </row>
    <row r="4722" spans="1:16" s="619" customFormat="1" ht="36" x14ac:dyDescent="0.2">
      <c r="A4722" s="626" t="s">
        <v>9498</v>
      </c>
      <c r="B4722" s="626" t="s">
        <v>1908</v>
      </c>
      <c r="C4722" s="638" t="s">
        <v>104</v>
      </c>
      <c r="D4722" s="626" t="s">
        <v>6227</v>
      </c>
      <c r="E4722" s="647">
        <v>2500</v>
      </c>
      <c r="F4722" s="626" t="s">
        <v>9593</v>
      </c>
      <c r="G4722" s="626" t="s">
        <v>9594</v>
      </c>
      <c r="H4722" s="626" t="s">
        <v>6227</v>
      </c>
      <c r="I4722" s="626" t="s">
        <v>3768</v>
      </c>
      <c r="J4722" s="638" t="s">
        <v>3523</v>
      </c>
      <c r="K4722" s="745">
        <v>36</v>
      </c>
      <c r="L4722" s="638">
        <v>12</v>
      </c>
      <c r="M4722" s="746">
        <f t="shared" si="50"/>
        <v>30000</v>
      </c>
      <c r="N4722" s="743">
        <v>39</v>
      </c>
      <c r="O4722" s="626">
        <v>12</v>
      </c>
      <c r="P4722" s="744">
        <f t="shared" si="51"/>
        <v>30000</v>
      </c>
    </row>
    <row r="4723" spans="1:16" s="619" customFormat="1" ht="24" x14ac:dyDescent="0.2">
      <c r="A4723" s="626" t="s">
        <v>9498</v>
      </c>
      <c r="B4723" s="626" t="s">
        <v>1908</v>
      </c>
      <c r="C4723" s="638" t="s">
        <v>104</v>
      </c>
      <c r="D4723" s="626" t="s">
        <v>6158</v>
      </c>
      <c r="E4723" s="647">
        <v>1000</v>
      </c>
      <c r="F4723" s="626" t="s">
        <v>9595</v>
      </c>
      <c r="G4723" s="626" t="s">
        <v>9596</v>
      </c>
      <c r="H4723" s="626" t="s">
        <v>6158</v>
      </c>
      <c r="I4723" s="626" t="s">
        <v>3614</v>
      </c>
      <c r="J4723" s="638" t="s">
        <v>8667</v>
      </c>
      <c r="K4723" s="745">
        <v>37</v>
      </c>
      <c r="L4723" s="638">
        <v>12</v>
      </c>
      <c r="M4723" s="746">
        <f t="shared" si="50"/>
        <v>12000</v>
      </c>
      <c r="N4723" s="743">
        <v>40</v>
      </c>
      <c r="O4723" s="626">
        <v>12</v>
      </c>
      <c r="P4723" s="744">
        <f t="shared" si="51"/>
        <v>12000</v>
      </c>
    </row>
    <row r="4724" spans="1:16" s="619" customFormat="1" ht="36" x14ac:dyDescent="0.2">
      <c r="A4724" s="626" t="s">
        <v>9498</v>
      </c>
      <c r="B4724" s="626" t="s">
        <v>1908</v>
      </c>
      <c r="C4724" s="638" t="s">
        <v>104</v>
      </c>
      <c r="D4724" s="626" t="s">
        <v>1996</v>
      </c>
      <c r="E4724" s="647">
        <v>930</v>
      </c>
      <c r="F4724" s="626" t="s">
        <v>9597</v>
      </c>
      <c r="G4724" s="626" t="s">
        <v>9598</v>
      </c>
      <c r="H4724" s="626" t="s">
        <v>1996</v>
      </c>
      <c r="I4724" s="626" t="s">
        <v>3614</v>
      </c>
      <c r="J4724" s="638" t="s">
        <v>8667</v>
      </c>
      <c r="K4724" s="745">
        <v>38</v>
      </c>
      <c r="L4724" s="638">
        <v>12</v>
      </c>
      <c r="M4724" s="746">
        <f t="shared" si="50"/>
        <v>11160</v>
      </c>
      <c r="N4724" s="743">
        <v>41</v>
      </c>
      <c r="O4724" s="626">
        <v>12</v>
      </c>
      <c r="P4724" s="744">
        <f t="shared" si="51"/>
        <v>11160</v>
      </c>
    </row>
    <row r="4725" spans="1:16" s="619" customFormat="1" ht="24" x14ac:dyDescent="0.2">
      <c r="A4725" s="626" t="s">
        <v>9498</v>
      </c>
      <c r="B4725" s="626" t="s">
        <v>1908</v>
      </c>
      <c r="C4725" s="638" t="s">
        <v>104</v>
      </c>
      <c r="D4725" s="626" t="s">
        <v>7740</v>
      </c>
      <c r="E4725" s="647">
        <v>1800</v>
      </c>
      <c r="F4725" s="626" t="s">
        <v>9599</v>
      </c>
      <c r="G4725" s="626" t="s">
        <v>9600</v>
      </c>
      <c r="H4725" s="626" t="s">
        <v>7740</v>
      </c>
      <c r="I4725" s="626" t="s">
        <v>3768</v>
      </c>
      <c r="J4725" s="638" t="s">
        <v>3523</v>
      </c>
      <c r="K4725" s="745"/>
      <c r="L4725" s="638">
        <v>0</v>
      </c>
      <c r="M4725" s="746">
        <f t="shared" si="50"/>
        <v>0</v>
      </c>
      <c r="N4725" s="638">
        <v>285</v>
      </c>
      <c r="O4725" s="626">
        <v>10</v>
      </c>
      <c r="P4725" s="744">
        <f t="shared" si="51"/>
        <v>18000</v>
      </c>
    </row>
    <row r="4726" spans="1:16" s="619" customFormat="1" ht="36" x14ac:dyDescent="0.2">
      <c r="A4726" s="626" t="s">
        <v>9498</v>
      </c>
      <c r="B4726" s="626" t="s">
        <v>1908</v>
      </c>
      <c r="C4726" s="638" t="s">
        <v>104</v>
      </c>
      <c r="D4726" s="626" t="s">
        <v>6158</v>
      </c>
      <c r="E4726" s="647">
        <v>1000</v>
      </c>
      <c r="F4726" s="626" t="s">
        <v>9601</v>
      </c>
      <c r="G4726" s="626" t="s">
        <v>9602</v>
      </c>
      <c r="H4726" s="626" t="s">
        <v>6158</v>
      </c>
      <c r="I4726" s="626" t="s">
        <v>3614</v>
      </c>
      <c r="J4726" s="638" t="s">
        <v>8667</v>
      </c>
      <c r="K4726" s="745">
        <v>39</v>
      </c>
      <c r="L4726" s="638">
        <v>12</v>
      </c>
      <c r="M4726" s="746">
        <f t="shared" si="50"/>
        <v>12000</v>
      </c>
      <c r="N4726" s="743">
        <v>42</v>
      </c>
      <c r="O4726" s="626">
        <v>12</v>
      </c>
      <c r="P4726" s="744">
        <f t="shared" si="51"/>
        <v>12000</v>
      </c>
    </row>
    <row r="4727" spans="1:16" s="619" customFormat="1" ht="24" x14ac:dyDescent="0.2">
      <c r="A4727" s="626" t="s">
        <v>9498</v>
      </c>
      <c r="B4727" s="626" t="s">
        <v>1908</v>
      </c>
      <c r="C4727" s="638" t="s">
        <v>104</v>
      </c>
      <c r="D4727" s="626" t="s">
        <v>2660</v>
      </c>
      <c r="E4727" s="647">
        <v>930</v>
      </c>
      <c r="F4727" s="626" t="s">
        <v>9603</v>
      </c>
      <c r="G4727" s="626" t="s">
        <v>9604</v>
      </c>
      <c r="H4727" s="626" t="s">
        <v>2660</v>
      </c>
      <c r="I4727" s="626" t="s">
        <v>3768</v>
      </c>
      <c r="J4727" s="638" t="s">
        <v>9501</v>
      </c>
      <c r="K4727" s="745"/>
      <c r="L4727" s="638">
        <v>0</v>
      </c>
      <c r="M4727" s="746">
        <f t="shared" si="50"/>
        <v>0</v>
      </c>
      <c r="N4727" s="638">
        <v>322</v>
      </c>
      <c r="O4727" s="626">
        <v>3</v>
      </c>
      <c r="P4727" s="744">
        <f t="shared" si="51"/>
        <v>2790</v>
      </c>
    </row>
    <row r="4728" spans="1:16" s="619" customFormat="1" ht="36" x14ac:dyDescent="0.2">
      <c r="A4728" s="626" t="s">
        <v>9498</v>
      </c>
      <c r="B4728" s="626" t="s">
        <v>1908</v>
      </c>
      <c r="C4728" s="638" t="s">
        <v>104</v>
      </c>
      <c r="D4728" s="626" t="s">
        <v>6198</v>
      </c>
      <c r="E4728" s="647">
        <v>1800</v>
      </c>
      <c r="F4728" s="626" t="s">
        <v>9605</v>
      </c>
      <c r="G4728" s="626" t="s">
        <v>9606</v>
      </c>
      <c r="H4728" s="626" t="s">
        <v>6198</v>
      </c>
      <c r="I4728" s="626" t="s">
        <v>3768</v>
      </c>
      <c r="J4728" s="638" t="s">
        <v>3523</v>
      </c>
      <c r="K4728" s="745">
        <v>40</v>
      </c>
      <c r="L4728" s="638">
        <v>12</v>
      </c>
      <c r="M4728" s="746">
        <f t="shared" si="50"/>
        <v>21600</v>
      </c>
      <c r="N4728" s="743">
        <v>43</v>
      </c>
      <c r="O4728" s="626">
        <v>12</v>
      </c>
      <c r="P4728" s="744">
        <f t="shared" si="51"/>
        <v>21600</v>
      </c>
    </row>
    <row r="4729" spans="1:16" s="619" customFormat="1" ht="24" x14ac:dyDescent="0.2">
      <c r="A4729" s="626" t="s">
        <v>9498</v>
      </c>
      <c r="B4729" s="626" t="s">
        <v>1908</v>
      </c>
      <c r="C4729" s="638" t="s">
        <v>104</v>
      </c>
      <c r="D4729" s="626" t="s">
        <v>2087</v>
      </c>
      <c r="E4729" s="647">
        <v>1000</v>
      </c>
      <c r="F4729" s="626" t="s">
        <v>9607</v>
      </c>
      <c r="G4729" s="626" t="s">
        <v>9608</v>
      </c>
      <c r="H4729" s="626" t="s">
        <v>2087</v>
      </c>
      <c r="I4729" s="626" t="s">
        <v>3768</v>
      </c>
      <c r="J4729" s="638" t="s">
        <v>9501</v>
      </c>
      <c r="K4729" s="745">
        <v>41</v>
      </c>
      <c r="L4729" s="638">
        <v>12</v>
      </c>
      <c r="M4729" s="746">
        <f t="shared" si="50"/>
        <v>12000</v>
      </c>
      <c r="N4729" s="743">
        <v>44</v>
      </c>
      <c r="O4729" s="626">
        <v>12</v>
      </c>
      <c r="P4729" s="744">
        <f t="shared" si="51"/>
        <v>12000</v>
      </c>
    </row>
    <row r="4730" spans="1:16" s="619" customFormat="1" ht="36" x14ac:dyDescent="0.2">
      <c r="A4730" s="626" t="s">
        <v>9498</v>
      </c>
      <c r="B4730" s="626" t="s">
        <v>1908</v>
      </c>
      <c r="C4730" s="638" t="s">
        <v>104</v>
      </c>
      <c r="D4730" s="626" t="s">
        <v>2660</v>
      </c>
      <c r="E4730" s="647">
        <v>930</v>
      </c>
      <c r="F4730" s="626" t="s">
        <v>9609</v>
      </c>
      <c r="G4730" s="626" t="s">
        <v>9610</v>
      </c>
      <c r="H4730" s="626" t="s">
        <v>2660</v>
      </c>
      <c r="I4730" s="626" t="s">
        <v>3768</v>
      </c>
      <c r="J4730" s="638" t="s">
        <v>9501</v>
      </c>
      <c r="K4730" s="745">
        <v>42</v>
      </c>
      <c r="L4730" s="638">
        <v>12</v>
      </c>
      <c r="M4730" s="746">
        <f t="shared" si="50"/>
        <v>11160</v>
      </c>
      <c r="N4730" s="743">
        <v>45</v>
      </c>
      <c r="O4730" s="626">
        <v>12</v>
      </c>
      <c r="P4730" s="744">
        <f t="shared" si="51"/>
        <v>11160</v>
      </c>
    </row>
    <row r="4731" spans="1:16" s="619" customFormat="1" ht="36" x14ac:dyDescent="0.2">
      <c r="A4731" s="626" t="s">
        <v>9498</v>
      </c>
      <c r="B4731" s="626" t="s">
        <v>1908</v>
      </c>
      <c r="C4731" s="638" t="s">
        <v>104</v>
      </c>
      <c r="D4731" s="626" t="s">
        <v>6158</v>
      </c>
      <c r="E4731" s="647">
        <v>1500</v>
      </c>
      <c r="F4731" s="626" t="s">
        <v>9611</v>
      </c>
      <c r="G4731" s="626" t="s">
        <v>9612</v>
      </c>
      <c r="H4731" s="626" t="s">
        <v>6158</v>
      </c>
      <c r="I4731" s="626" t="s">
        <v>3614</v>
      </c>
      <c r="J4731" s="638" t="s">
        <v>8667</v>
      </c>
      <c r="K4731" s="745"/>
      <c r="L4731" s="638">
        <v>0</v>
      </c>
      <c r="M4731" s="746">
        <f t="shared" si="50"/>
        <v>0</v>
      </c>
      <c r="N4731" s="638">
        <v>315</v>
      </c>
      <c r="O4731" s="626">
        <v>8</v>
      </c>
      <c r="P4731" s="744">
        <f t="shared" si="51"/>
        <v>12000</v>
      </c>
    </row>
    <row r="4732" spans="1:16" s="619" customFormat="1" ht="24" x14ac:dyDescent="0.2">
      <c r="A4732" s="626" t="s">
        <v>9498</v>
      </c>
      <c r="B4732" s="626" t="s">
        <v>1908</v>
      </c>
      <c r="C4732" s="638" t="s">
        <v>104</v>
      </c>
      <c r="D4732" s="626" t="s">
        <v>6548</v>
      </c>
      <c r="E4732" s="647">
        <v>2500</v>
      </c>
      <c r="F4732" s="626" t="s">
        <v>9613</v>
      </c>
      <c r="G4732" s="626" t="s">
        <v>9614</v>
      </c>
      <c r="H4732" s="626" t="s">
        <v>6548</v>
      </c>
      <c r="I4732" s="626" t="s">
        <v>3768</v>
      </c>
      <c r="J4732" s="638" t="s">
        <v>3523</v>
      </c>
      <c r="K4732" s="745"/>
      <c r="L4732" s="638">
        <v>0</v>
      </c>
      <c r="M4732" s="746">
        <f t="shared" si="50"/>
        <v>0</v>
      </c>
      <c r="N4732" s="743">
        <v>46</v>
      </c>
      <c r="O4732" s="626">
        <v>12</v>
      </c>
      <c r="P4732" s="744">
        <f t="shared" si="51"/>
        <v>30000</v>
      </c>
    </row>
    <row r="4733" spans="1:16" s="619" customFormat="1" ht="36" x14ac:dyDescent="0.2">
      <c r="A4733" s="626" t="s">
        <v>9498</v>
      </c>
      <c r="B4733" s="626" t="s">
        <v>1908</v>
      </c>
      <c r="C4733" s="638" t="s">
        <v>104</v>
      </c>
      <c r="D4733" s="626" t="s">
        <v>6092</v>
      </c>
      <c r="E4733" s="647">
        <v>1600</v>
      </c>
      <c r="F4733" s="626" t="s">
        <v>9615</v>
      </c>
      <c r="G4733" s="626" t="s">
        <v>9616</v>
      </c>
      <c r="H4733" s="626" t="s">
        <v>6092</v>
      </c>
      <c r="I4733" s="626" t="s">
        <v>3768</v>
      </c>
      <c r="J4733" s="638" t="s">
        <v>3523</v>
      </c>
      <c r="K4733" s="745"/>
      <c r="L4733" s="638">
        <v>0</v>
      </c>
      <c r="M4733" s="746">
        <f t="shared" si="50"/>
        <v>0</v>
      </c>
      <c r="N4733" s="638">
        <v>286</v>
      </c>
      <c r="O4733" s="626">
        <v>10</v>
      </c>
      <c r="P4733" s="744">
        <f t="shared" si="51"/>
        <v>16000</v>
      </c>
    </row>
    <row r="4734" spans="1:16" s="619" customFormat="1" ht="24" x14ac:dyDescent="0.2">
      <c r="A4734" s="626" t="s">
        <v>9498</v>
      </c>
      <c r="B4734" s="626" t="s">
        <v>1908</v>
      </c>
      <c r="C4734" s="638" t="s">
        <v>104</v>
      </c>
      <c r="D4734" s="626" t="s">
        <v>3569</v>
      </c>
      <c r="E4734" s="647">
        <v>930</v>
      </c>
      <c r="F4734" s="626" t="s">
        <v>9617</v>
      </c>
      <c r="G4734" s="626" t="s">
        <v>9618</v>
      </c>
      <c r="H4734" s="626" t="s">
        <v>2055</v>
      </c>
      <c r="I4734" s="626" t="s">
        <v>6</v>
      </c>
      <c r="J4734" s="638" t="s">
        <v>9501</v>
      </c>
      <c r="K4734" s="745">
        <v>43</v>
      </c>
      <c r="L4734" s="638">
        <v>12</v>
      </c>
      <c r="M4734" s="746">
        <f t="shared" si="50"/>
        <v>11160</v>
      </c>
      <c r="N4734" s="743">
        <v>47</v>
      </c>
      <c r="O4734" s="626">
        <v>12</v>
      </c>
      <c r="P4734" s="744">
        <f t="shared" si="51"/>
        <v>11160</v>
      </c>
    </row>
    <row r="4735" spans="1:16" s="619" customFormat="1" ht="36" x14ac:dyDescent="0.2">
      <c r="A4735" s="626" t="s">
        <v>9498</v>
      </c>
      <c r="B4735" s="626" t="s">
        <v>1908</v>
      </c>
      <c r="C4735" s="638" t="s">
        <v>104</v>
      </c>
      <c r="D4735" s="626" t="s">
        <v>6092</v>
      </c>
      <c r="E4735" s="647">
        <v>1800</v>
      </c>
      <c r="F4735" s="626" t="s">
        <v>9619</v>
      </c>
      <c r="G4735" s="626" t="s">
        <v>9620</v>
      </c>
      <c r="H4735" s="626" t="s">
        <v>6092</v>
      </c>
      <c r="I4735" s="626" t="s">
        <v>3768</v>
      </c>
      <c r="J4735" s="638" t="s">
        <v>3523</v>
      </c>
      <c r="K4735" s="745">
        <v>44</v>
      </c>
      <c r="L4735" s="638">
        <v>12</v>
      </c>
      <c r="M4735" s="746">
        <f t="shared" si="50"/>
        <v>21600</v>
      </c>
      <c r="N4735" s="743">
        <v>48</v>
      </c>
      <c r="O4735" s="626">
        <v>12</v>
      </c>
      <c r="P4735" s="744">
        <f t="shared" si="51"/>
        <v>21600</v>
      </c>
    </row>
    <row r="4736" spans="1:16" s="619" customFormat="1" ht="36" x14ac:dyDescent="0.2">
      <c r="A4736" s="626" t="s">
        <v>9498</v>
      </c>
      <c r="B4736" s="626" t="s">
        <v>1908</v>
      </c>
      <c r="C4736" s="638" t="s">
        <v>104</v>
      </c>
      <c r="D4736" s="626" t="s">
        <v>3548</v>
      </c>
      <c r="E4736" s="647">
        <v>1000</v>
      </c>
      <c r="F4736" s="626" t="s">
        <v>9621</v>
      </c>
      <c r="G4736" s="626" t="s">
        <v>9622</v>
      </c>
      <c r="H4736" s="626" t="s">
        <v>3548</v>
      </c>
      <c r="I4736" s="626" t="s">
        <v>3614</v>
      </c>
      <c r="J4736" s="638" t="s">
        <v>8667</v>
      </c>
      <c r="K4736" s="745">
        <v>45</v>
      </c>
      <c r="L4736" s="638">
        <v>12</v>
      </c>
      <c r="M4736" s="746">
        <f t="shared" si="50"/>
        <v>12000</v>
      </c>
      <c r="N4736" s="743">
        <v>49</v>
      </c>
      <c r="O4736" s="626">
        <v>12</v>
      </c>
      <c r="P4736" s="744">
        <f t="shared" si="51"/>
        <v>12000</v>
      </c>
    </row>
    <row r="4737" spans="1:16" s="619" customFormat="1" ht="36" x14ac:dyDescent="0.2">
      <c r="A4737" s="626" t="s">
        <v>9498</v>
      </c>
      <c r="B4737" s="626" t="s">
        <v>1908</v>
      </c>
      <c r="C4737" s="638" t="s">
        <v>104</v>
      </c>
      <c r="D4737" s="626" t="s">
        <v>6158</v>
      </c>
      <c r="E4737" s="647">
        <v>1500</v>
      </c>
      <c r="F4737" s="626" t="s">
        <v>9623</v>
      </c>
      <c r="G4737" s="626" t="s">
        <v>9624</v>
      </c>
      <c r="H4737" s="626" t="s">
        <v>6158</v>
      </c>
      <c r="I4737" s="626" t="s">
        <v>3614</v>
      </c>
      <c r="J4737" s="638" t="s">
        <v>8667</v>
      </c>
      <c r="K4737" s="745"/>
      <c r="L4737" s="638">
        <v>0</v>
      </c>
      <c r="M4737" s="746">
        <f t="shared" si="50"/>
        <v>0</v>
      </c>
      <c r="N4737" s="743">
        <v>50</v>
      </c>
      <c r="O4737" s="626">
        <v>12</v>
      </c>
      <c r="P4737" s="744">
        <f t="shared" si="51"/>
        <v>18000</v>
      </c>
    </row>
    <row r="4738" spans="1:16" s="619" customFormat="1" ht="36" x14ac:dyDescent="0.2">
      <c r="A4738" s="626" t="s">
        <v>9498</v>
      </c>
      <c r="B4738" s="626" t="s">
        <v>1908</v>
      </c>
      <c r="C4738" s="638" t="s">
        <v>104</v>
      </c>
      <c r="D4738" s="626" t="s">
        <v>2660</v>
      </c>
      <c r="E4738" s="647">
        <v>1000</v>
      </c>
      <c r="F4738" s="626" t="s">
        <v>9625</v>
      </c>
      <c r="G4738" s="626" t="s">
        <v>9626</v>
      </c>
      <c r="H4738" s="626" t="s">
        <v>2660</v>
      </c>
      <c r="I4738" s="626" t="s">
        <v>3768</v>
      </c>
      <c r="J4738" s="638" t="s">
        <v>9501</v>
      </c>
      <c r="K4738" s="745">
        <v>46</v>
      </c>
      <c r="L4738" s="638">
        <v>12</v>
      </c>
      <c r="M4738" s="746">
        <f t="shared" si="50"/>
        <v>12000</v>
      </c>
      <c r="N4738" s="743">
        <v>51</v>
      </c>
      <c r="O4738" s="626">
        <v>12</v>
      </c>
      <c r="P4738" s="744">
        <f t="shared" si="51"/>
        <v>12000</v>
      </c>
    </row>
    <row r="4739" spans="1:16" s="619" customFormat="1" ht="36" x14ac:dyDescent="0.2">
      <c r="A4739" s="626" t="s">
        <v>9498</v>
      </c>
      <c r="B4739" s="626" t="s">
        <v>1908</v>
      </c>
      <c r="C4739" s="638" t="s">
        <v>104</v>
      </c>
      <c r="D4739" s="626" t="s">
        <v>6227</v>
      </c>
      <c r="E4739" s="647">
        <v>2500</v>
      </c>
      <c r="F4739" s="626" t="s">
        <v>9627</v>
      </c>
      <c r="G4739" s="626" t="s">
        <v>9628</v>
      </c>
      <c r="H4739" s="626" t="s">
        <v>6227</v>
      </c>
      <c r="I4739" s="626" t="s">
        <v>3768</v>
      </c>
      <c r="J4739" s="638" t="s">
        <v>3523</v>
      </c>
      <c r="K4739" s="745">
        <v>47</v>
      </c>
      <c r="L4739" s="638">
        <v>12</v>
      </c>
      <c r="M4739" s="746">
        <f t="shared" si="50"/>
        <v>30000</v>
      </c>
      <c r="N4739" s="743">
        <v>52</v>
      </c>
      <c r="O4739" s="626">
        <v>12</v>
      </c>
      <c r="P4739" s="744">
        <f t="shared" si="51"/>
        <v>30000</v>
      </c>
    </row>
    <row r="4740" spans="1:16" s="619" customFormat="1" ht="36" x14ac:dyDescent="0.2">
      <c r="A4740" s="626" t="s">
        <v>9498</v>
      </c>
      <c r="B4740" s="626" t="s">
        <v>1908</v>
      </c>
      <c r="C4740" s="638" t="s">
        <v>104</v>
      </c>
      <c r="D4740" s="626" t="s">
        <v>6120</v>
      </c>
      <c r="E4740" s="647">
        <v>1000</v>
      </c>
      <c r="F4740" s="626" t="s">
        <v>9629</v>
      </c>
      <c r="G4740" s="626" t="s">
        <v>9630</v>
      </c>
      <c r="H4740" s="626" t="s">
        <v>6120</v>
      </c>
      <c r="I4740" s="626" t="s">
        <v>1931</v>
      </c>
      <c r="J4740" s="638" t="s">
        <v>9501</v>
      </c>
      <c r="K4740" s="745"/>
      <c r="L4740" s="638">
        <v>0</v>
      </c>
      <c r="M4740" s="746">
        <f t="shared" ref="M4740:M4803" si="52">+E4740*L4740</f>
        <v>0</v>
      </c>
      <c r="N4740" s="743">
        <v>53</v>
      </c>
      <c r="O4740" s="626">
        <v>12</v>
      </c>
      <c r="P4740" s="744">
        <f t="shared" ref="P4740:P4803" si="53">+E4740*O4740</f>
        <v>12000</v>
      </c>
    </row>
    <row r="4741" spans="1:16" s="619" customFormat="1" ht="24" x14ac:dyDescent="0.2">
      <c r="A4741" s="626" t="s">
        <v>9498</v>
      </c>
      <c r="B4741" s="626" t="s">
        <v>1908</v>
      </c>
      <c r="C4741" s="638" t="s">
        <v>104</v>
      </c>
      <c r="D4741" s="626" t="s">
        <v>2660</v>
      </c>
      <c r="E4741" s="647">
        <v>930</v>
      </c>
      <c r="F4741" s="626" t="s">
        <v>9631</v>
      </c>
      <c r="G4741" s="626" t="s">
        <v>9632</v>
      </c>
      <c r="H4741" s="626" t="s">
        <v>2660</v>
      </c>
      <c r="I4741" s="626" t="s">
        <v>3768</v>
      </c>
      <c r="J4741" s="638" t="s">
        <v>9501</v>
      </c>
      <c r="K4741" s="745"/>
      <c r="L4741" s="638">
        <v>0</v>
      </c>
      <c r="M4741" s="746">
        <f t="shared" si="52"/>
        <v>0</v>
      </c>
      <c r="N4741" s="638">
        <v>287</v>
      </c>
      <c r="O4741" s="626">
        <v>10</v>
      </c>
      <c r="P4741" s="744">
        <f t="shared" si="53"/>
        <v>9300</v>
      </c>
    </row>
    <row r="4742" spans="1:16" s="619" customFormat="1" ht="24" x14ac:dyDescent="0.2">
      <c r="A4742" s="626" t="s">
        <v>9498</v>
      </c>
      <c r="B4742" s="626" t="s">
        <v>1908</v>
      </c>
      <c r="C4742" s="638" t="s">
        <v>104</v>
      </c>
      <c r="D4742" s="626" t="s">
        <v>2660</v>
      </c>
      <c r="E4742" s="647">
        <v>930</v>
      </c>
      <c r="F4742" s="626" t="s">
        <v>9633</v>
      </c>
      <c r="G4742" s="626" t="s">
        <v>9634</v>
      </c>
      <c r="H4742" s="626" t="s">
        <v>2660</v>
      </c>
      <c r="I4742" s="626" t="s">
        <v>3768</v>
      </c>
      <c r="J4742" s="638" t="s">
        <v>9501</v>
      </c>
      <c r="K4742" s="745">
        <v>48</v>
      </c>
      <c r="L4742" s="638">
        <v>12</v>
      </c>
      <c r="M4742" s="746">
        <f t="shared" si="52"/>
        <v>11160</v>
      </c>
      <c r="N4742" s="743">
        <v>54</v>
      </c>
      <c r="O4742" s="626">
        <v>12</v>
      </c>
      <c r="P4742" s="744">
        <f t="shared" si="53"/>
        <v>11160</v>
      </c>
    </row>
    <row r="4743" spans="1:16" s="619" customFormat="1" ht="24" x14ac:dyDescent="0.2">
      <c r="A4743" s="626" t="s">
        <v>9498</v>
      </c>
      <c r="B4743" s="626" t="s">
        <v>1908</v>
      </c>
      <c r="C4743" s="638" t="s">
        <v>104</v>
      </c>
      <c r="D4743" s="626" t="s">
        <v>1996</v>
      </c>
      <c r="E4743" s="647">
        <v>930</v>
      </c>
      <c r="F4743" s="626" t="s">
        <v>9635</v>
      </c>
      <c r="G4743" s="626" t="s">
        <v>9636</v>
      </c>
      <c r="H4743" s="626" t="s">
        <v>1996</v>
      </c>
      <c r="I4743" s="626" t="s">
        <v>3614</v>
      </c>
      <c r="J4743" s="638" t="s">
        <v>8667</v>
      </c>
      <c r="K4743" s="745">
        <v>49</v>
      </c>
      <c r="L4743" s="638">
        <v>12</v>
      </c>
      <c r="M4743" s="746">
        <f t="shared" si="52"/>
        <v>11160</v>
      </c>
      <c r="N4743" s="743">
        <v>55</v>
      </c>
      <c r="O4743" s="626">
        <v>12</v>
      </c>
      <c r="P4743" s="744">
        <f t="shared" si="53"/>
        <v>11160</v>
      </c>
    </row>
    <row r="4744" spans="1:16" s="619" customFormat="1" ht="36" x14ac:dyDescent="0.2">
      <c r="A4744" s="626" t="s">
        <v>9498</v>
      </c>
      <c r="B4744" s="626" t="s">
        <v>1908</v>
      </c>
      <c r="C4744" s="638" t="s">
        <v>104</v>
      </c>
      <c r="D4744" s="626" t="s">
        <v>6418</v>
      </c>
      <c r="E4744" s="647">
        <v>2300</v>
      </c>
      <c r="F4744" s="626" t="s">
        <v>9637</v>
      </c>
      <c r="G4744" s="626" t="s">
        <v>9638</v>
      </c>
      <c r="H4744" s="626" t="s">
        <v>6418</v>
      </c>
      <c r="I4744" s="626" t="s">
        <v>3768</v>
      </c>
      <c r="J4744" s="638" t="s">
        <v>3523</v>
      </c>
      <c r="K4744" s="745">
        <v>51</v>
      </c>
      <c r="L4744" s="638">
        <v>12</v>
      </c>
      <c r="M4744" s="746">
        <f t="shared" si="52"/>
        <v>27600</v>
      </c>
      <c r="N4744" s="743">
        <v>56</v>
      </c>
      <c r="O4744" s="626">
        <v>12</v>
      </c>
      <c r="P4744" s="744">
        <f t="shared" si="53"/>
        <v>27600</v>
      </c>
    </row>
    <row r="4745" spans="1:16" s="619" customFormat="1" ht="36" x14ac:dyDescent="0.2">
      <c r="A4745" s="626" t="s">
        <v>9498</v>
      </c>
      <c r="B4745" s="626" t="s">
        <v>1908</v>
      </c>
      <c r="C4745" s="638" t="s">
        <v>104</v>
      </c>
      <c r="D4745" s="626" t="s">
        <v>2660</v>
      </c>
      <c r="E4745" s="647">
        <v>1000</v>
      </c>
      <c r="F4745" s="626" t="s">
        <v>9639</v>
      </c>
      <c r="G4745" s="626" t="s">
        <v>9640</v>
      </c>
      <c r="H4745" s="626" t="s">
        <v>2660</v>
      </c>
      <c r="I4745" s="626" t="s">
        <v>3768</v>
      </c>
      <c r="J4745" s="638" t="s">
        <v>9501</v>
      </c>
      <c r="K4745" s="745">
        <v>52</v>
      </c>
      <c r="L4745" s="638">
        <v>12</v>
      </c>
      <c r="M4745" s="746">
        <f t="shared" si="52"/>
        <v>12000</v>
      </c>
      <c r="N4745" s="743">
        <v>57</v>
      </c>
      <c r="O4745" s="626">
        <v>12</v>
      </c>
      <c r="P4745" s="744">
        <f t="shared" si="53"/>
        <v>12000</v>
      </c>
    </row>
    <row r="4746" spans="1:16" s="619" customFormat="1" ht="24" x14ac:dyDescent="0.2">
      <c r="A4746" s="626" t="s">
        <v>9498</v>
      </c>
      <c r="B4746" s="626" t="s">
        <v>1908</v>
      </c>
      <c r="C4746" s="638" t="s">
        <v>104</v>
      </c>
      <c r="D4746" s="626" t="s">
        <v>7740</v>
      </c>
      <c r="E4746" s="647">
        <v>1800</v>
      </c>
      <c r="F4746" s="626" t="s">
        <v>9641</v>
      </c>
      <c r="G4746" s="626" t="s">
        <v>9642</v>
      </c>
      <c r="H4746" s="626" t="s">
        <v>7740</v>
      </c>
      <c r="I4746" s="626" t="s">
        <v>3768</v>
      </c>
      <c r="J4746" s="638" t="s">
        <v>3523</v>
      </c>
      <c r="K4746" s="745"/>
      <c r="L4746" s="638">
        <v>0</v>
      </c>
      <c r="M4746" s="746">
        <f t="shared" si="52"/>
        <v>0</v>
      </c>
      <c r="N4746" s="743">
        <v>58</v>
      </c>
      <c r="O4746" s="626">
        <v>12</v>
      </c>
      <c r="P4746" s="744">
        <f t="shared" si="53"/>
        <v>21600</v>
      </c>
    </row>
    <row r="4747" spans="1:16" s="619" customFormat="1" ht="36" x14ac:dyDescent="0.2">
      <c r="A4747" s="626" t="s">
        <v>9498</v>
      </c>
      <c r="B4747" s="626" t="s">
        <v>1908</v>
      </c>
      <c r="C4747" s="638" t="s">
        <v>104</v>
      </c>
      <c r="D4747" s="626" t="s">
        <v>6092</v>
      </c>
      <c r="E4747" s="647">
        <v>1600</v>
      </c>
      <c r="F4747" s="626" t="s">
        <v>9643</v>
      </c>
      <c r="G4747" s="626" t="s">
        <v>9644</v>
      </c>
      <c r="H4747" s="626" t="s">
        <v>6092</v>
      </c>
      <c r="I4747" s="626" t="s">
        <v>3768</v>
      </c>
      <c r="J4747" s="638" t="s">
        <v>3523</v>
      </c>
      <c r="K4747" s="745">
        <v>53</v>
      </c>
      <c r="L4747" s="638">
        <v>12</v>
      </c>
      <c r="M4747" s="746">
        <f t="shared" si="52"/>
        <v>19200</v>
      </c>
      <c r="N4747" s="743">
        <v>59</v>
      </c>
      <c r="O4747" s="626">
        <v>12</v>
      </c>
      <c r="P4747" s="744">
        <f t="shared" si="53"/>
        <v>19200</v>
      </c>
    </row>
    <row r="4748" spans="1:16" s="619" customFormat="1" ht="24" x14ac:dyDescent="0.2">
      <c r="A4748" s="626" t="s">
        <v>9498</v>
      </c>
      <c r="B4748" s="626" t="s">
        <v>1908</v>
      </c>
      <c r="C4748" s="638" t="s">
        <v>104</v>
      </c>
      <c r="D4748" s="626" t="s">
        <v>2660</v>
      </c>
      <c r="E4748" s="647">
        <v>930</v>
      </c>
      <c r="F4748" s="626" t="s">
        <v>9645</v>
      </c>
      <c r="G4748" s="626" t="s">
        <v>9646</v>
      </c>
      <c r="H4748" s="626" t="s">
        <v>2660</v>
      </c>
      <c r="I4748" s="626" t="s">
        <v>3768</v>
      </c>
      <c r="J4748" s="638" t="s">
        <v>9501</v>
      </c>
      <c r="K4748" s="745">
        <v>54</v>
      </c>
      <c r="L4748" s="638">
        <v>12</v>
      </c>
      <c r="M4748" s="746">
        <f t="shared" si="52"/>
        <v>11160</v>
      </c>
      <c r="N4748" s="743">
        <v>60</v>
      </c>
      <c r="O4748" s="626">
        <v>12</v>
      </c>
      <c r="P4748" s="744">
        <f t="shared" si="53"/>
        <v>11160</v>
      </c>
    </row>
    <row r="4749" spans="1:16" s="619" customFormat="1" ht="36" x14ac:dyDescent="0.2">
      <c r="A4749" s="626" t="s">
        <v>9498</v>
      </c>
      <c r="B4749" s="626" t="s">
        <v>1908</v>
      </c>
      <c r="C4749" s="638" t="s">
        <v>104</v>
      </c>
      <c r="D4749" s="626" t="s">
        <v>1996</v>
      </c>
      <c r="E4749" s="647">
        <v>930</v>
      </c>
      <c r="F4749" s="626" t="s">
        <v>9647</v>
      </c>
      <c r="G4749" s="626" t="s">
        <v>9648</v>
      </c>
      <c r="H4749" s="626" t="s">
        <v>1996</v>
      </c>
      <c r="I4749" s="626" t="s">
        <v>3614</v>
      </c>
      <c r="J4749" s="638" t="s">
        <v>8667</v>
      </c>
      <c r="K4749" s="745">
        <v>55</v>
      </c>
      <c r="L4749" s="638">
        <v>12</v>
      </c>
      <c r="M4749" s="746">
        <f t="shared" si="52"/>
        <v>11160</v>
      </c>
      <c r="N4749" s="743">
        <v>61</v>
      </c>
      <c r="O4749" s="626">
        <v>12</v>
      </c>
      <c r="P4749" s="744">
        <f t="shared" si="53"/>
        <v>11160</v>
      </c>
    </row>
    <row r="4750" spans="1:16" s="619" customFormat="1" ht="36" x14ac:dyDescent="0.2">
      <c r="A4750" s="626" t="s">
        <v>9498</v>
      </c>
      <c r="B4750" s="626" t="s">
        <v>1908</v>
      </c>
      <c r="C4750" s="638" t="s">
        <v>104</v>
      </c>
      <c r="D4750" s="626" t="s">
        <v>6158</v>
      </c>
      <c r="E4750" s="647">
        <v>930</v>
      </c>
      <c r="F4750" s="626" t="s">
        <v>9649</v>
      </c>
      <c r="G4750" s="626" t="s">
        <v>9650</v>
      </c>
      <c r="H4750" s="626" t="s">
        <v>6158</v>
      </c>
      <c r="I4750" s="626" t="s">
        <v>3614</v>
      </c>
      <c r="J4750" s="638" t="s">
        <v>8667</v>
      </c>
      <c r="K4750" s="745">
        <v>56</v>
      </c>
      <c r="L4750" s="638">
        <v>12</v>
      </c>
      <c r="M4750" s="746">
        <f t="shared" si="52"/>
        <v>11160</v>
      </c>
      <c r="N4750" s="743">
        <v>62</v>
      </c>
      <c r="O4750" s="626">
        <v>12</v>
      </c>
      <c r="P4750" s="744">
        <f t="shared" si="53"/>
        <v>11160</v>
      </c>
    </row>
    <row r="4751" spans="1:16" s="619" customFormat="1" ht="24" x14ac:dyDescent="0.2">
      <c r="A4751" s="626" t="s">
        <v>9498</v>
      </c>
      <c r="B4751" s="626" t="s">
        <v>1908</v>
      </c>
      <c r="C4751" s="638" t="s">
        <v>104</v>
      </c>
      <c r="D4751" s="626" t="s">
        <v>6092</v>
      </c>
      <c r="E4751" s="647">
        <v>1800</v>
      </c>
      <c r="F4751" s="626" t="s">
        <v>9651</v>
      </c>
      <c r="G4751" s="626" t="s">
        <v>9652</v>
      </c>
      <c r="H4751" s="626" t="s">
        <v>6092</v>
      </c>
      <c r="I4751" s="626" t="s">
        <v>3768</v>
      </c>
      <c r="J4751" s="638" t="s">
        <v>3523</v>
      </c>
      <c r="K4751" s="745"/>
      <c r="L4751" s="638">
        <v>0</v>
      </c>
      <c r="M4751" s="746">
        <f t="shared" si="52"/>
        <v>0</v>
      </c>
      <c r="N4751" s="638">
        <v>288</v>
      </c>
      <c r="O4751" s="626">
        <v>10</v>
      </c>
      <c r="P4751" s="744">
        <f t="shared" si="53"/>
        <v>18000</v>
      </c>
    </row>
    <row r="4752" spans="1:16" s="619" customFormat="1" ht="24" x14ac:dyDescent="0.2">
      <c r="A4752" s="626" t="s">
        <v>9498</v>
      </c>
      <c r="B4752" s="626" t="s">
        <v>1908</v>
      </c>
      <c r="C4752" s="638" t="s">
        <v>104</v>
      </c>
      <c r="D4752" s="626" t="s">
        <v>6548</v>
      </c>
      <c r="E4752" s="647">
        <v>2000</v>
      </c>
      <c r="F4752" s="626" t="s">
        <v>9653</v>
      </c>
      <c r="G4752" s="626" t="s">
        <v>9654</v>
      </c>
      <c r="H4752" s="626" t="s">
        <v>6548</v>
      </c>
      <c r="I4752" s="626" t="s">
        <v>3768</v>
      </c>
      <c r="J4752" s="638"/>
      <c r="K4752" s="745">
        <v>57</v>
      </c>
      <c r="L4752" s="638">
        <v>12</v>
      </c>
      <c r="M4752" s="746">
        <f t="shared" si="52"/>
        <v>24000</v>
      </c>
      <c r="N4752" s="743">
        <v>63</v>
      </c>
      <c r="O4752" s="626">
        <v>12</v>
      </c>
      <c r="P4752" s="744">
        <f t="shared" si="53"/>
        <v>24000</v>
      </c>
    </row>
    <row r="4753" spans="1:16" s="619" customFormat="1" ht="24" x14ac:dyDescent="0.2">
      <c r="A4753" s="626" t="s">
        <v>9498</v>
      </c>
      <c r="B4753" s="626" t="s">
        <v>1908</v>
      </c>
      <c r="C4753" s="638" t="s">
        <v>104</v>
      </c>
      <c r="D4753" s="626" t="s">
        <v>2660</v>
      </c>
      <c r="E4753" s="647">
        <v>1000</v>
      </c>
      <c r="F4753" s="626" t="s">
        <v>9655</v>
      </c>
      <c r="G4753" s="626" t="s">
        <v>9656</v>
      </c>
      <c r="H4753" s="626" t="s">
        <v>2660</v>
      </c>
      <c r="I4753" s="626" t="s">
        <v>3768</v>
      </c>
      <c r="J4753" s="638" t="s">
        <v>9501</v>
      </c>
      <c r="K4753" s="745">
        <v>58</v>
      </c>
      <c r="L4753" s="638">
        <v>12</v>
      </c>
      <c r="M4753" s="746">
        <f t="shared" si="52"/>
        <v>12000</v>
      </c>
      <c r="N4753" s="743">
        <v>64</v>
      </c>
      <c r="O4753" s="626">
        <v>12</v>
      </c>
      <c r="P4753" s="744">
        <f t="shared" si="53"/>
        <v>12000</v>
      </c>
    </row>
    <row r="4754" spans="1:16" s="619" customFormat="1" ht="24" x14ac:dyDescent="0.2">
      <c r="A4754" s="626" t="s">
        <v>9498</v>
      </c>
      <c r="B4754" s="626" t="s">
        <v>1908</v>
      </c>
      <c r="C4754" s="638" t="s">
        <v>104</v>
      </c>
      <c r="D4754" s="626" t="s">
        <v>2087</v>
      </c>
      <c r="E4754" s="647">
        <v>1600</v>
      </c>
      <c r="F4754" s="626" t="s">
        <v>9657</v>
      </c>
      <c r="G4754" s="626" t="s">
        <v>9658</v>
      </c>
      <c r="H4754" s="626" t="s">
        <v>2087</v>
      </c>
      <c r="I4754" s="626" t="s">
        <v>3768</v>
      </c>
      <c r="J4754" s="638" t="s">
        <v>9501</v>
      </c>
      <c r="K4754" s="745">
        <v>59</v>
      </c>
      <c r="L4754" s="638">
        <v>12</v>
      </c>
      <c r="M4754" s="746">
        <f t="shared" si="52"/>
        <v>19200</v>
      </c>
      <c r="N4754" s="743">
        <v>65</v>
      </c>
      <c r="O4754" s="626">
        <v>12</v>
      </c>
      <c r="P4754" s="744">
        <f t="shared" si="53"/>
        <v>19200</v>
      </c>
    </row>
    <row r="4755" spans="1:16" s="619" customFormat="1" ht="24" x14ac:dyDescent="0.2">
      <c r="A4755" s="626" t="s">
        <v>9498</v>
      </c>
      <c r="B4755" s="626" t="s">
        <v>1908</v>
      </c>
      <c r="C4755" s="638" t="s">
        <v>104</v>
      </c>
      <c r="D4755" s="626" t="s">
        <v>6158</v>
      </c>
      <c r="E4755" s="647">
        <v>930</v>
      </c>
      <c r="F4755" s="626" t="s">
        <v>9659</v>
      </c>
      <c r="G4755" s="626" t="s">
        <v>9660</v>
      </c>
      <c r="H4755" s="626" t="s">
        <v>6158</v>
      </c>
      <c r="I4755" s="626" t="s">
        <v>3614</v>
      </c>
      <c r="J4755" s="638" t="s">
        <v>8667</v>
      </c>
      <c r="K4755" s="745">
        <v>60</v>
      </c>
      <c r="L4755" s="638">
        <v>12</v>
      </c>
      <c r="M4755" s="746">
        <f t="shared" si="52"/>
        <v>11160</v>
      </c>
      <c r="N4755" s="743">
        <v>66</v>
      </c>
      <c r="O4755" s="626">
        <v>12</v>
      </c>
      <c r="P4755" s="744">
        <f t="shared" si="53"/>
        <v>11160</v>
      </c>
    </row>
    <row r="4756" spans="1:16" s="619" customFormat="1" ht="24" x14ac:dyDescent="0.2">
      <c r="A4756" s="626" t="s">
        <v>9498</v>
      </c>
      <c r="B4756" s="626" t="s">
        <v>1908</v>
      </c>
      <c r="C4756" s="638" t="s">
        <v>104</v>
      </c>
      <c r="D4756" s="626" t="s">
        <v>2660</v>
      </c>
      <c r="E4756" s="647">
        <v>930</v>
      </c>
      <c r="F4756" s="626" t="s">
        <v>9661</v>
      </c>
      <c r="G4756" s="626" t="s">
        <v>9662</v>
      </c>
      <c r="H4756" s="626" t="s">
        <v>2660</v>
      </c>
      <c r="I4756" s="626" t="s">
        <v>3768</v>
      </c>
      <c r="J4756" s="638" t="s">
        <v>9501</v>
      </c>
      <c r="K4756" s="745">
        <v>61</v>
      </c>
      <c r="L4756" s="638">
        <v>12</v>
      </c>
      <c r="M4756" s="746">
        <f t="shared" si="52"/>
        <v>11160</v>
      </c>
      <c r="N4756" s="743">
        <v>67</v>
      </c>
      <c r="O4756" s="626">
        <v>12</v>
      </c>
      <c r="P4756" s="744">
        <f t="shared" si="53"/>
        <v>11160</v>
      </c>
    </row>
    <row r="4757" spans="1:16" s="619" customFormat="1" ht="24" x14ac:dyDescent="0.2">
      <c r="A4757" s="626" t="s">
        <v>9498</v>
      </c>
      <c r="B4757" s="626" t="s">
        <v>1908</v>
      </c>
      <c r="C4757" s="638" t="s">
        <v>104</v>
      </c>
      <c r="D4757" s="626" t="s">
        <v>2660</v>
      </c>
      <c r="E4757" s="647">
        <v>1000</v>
      </c>
      <c r="F4757" s="626" t="s">
        <v>9663</v>
      </c>
      <c r="G4757" s="626" t="s">
        <v>9664</v>
      </c>
      <c r="H4757" s="626" t="s">
        <v>2660</v>
      </c>
      <c r="I4757" s="626" t="s">
        <v>3768</v>
      </c>
      <c r="J4757" s="638" t="s">
        <v>9501</v>
      </c>
      <c r="K4757" s="745">
        <v>62</v>
      </c>
      <c r="L4757" s="638">
        <v>12</v>
      </c>
      <c r="M4757" s="746">
        <f t="shared" si="52"/>
        <v>12000</v>
      </c>
      <c r="N4757" s="743">
        <v>68</v>
      </c>
      <c r="O4757" s="626">
        <v>12</v>
      </c>
      <c r="P4757" s="744">
        <f t="shared" si="53"/>
        <v>12000</v>
      </c>
    </row>
    <row r="4758" spans="1:16" s="619" customFormat="1" ht="24" x14ac:dyDescent="0.2">
      <c r="A4758" s="626" t="s">
        <v>9498</v>
      </c>
      <c r="B4758" s="626" t="s">
        <v>1908</v>
      </c>
      <c r="C4758" s="638" t="s">
        <v>104</v>
      </c>
      <c r="D4758" s="626" t="s">
        <v>6092</v>
      </c>
      <c r="E4758" s="647">
        <v>1600</v>
      </c>
      <c r="F4758" s="626" t="s">
        <v>9665</v>
      </c>
      <c r="G4758" s="626" t="s">
        <v>9666</v>
      </c>
      <c r="H4758" s="626" t="s">
        <v>6092</v>
      </c>
      <c r="I4758" s="626" t="s">
        <v>3768</v>
      </c>
      <c r="J4758" s="638" t="s">
        <v>3523</v>
      </c>
      <c r="K4758" s="745"/>
      <c r="L4758" s="638">
        <v>0</v>
      </c>
      <c r="M4758" s="746">
        <f t="shared" si="52"/>
        <v>0</v>
      </c>
      <c r="N4758" s="638">
        <v>289</v>
      </c>
      <c r="O4758" s="626">
        <v>10</v>
      </c>
      <c r="P4758" s="744">
        <f t="shared" si="53"/>
        <v>16000</v>
      </c>
    </row>
    <row r="4759" spans="1:16" s="619" customFormat="1" ht="24" x14ac:dyDescent="0.2">
      <c r="A4759" s="626" t="s">
        <v>9498</v>
      </c>
      <c r="B4759" s="626" t="s">
        <v>1908</v>
      </c>
      <c r="C4759" s="638" t="s">
        <v>104</v>
      </c>
      <c r="D4759" s="626" t="s">
        <v>2660</v>
      </c>
      <c r="E4759" s="647">
        <v>1800</v>
      </c>
      <c r="F4759" s="626" t="s">
        <v>9667</v>
      </c>
      <c r="G4759" s="626" t="s">
        <v>9668</v>
      </c>
      <c r="H4759" s="626" t="s">
        <v>2660</v>
      </c>
      <c r="I4759" s="626" t="s">
        <v>3768</v>
      </c>
      <c r="J4759" s="638" t="s">
        <v>9501</v>
      </c>
      <c r="K4759" s="745">
        <v>63</v>
      </c>
      <c r="L4759" s="638">
        <v>12</v>
      </c>
      <c r="M4759" s="746">
        <f t="shared" si="52"/>
        <v>21600</v>
      </c>
      <c r="N4759" s="743">
        <v>69</v>
      </c>
      <c r="O4759" s="626">
        <v>12</v>
      </c>
      <c r="P4759" s="744">
        <f t="shared" si="53"/>
        <v>21600</v>
      </c>
    </row>
    <row r="4760" spans="1:16" s="619" customFormat="1" ht="36" x14ac:dyDescent="0.2">
      <c r="A4760" s="626" t="s">
        <v>9498</v>
      </c>
      <c r="B4760" s="626" t="s">
        <v>1908</v>
      </c>
      <c r="C4760" s="638" t="s">
        <v>104</v>
      </c>
      <c r="D4760" s="626" t="s">
        <v>3548</v>
      </c>
      <c r="E4760" s="647">
        <v>1000</v>
      </c>
      <c r="F4760" s="626" t="s">
        <v>9669</v>
      </c>
      <c r="G4760" s="626" t="s">
        <v>9670</v>
      </c>
      <c r="H4760" s="626" t="s">
        <v>3548</v>
      </c>
      <c r="I4760" s="626" t="s">
        <v>3614</v>
      </c>
      <c r="J4760" s="638" t="s">
        <v>8667</v>
      </c>
      <c r="K4760" s="745">
        <v>64</v>
      </c>
      <c r="L4760" s="638">
        <v>12</v>
      </c>
      <c r="M4760" s="746">
        <f t="shared" si="52"/>
        <v>12000</v>
      </c>
      <c r="N4760" s="743">
        <v>70</v>
      </c>
      <c r="O4760" s="626">
        <v>12</v>
      </c>
      <c r="P4760" s="744">
        <f t="shared" si="53"/>
        <v>12000</v>
      </c>
    </row>
    <row r="4761" spans="1:16" s="619" customFormat="1" ht="36" x14ac:dyDescent="0.2">
      <c r="A4761" s="626" t="s">
        <v>9498</v>
      </c>
      <c r="B4761" s="626" t="s">
        <v>1908</v>
      </c>
      <c r="C4761" s="638" t="s">
        <v>104</v>
      </c>
      <c r="D4761" s="626" t="s">
        <v>2660</v>
      </c>
      <c r="E4761" s="647">
        <v>930</v>
      </c>
      <c r="F4761" s="626" t="s">
        <v>9671</v>
      </c>
      <c r="G4761" s="626" t="s">
        <v>9672</v>
      </c>
      <c r="H4761" s="626" t="s">
        <v>2660</v>
      </c>
      <c r="I4761" s="626" t="s">
        <v>3768</v>
      </c>
      <c r="J4761" s="638" t="s">
        <v>9501</v>
      </c>
      <c r="K4761" s="745">
        <v>65</v>
      </c>
      <c r="L4761" s="638">
        <v>12</v>
      </c>
      <c r="M4761" s="746">
        <f t="shared" si="52"/>
        <v>11160</v>
      </c>
      <c r="N4761" s="743">
        <v>71</v>
      </c>
      <c r="O4761" s="626">
        <v>12</v>
      </c>
      <c r="P4761" s="744">
        <f t="shared" si="53"/>
        <v>11160</v>
      </c>
    </row>
    <row r="4762" spans="1:16" s="619" customFormat="1" ht="48" x14ac:dyDescent="0.2">
      <c r="A4762" s="626" t="s">
        <v>9498</v>
      </c>
      <c r="B4762" s="626" t="s">
        <v>1908</v>
      </c>
      <c r="C4762" s="638" t="s">
        <v>104</v>
      </c>
      <c r="D4762" s="626" t="s">
        <v>6227</v>
      </c>
      <c r="E4762" s="647">
        <v>2500</v>
      </c>
      <c r="F4762" s="626" t="s">
        <v>9673</v>
      </c>
      <c r="G4762" s="626" t="s">
        <v>9674</v>
      </c>
      <c r="H4762" s="626" t="s">
        <v>6227</v>
      </c>
      <c r="I4762" s="626" t="s">
        <v>3768</v>
      </c>
      <c r="J4762" s="638" t="s">
        <v>3523</v>
      </c>
      <c r="K4762" s="745">
        <v>66</v>
      </c>
      <c r="L4762" s="638">
        <v>12</v>
      </c>
      <c r="M4762" s="746">
        <f t="shared" si="52"/>
        <v>30000</v>
      </c>
      <c r="N4762" s="743">
        <v>72</v>
      </c>
      <c r="O4762" s="626">
        <v>12</v>
      </c>
      <c r="P4762" s="744">
        <f t="shared" si="53"/>
        <v>30000</v>
      </c>
    </row>
    <row r="4763" spans="1:16" s="619" customFormat="1" ht="36" x14ac:dyDescent="0.2">
      <c r="A4763" s="626" t="s">
        <v>9498</v>
      </c>
      <c r="B4763" s="626" t="s">
        <v>1908</v>
      </c>
      <c r="C4763" s="638" t="s">
        <v>104</v>
      </c>
      <c r="D4763" s="626" t="s">
        <v>7626</v>
      </c>
      <c r="E4763" s="647">
        <v>1000</v>
      </c>
      <c r="F4763" s="626" t="s">
        <v>9675</v>
      </c>
      <c r="G4763" s="626" t="s">
        <v>9676</v>
      </c>
      <c r="H4763" s="626" t="s">
        <v>7626</v>
      </c>
      <c r="I4763" s="626" t="s">
        <v>1931</v>
      </c>
      <c r="J4763" s="638" t="s">
        <v>9501</v>
      </c>
      <c r="K4763" s="745">
        <v>67</v>
      </c>
      <c r="L4763" s="638">
        <v>12</v>
      </c>
      <c r="M4763" s="746">
        <f t="shared" si="52"/>
        <v>12000</v>
      </c>
      <c r="N4763" s="743">
        <v>73</v>
      </c>
      <c r="O4763" s="626">
        <v>12</v>
      </c>
      <c r="P4763" s="744">
        <f t="shared" si="53"/>
        <v>12000</v>
      </c>
    </row>
    <row r="4764" spans="1:16" s="619" customFormat="1" ht="36" x14ac:dyDescent="0.2">
      <c r="A4764" s="626" t="s">
        <v>9498</v>
      </c>
      <c r="B4764" s="626" t="s">
        <v>1908</v>
      </c>
      <c r="C4764" s="638" t="s">
        <v>104</v>
      </c>
      <c r="D4764" s="626" t="s">
        <v>6509</v>
      </c>
      <c r="E4764" s="647">
        <v>1000</v>
      </c>
      <c r="F4764" s="626" t="s">
        <v>9677</v>
      </c>
      <c r="G4764" s="626" t="s">
        <v>9678</v>
      </c>
      <c r="H4764" s="626" t="s">
        <v>6509</v>
      </c>
      <c r="I4764" s="626" t="s">
        <v>3768</v>
      </c>
      <c r="J4764" s="638" t="s">
        <v>3523</v>
      </c>
      <c r="K4764" s="745">
        <v>68</v>
      </c>
      <c r="L4764" s="638">
        <v>12</v>
      </c>
      <c r="M4764" s="746">
        <f t="shared" si="52"/>
        <v>12000</v>
      </c>
      <c r="N4764" s="743">
        <v>74</v>
      </c>
      <c r="O4764" s="626">
        <v>12</v>
      </c>
      <c r="P4764" s="744">
        <f t="shared" si="53"/>
        <v>12000</v>
      </c>
    </row>
    <row r="4765" spans="1:16" s="619" customFormat="1" ht="48" x14ac:dyDescent="0.2">
      <c r="A4765" s="626" t="s">
        <v>9498</v>
      </c>
      <c r="B4765" s="626" t="s">
        <v>1908</v>
      </c>
      <c r="C4765" s="638" t="s">
        <v>104</v>
      </c>
      <c r="D4765" s="626" t="s">
        <v>6198</v>
      </c>
      <c r="E4765" s="647">
        <v>2000</v>
      </c>
      <c r="F4765" s="626" t="s">
        <v>9679</v>
      </c>
      <c r="G4765" s="626" t="s">
        <v>9680</v>
      </c>
      <c r="H4765" s="626" t="s">
        <v>6198</v>
      </c>
      <c r="I4765" s="626" t="s">
        <v>3768</v>
      </c>
      <c r="J4765" s="638" t="s">
        <v>3523</v>
      </c>
      <c r="K4765" s="745"/>
      <c r="L4765" s="638">
        <v>0</v>
      </c>
      <c r="M4765" s="746">
        <f t="shared" si="52"/>
        <v>0</v>
      </c>
      <c r="N4765" s="638">
        <v>290</v>
      </c>
      <c r="O4765" s="626">
        <v>10</v>
      </c>
      <c r="P4765" s="744">
        <f t="shared" si="53"/>
        <v>20000</v>
      </c>
    </row>
    <row r="4766" spans="1:16" s="619" customFormat="1" ht="36" x14ac:dyDescent="0.2">
      <c r="A4766" s="626" t="s">
        <v>9498</v>
      </c>
      <c r="B4766" s="626" t="s">
        <v>1908</v>
      </c>
      <c r="C4766" s="638" t="s">
        <v>104</v>
      </c>
      <c r="D4766" s="626" t="s">
        <v>2087</v>
      </c>
      <c r="E4766" s="647">
        <v>1000</v>
      </c>
      <c r="F4766" s="626" t="s">
        <v>9681</v>
      </c>
      <c r="G4766" s="626" t="s">
        <v>9682</v>
      </c>
      <c r="H4766" s="626" t="s">
        <v>2087</v>
      </c>
      <c r="I4766" s="626" t="s">
        <v>3768</v>
      </c>
      <c r="J4766" s="638" t="s">
        <v>9501</v>
      </c>
      <c r="K4766" s="745">
        <v>69</v>
      </c>
      <c r="L4766" s="638">
        <v>12</v>
      </c>
      <c r="M4766" s="746">
        <f t="shared" si="52"/>
        <v>12000</v>
      </c>
      <c r="N4766" s="743">
        <v>75</v>
      </c>
      <c r="O4766" s="626">
        <v>12</v>
      </c>
      <c r="P4766" s="744">
        <f t="shared" si="53"/>
        <v>12000</v>
      </c>
    </row>
    <row r="4767" spans="1:16" s="619" customFormat="1" ht="24" x14ac:dyDescent="0.2">
      <c r="A4767" s="626" t="s">
        <v>9498</v>
      </c>
      <c r="B4767" s="626" t="s">
        <v>1908</v>
      </c>
      <c r="C4767" s="638" t="s">
        <v>104</v>
      </c>
      <c r="D4767" s="626" t="s">
        <v>6158</v>
      </c>
      <c r="E4767" s="647">
        <v>930</v>
      </c>
      <c r="F4767" s="626" t="s">
        <v>9683</v>
      </c>
      <c r="G4767" s="626" t="s">
        <v>9684</v>
      </c>
      <c r="H4767" s="626" t="s">
        <v>6158</v>
      </c>
      <c r="I4767" s="626" t="s">
        <v>3614</v>
      </c>
      <c r="J4767" s="638" t="s">
        <v>8667</v>
      </c>
      <c r="K4767" s="745">
        <v>70</v>
      </c>
      <c r="L4767" s="638">
        <v>12</v>
      </c>
      <c r="M4767" s="746">
        <f t="shared" si="52"/>
        <v>11160</v>
      </c>
      <c r="N4767" s="743">
        <v>76</v>
      </c>
      <c r="O4767" s="626">
        <v>12</v>
      </c>
      <c r="P4767" s="744">
        <f t="shared" si="53"/>
        <v>11160</v>
      </c>
    </row>
    <row r="4768" spans="1:16" s="619" customFormat="1" ht="24" x14ac:dyDescent="0.2">
      <c r="A4768" s="626" t="s">
        <v>9498</v>
      </c>
      <c r="B4768" s="626" t="s">
        <v>1908</v>
      </c>
      <c r="C4768" s="638" t="s">
        <v>104</v>
      </c>
      <c r="D4768" s="626" t="s">
        <v>6299</v>
      </c>
      <c r="E4768" s="647">
        <v>930</v>
      </c>
      <c r="F4768" s="626" t="s">
        <v>9685</v>
      </c>
      <c r="G4768" s="626" t="s">
        <v>9686</v>
      </c>
      <c r="H4768" s="626" t="s">
        <v>6299</v>
      </c>
      <c r="I4768" s="626" t="s">
        <v>3674</v>
      </c>
      <c r="J4768" s="638" t="s">
        <v>9501</v>
      </c>
      <c r="K4768" s="745">
        <v>71</v>
      </c>
      <c r="L4768" s="638">
        <v>12</v>
      </c>
      <c r="M4768" s="746">
        <f t="shared" si="52"/>
        <v>11160</v>
      </c>
      <c r="N4768" s="743">
        <v>77</v>
      </c>
      <c r="O4768" s="626">
        <v>12</v>
      </c>
      <c r="P4768" s="744">
        <f t="shared" si="53"/>
        <v>11160</v>
      </c>
    </row>
    <row r="4769" spans="1:16" s="619" customFormat="1" ht="24" x14ac:dyDescent="0.2">
      <c r="A4769" s="626" t="s">
        <v>9498</v>
      </c>
      <c r="B4769" s="626" t="s">
        <v>1908</v>
      </c>
      <c r="C4769" s="638" t="s">
        <v>104</v>
      </c>
      <c r="D4769" s="626" t="s">
        <v>1996</v>
      </c>
      <c r="E4769" s="647">
        <v>930</v>
      </c>
      <c r="F4769" s="626" t="s">
        <v>9687</v>
      </c>
      <c r="G4769" s="626" t="s">
        <v>9688</v>
      </c>
      <c r="H4769" s="626" t="s">
        <v>1996</v>
      </c>
      <c r="I4769" s="626" t="s">
        <v>3614</v>
      </c>
      <c r="J4769" s="638" t="s">
        <v>8667</v>
      </c>
      <c r="K4769" s="745">
        <v>72</v>
      </c>
      <c r="L4769" s="638">
        <v>12</v>
      </c>
      <c r="M4769" s="746">
        <f t="shared" si="52"/>
        <v>11160</v>
      </c>
      <c r="N4769" s="743">
        <v>78</v>
      </c>
      <c r="O4769" s="626">
        <v>12</v>
      </c>
      <c r="P4769" s="744">
        <f t="shared" si="53"/>
        <v>11160</v>
      </c>
    </row>
    <row r="4770" spans="1:16" s="619" customFormat="1" ht="24" x14ac:dyDescent="0.2">
      <c r="A4770" s="626" t="s">
        <v>9498</v>
      </c>
      <c r="B4770" s="626" t="s">
        <v>1908</v>
      </c>
      <c r="C4770" s="638" t="s">
        <v>104</v>
      </c>
      <c r="D4770" s="626" t="s">
        <v>2660</v>
      </c>
      <c r="E4770" s="647">
        <v>930</v>
      </c>
      <c r="F4770" s="626" t="s">
        <v>9689</v>
      </c>
      <c r="G4770" s="626" t="s">
        <v>9690</v>
      </c>
      <c r="H4770" s="626" t="s">
        <v>2660</v>
      </c>
      <c r="I4770" s="626" t="s">
        <v>3768</v>
      </c>
      <c r="J4770" s="638" t="s">
        <v>9501</v>
      </c>
      <c r="K4770" s="745">
        <v>73</v>
      </c>
      <c r="L4770" s="638">
        <v>12</v>
      </c>
      <c r="M4770" s="746">
        <f t="shared" si="52"/>
        <v>11160</v>
      </c>
      <c r="N4770" s="743">
        <v>79</v>
      </c>
      <c r="O4770" s="626">
        <v>12</v>
      </c>
      <c r="P4770" s="744">
        <f t="shared" si="53"/>
        <v>11160</v>
      </c>
    </row>
    <row r="4771" spans="1:16" s="619" customFormat="1" ht="24" x14ac:dyDescent="0.2">
      <c r="A4771" s="626" t="s">
        <v>9498</v>
      </c>
      <c r="B4771" s="626" t="s">
        <v>1908</v>
      </c>
      <c r="C4771" s="638" t="s">
        <v>104</v>
      </c>
      <c r="D4771" s="626" t="s">
        <v>6299</v>
      </c>
      <c r="E4771" s="647">
        <v>930</v>
      </c>
      <c r="F4771" s="626" t="s">
        <v>9691</v>
      </c>
      <c r="G4771" s="626" t="s">
        <v>9692</v>
      </c>
      <c r="H4771" s="626" t="s">
        <v>6299</v>
      </c>
      <c r="I4771" s="626" t="s">
        <v>3674</v>
      </c>
      <c r="J4771" s="638" t="s">
        <v>9501</v>
      </c>
      <c r="K4771" s="745">
        <v>74</v>
      </c>
      <c r="L4771" s="638">
        <v>12</v>
      </c>
      <c r="M4771" s="746">
        <f t="shared" si="52"/>
        <v>11160</v>
      </c>
      <c r="N4771" s="743">
        <v>80</v>
      </c>
      <c r="O4771" s="626">
        <v>12</v>
      </c>
      <c r="P4771" s="744">
        <f t="shared" si="53"/>
        <v>11160</v>
      </c>
    </row>
    <row r="4772" spans="1:16" s="619" customFormat="1" ht="36" x14ac:dyDescent="0.2">
      <c r="A4772" s="626" t="s">
        <v>9498</v>
      </c>
      <c r="B4772" s="626" t="s">
        <v>1908</v>
      </c>
      <c r="C4772" s="638" t="s">
        <v>104</v>
      </c>
      <c r="D4772" s="626" t="s">
        <v>6120</v>
      </c>
      <c r="E4772" s="647">
        <v>930</v>
      </c>
      <c r="F4772" s="626" t="s">
        <v>9693</v>
      </c>
      <c r="G4772" s="626" t="s">
        <v>9694</v>
      </c>
      <c r="H4772" s="626" t="s">
        <v>6120</v>
      </c>
      <c r="I4772" s="626" t="s">
        <v>1931</v>
      </c>
      <c r="J4772" s="638" t="s">
        <v>9501</v>
      </c>
      <c r="K4772" s="745"/>
      <c r="L4772" s="638">
        <v>0</v>
      </c>
      <c r="M4772" s="746">
        <f t="shared" si="52"/>
        <v>0</v>
      </c>
      <c r="N4772" s="638">
        <v>319</v>
      </c>
      <c r="O4772" s="626">
        <v>5</v>
      </c>
      <c r="P4772" s="744">
        <f t="shared" si="53"/>
        <v>4650</v>
      </c>
    </row>
    <row r="4773" spans="1:16" s="619" customFormat="1" ht="24" x14ac:dyDescent="0.2">
      <c r="A4773" s="626" t="s">
        <v>9498</v>
      </c>
      <c r="B4773" s="626" t="s">
        <v>1908</v>
      </c>
      <c r="C4773" s="638" t="s">
        <v>104</v>
      </c>
      <c r="D4773" s="626" t="s">
        <v>2660</v>
      </c>
      <c r="E4773" s="647">
        <v>930</v>
      </c>
      <c r="F4773" s="626" t="s">
        <v>9695</v>
      </c>
      <c r="G4773" s="626" t="s">
        <v>9696</v>
      </c>
      <c r="H4773" s="626" t="s">
        <v>2660</v>
      </c>
      <c r="I4773" s="626" t="s">
        <v>3768</v>
      </c>
      <c r="J4773" s="638" t="s">
        <v>9501</v>
      </c>
      <c r="K4773" s="745">
        <v>75</v>
      </c>
      <c r="L4773" s="638">
        <v>12</v>
      </c>
      <c r="M4773" s="746">
        <f t="shared" si="52"/>
        <v>11160</v>
      </c>
      <c r="N4773" s="743">
        <v>81</v>
      </c>
      <c r="O4773" s="626">
        <v>12</v>
      </c>
      <c r="P4773" s="744">
        <f t="shared" si="53"/>
        <v>11160</v>
      </c>
    </row>
    <row r="4774" spans="1:16" s="619" customFormat="1" ht="24" x14ac:dyDescent="0.2">
      <c r="A4774" s="626" t="s">
        <v>9498</v>
      </c>
      <c r="B4774" s="626" t="s">
        <v>1908</v>
      </c>
      <c r="C4774" s="638" t="s">
        <v>104</v>
      </c>
      <c r="D4774" s="626" t="s">
        <v>6092</v>
      </c>
      <c r="E4774" s="647">
        <v>1600</v>
      </c>
      <c r="F4774" s="626" t="s">
        <v>9697</v>
      </c>
      <c r="G4774" s="626" t="s">
        <v>9698</v>
      </c>
      <c r="H4774" s="626" t="s">
        <v>6092</v>
      </c>
      <c r="I4774" s="626" t="s">
        <v>3768</v>
      </c>
      <c r="J4774" s="638" t="s">
        <v>3523</v>
      </c>
      <c r="K4774" s="745"/>
      <c r="L4774" s="638">
        <v>0</v>
      </c>
      <c r="M4774" s="746">
        <f t="shared" si="52"/>
        <v>0</v>
      </c>
      <c r="N4774" s="638">
        <v>291</v>
      </c>
      <c r="O4774" s="626">
        <v>10</v>
      </c>
      <c r="P4774" s="744">
        <f t="shared" si="53"/>
        <v>16000</v>
      </c>
    </row>
    <row r="4775" spans="1:16" s="619" customFormat="1" ht="36" x14ac:dyDescent="0.2">
      <c r="A4775" s="626" t="s">
        <v>9498</v>
      </c>
      <c r="B4775" s="626" t="s">
        <v>1908</v>
      </c>
      <c r="C4775" s="638" t="s">
        <v>104</v>
      </c>
      <c r="D4775" s="626" t="s">
        <v>6198</v>
      </c>
      <c r="E4775" s="647">
        <v>1800</v>
      </c>
      <c r="F4775" s="626" t="s">
        <v>9699</v>
      </c>
      <c r="G4775" s="626" t="s">
        <v>9700</v>
      </c>
      <c r="H4775" s="626" t="s">
        <v>6198</v>
      </c>
      <c r="I4775" s="626" t="s">
        <v>3768</v>
      </c>
      <c r="J4775" s="638" t="s">
        <v>3523</v>
      </c>
      <c r="K4775" s="745">
        <v>76</v>
      </c>
      <c r="L4775" s="638">
        <v>12</v>
      </c>
      <c r="M4775" s="746">
        <f t="shared" si="52"/>
        <v>21600</v>
      </c>
      <c r="N4775" s="743">
        <v>82</v>
      </c>
      <c r="O4775" s="626">
        <v>12</v>
      </c>
      <c r="P4775" s="744">
        <f t="shared" si="53"/>
        <v>21600</v>
      </c>
    </row>
    <row r="4776" spans="1:16" s="619" customFormat="1" ht="36" x14ac:dyDescent="0.2">
      <c r="A4776" s="626" t="s">
        <v>9498</v>
      </c>
      <c r="B4776" s="626" t="s">
        <v>1908</v>
      </c>
      <c r="C4776" s="638" t="s">
        <v>104</v>
      </c>
      <c r="D4776" s="626" t="s">
        <v>2660</v>
      </c>
      <c r="E4776" s="647">
        <v>1800</v>
      </c>
      <c r="F4776" s="626" t="s">
        <v>9701</v>
      </c>
      <c r="G4776" s="626" t="s">
        <v>9702</v>
      </c>
      <c r="H4776" s="626" t="s">
        <v>2660</v>
      </c>
      <c r="I4776" s="626" t="s">
        <v>3768</v>
      </c>
      <c r="J4776" s="638" t="s">
        <v>9501</v>
      </c>
      <c r="K4776" s="745"/>
      <c r="L4776" s="638">
        <v>0</v>
      </c>
      <c r="M4776" s="746">
        <f t="shared" si="52"/>
        <v>0</v>
      </c>
      <c r="N4776" s="743">
        <v>83</v>
      </c>
      <c r="O4776" s="626">
        <v>12</v>
      </c>
      <c r="P4776" s="744">
        <f t="shared" si="53"/>
        <v>21600</v>
      </c>
    </row>
    <row r="4777" spans="1:16" s="619" customFormat="1" ht="24" x14ac:dyDescent="0.2">
      <c r="A4777" s="626" t="s">
        <v>9498</v>
      </c>
      <c r="B4777" s="626" t="s">
        <v>1908</v>
      </c>
      <c r="C4777" s="638" t="s">
        <v>104</v>
      </c>
      <c r="D4777" s="626" t="s">
        <v>2087</v>
      </c>
      <c r="E4777" s="647">
        <v>1000</v>
      </c>
      <c r="F4777" s="626" t="s">
        <v>9703</v>
      </c>
      <c r="G4777" s="626" t="s">
        <v>9704</v>
      </c>
      <c r="H4777" s="626" t="s">
        <v>2087</v>
      </c>
      <c r="I4777" s="626" t="s">
        <v>3768</v>
      </c>
      <c r="J4777" s="638" t="s">
        <v>9501</v>
      </c>
      <c r="K4777" s="745">
        <v>77</v>
      </c>
      <c r="L4777" s="638">
        <v>12</v>
      </c>
      <c r="M4777" s="746">
        <f t="shared" si="52"/>
        <v>12000</v>
      </c>
      <c r="N4777" s="743">
        <v>84</v>
      </c>
      <c r="O4777" s="626">
        <v>12</v>
      </c>
      <c r="P4777" s="744">
        <f t="shared" si="53"/>
        <v>12000</v>
      </c>
    </row>
    <row r="4778" spans="1:16" s="619" customFormat="1" ht="36" x14ac:dyDescent="0.2">
      <c r="A4778" s="626" t="s">
        <v>9498</v>
      </c>
      <c r="B4778" s="626" t="s">
        <v>1908</v>
      </c>
      <c r="C4778" s="638" t="s">
        <v>104</v>
      </c>
      <c r="D4778" s="626" t="s">
        <v>6158</v>
      </c>
      <c r="E4778" s="647">
        <v>930</v>
      </c>
      <c r="F4778" s="626" t="s">
        <v>9705</v>
      </c>
      <c r="G4778" s="626" t="s">
        <v>9706</v>
      </c>
      <c r="H4778" s="626" t="s">
        <v>6158</v>
      </c>
      <c r="I4778" s="626" t="s">
        <v>3614</v>
      </c>
      <c r="J4778" s="638" t="s">
        <v>8667</v>
      </c>
      <c r="K4778" s="745">
        <v>78</v>
      </c>
      <c r="L4778" s="638">
        <v>12</v>
      </c>
      <c r="M4778" s="746">
        <f t="shared" si="52"/>
        <v>11160</v>
      </c>
      <c r="N4778" s="743">
        <v>85</v>
      </c>
      <c r="O4778" s="626">
        <v>12</v>
      </c>
      <c r="P4778" s="744">
        <f t="shared" si="53"/>
        <v>11160</v>
      </c>
    </row>
    <row r="4779" spans="1:16" s="619" customFormat="1" ht="36" x14ac:dyDescent="0.2">
      <c r="A4779" s="626" t="s">
        <v>9498</v>
      </c>
      <c r="B4779" s="626" t="s">
        <v>1908</v>
      </c>
      <c r="C4779" s="638" t="s">
        <v>104</v>
      </c>
      <c r="D4779" s="626" t="s">
        <v>3548</v>
      </c>
      <c r="E4779" s="647">
        <v>1000</v>
      </c>
      <c r="F4779" s="626" t="s">
        <v>9707</v>
      </c>
      <c r="G4779" s="626" t="s">
        <v>9708</v>
      </c>
      <c r="H4779" s="626" t="s">
        <v>3548</v>
      </c>
      <c r="I4779" s="626" t="s">
        <v>3614</v>
      </c>
      <c r="J4779" s="638" t="s">
        <v>8667</v>
      </c>
      <c r="K4779" s="745">
        <v>79</v>
      </c>
      <c r="L4779" s="638">
        <v>12</v>
      </c>
      <c r="M4779" s="746">
        <f t="shared" si="52"/>
        <v>12000</v>
      </c>
      <c r="N4779" s="743">
        <v>86</v>
      </c>
      <c r="O4779" s="626">
        <v>12</v>
      </c>
      <c r="P4779" s="744">
        <f t="shared" si="53"/>
        <v>12000</v>
      </c>
    </row>
    <row r="4780" spans="1:16" s="619" customFormat="1" ht="24" x14ac:dyDescent="0.2">
      <c r="A4780" s="626" t="s">
        <v>9498</v>
      </c>
      <c r="B4780" s="626" t="s">
        <v>1908</v>
      </c>
      <c r="C4780" s="638" t="s">
        <v>104</v>
      </c>
      <c r="D4780" s="626" t="s">
        <v>2660</v>
      </c>
      <c r="E4780" s="647">
        <v>930</v>
      </c>
      <c r="F4780" s="626" t="s">
        <v>9709</v>
      </c>
      <c r="G4780" s="626" t="s">
        <v>9710</v>
      </c>
      <c r="H4780" s="626" t="s">
        <v>2660</v>
      </c>
      <c r="I4780" s="626" t="s">
        <v>3768</v>
      </c>
      <c r="J4780" s="638" t="s">
        <v>9501</v>
      </c>
      <c r="K4780" s="745"/>
      <c r="L4780" s="638">
        <v>0</v>
      </c>
      <c r="M4780" s="746">
        <f t="shared" si="52"/>
        <v>0</v>
      </c>
      <c r="N4780" s="743">
        <v>87</v>
      </c>
      <c r="O4780" s="626">
        <v>12</v>
      </c>
      <c r="P4780" s="744">
        <f t="shared" si="53"/>
        <v>11160</v>
      </c>
    </row>
    <row r="4781" spans="1:16" s="619" customFormat="1" ht="36" x14ac:dyDescent="0.2">
      <c r="A4781" s="626" t="s">
        <v>9498</v>
      </c>
      <c r="B4781" s="626" t="s">
        <v>1908</v>
      </c>
      <c r="C4781" s="638" t="s">
        <v>104</v>
      </c>
      <c r="D4781" s="626" t="s">
        <v>2660</v>
      </c>
      <c r="E4781" s="647">
        <v>930</v>
      </c>
      <c r="F4781" s="626" t="s">
        <v>9711</v>
      </c>
      <c r="G4781" s="626" t="s">
        <v>9712</v>
      </c>
      <c r="H4781" s="626" t="s">
        <v>2660</v>
      </c>
      <c r="I4781" s="626" t="s">
        <v>3768</v>
      </c>
      <c r="J4781" s="638" t="s">
        <v>9501</v>
      </c>
      <c r="K4781" s="745"/>
      <c r="L4781" s="638">
        <v>0</v>
      </c>
      <c r="M4781" s="746">
        <f t="shared" si="52"/>
        <v>0</v>
      </c>
      <c r="N4781" s="638">
        <v>292</v>
      </c>
      <c r="O4781" s="626">
        <v>10</v>
      </c>
      <c r="P4781" s="744">
        <f t="shared" si="53"/>
        <v>9300</v>
      </c>
    </row>
    <row r="4782" spans="1:16" s="619" customFormat="1" ht="36" x14ac:dyDescent="0.2">
      <c r="A4782" s="626" t="s">
        <v>9498</v>
      </c>
      <c r="B4782" s="626" t="s">
        <v>1908</v>
      </c>
      <c r="C4782" s="638" t="s">
        <v>104</v>
      </c>
      <c r="D4782" s="626" t="s">
        <v>2660</v>
      </c>
      <c r="E4782" s="647">
        <v>1000</v>
      </c>
      <c r="F4782" s="626" t="s">
        <v>9713</v>
      </c>
      <c r="G4782" s="626" t="s">
        <v>9714</v>
      </c>
      <c r="H4782" s="626" t="s">
        <v>2660</v>
      </c>
      <c r="I4782" s="626" t="s">
        <v>3768</v>
      </c>
      <c r="J4782" s="638" t="s">
        <v>9501</v>
      </c>
      <c r="K4782" s="745">
        <v>80</v>
      </c>
      <c r="L4782" s="638">
        <v>12</v>
      </c>
      <c r="M4782" s="746">
        <f t="shared" si="52"/>
        <v>12000</v>
      </c>
      <c r="N4782" s="743">
        <v>88</v>
      </c>
      <c r="O4782" s="626">
        <v>12</v>
      </c>
      <c r="P4782" s="744">
        <f t="shared" si="53"/>
        <v>12000</v>
      </c>
    </row>
    <row r="4783" spans="1:16" s="619" customFormat="1" ht="36" x14ac:dyDescent="0.2">
      <c r="A4783" s="626" t="s">
        <v>9498</v>
      </c>
      <c r="B4783" s="626" t="s">
        <v>1908</v>
      </c>
      <c r="C4783" s="638" t="s">
        <v>104</v>
      </c>
      <c r="D4783" s="626" t="s">
        <v>6299</v>
      </c>
      <c r="E4783" s="647">
        <v>930</v>
      </c>
      <c r="F4783" s="626" t="s">
        <v>9715</v>
      </c>
      <c r="G4783" s="626" t="s">
        <v>9716</v>
      </c>
      <c r="H4783" s="626" t="s">
        <v>6299</v>
      </c>
      <c r="I4783" s="626" t="s">
        <v>3674</v>
      </c>
      <c r="J4783" s="638" t="s">
        <v>9501</v>
      </c>
      <c r="K4783" s="745"/>
      <c r="L4783" s="638">
        <v>0</v>
      </c>
      <c r="M4783" s="746">
        <f t="shared" si="52"/>
        <v>0</v>
      </c>
      <c r="N4783" s="638">
        <v>317</v>
      </c>
      <c r="O4783" s="626">
        <v>6</v>
      </c>
      <c r="P4783" s="744">
        <f t="shared" si="53"/>
        <v>5580</v>
      </c>
    </row>
    <row r="4784" spans="1:16" s="619" customFormat="1" ht="24" x14ac:dyDescent="0.2">
      <c r="A4784" s="626" t="s">
        <v>9498</v>
      </c>
      <c r="B4784" s="626" t="s">
        <v>1908</v>
      </c>
      <c r="C4784" s="638" t="s">
        <v>104</v>
      </c>
      <c r="D4784" s="626" t="s">
        <v>2660</v>
      </c>
      <c r="E4784" s="647">
        <v>930</v>
      </c>
      <c r="F4784" s="626" t="s">
        <v>9717</v>
      </c>
      <c r="G4784" s="626" t="s">
        <v>9718</v>
      </c>
      <c r="H4784" s="626" t="s">
        <v>2660</v>
      </c>
      <c r="I4784" s="626" t="s">
        <v>3768</v>
      </c>
      <c r="J4784" s="638" t="s">
        <v>9501</v>
      </c>
      <c r="K4784" s="745">
        <v>81</v>
      </c>
      <c r="L4784" s="638">
        <v>12</v>
      </c>
      <c r="M4784" s="746">
        <f t="shared" si="52"/>
        <v>11160</v>
      </c>
      <c r="N4784" s="743">
        <v>89</v>
      </c>
      <c r="O4784" s="626">
        <v>12</v>
      </c>
      <c r="P4784" s="744">
        <f t="shared" si="53"/>
        <v>11160</v>
      </c>
    </row>
    <row r="4785" spans="1:16" s="619" customFormat="1" ht="48" x14ac:dyDescent="0.2">
      <c r="A4785" s="626" t="s">
        <v>9498</v>
      </c>
      <c r="B4785" s="626" t="s">
        <v>1908</v>
      </c>
      <c r="C4785" s="638" t="s">
        <v>104</v>
      </c>
      <c r="D4785" s="626" t="s">
        <v>3548</v>
      </c>
      <c r="E4785" s="647">
        <v>930</v>
      </c>
      <c r="F4785" s="626" t="s">
        <v>9719</v>
      </c>
      <c r="G4785" s="626" t="s">
        <v>9720</v>
      </c>
      <c r="H4785" s="626" t="s">
        <v>3548</v>
      </c>
      <c r="I4785" s="626" t="s">
        <v>3614</v>
      </c>
      <c r="J4785" s="638" t="s">
        <v>8667</v>
      </c>
      <c r="K4785" s="745">
        <v>82</v>
      </c>
      <c r="L4785" s="638">
        <v>12</v>
      </c>
      <c r="M4785" s="746">
        <f t="shared" si="52"/>
        <v>11160</v>
      </c>
      <c r="N4785" s="743">
        <v>90</v>
      </c>
      <c r="O4785" s="626">
        <v>12</v>
      </c>
      <c r="P4785" s="744">
        <f t="shared" si="53"/>
        <v>11160</v>
      </c>
    </row>
    <row r="4786" spans="1:16" s="619" customFormat="1" ht="36" x14ac:dyDescent="0.2">
      <c r="A4786" s="626" t="s">
        <v>9498</v>
      </c>
      <c r="B4786" s="626" t="s">
        <v>1908</v>
      </c>
      <c r="C4786" s="638" t="s">
        <v>104</v>
      </c>
      <c r="D4786" s="626" t="s">
        <v>2660</v>
      </c>
      <c r="E4786" s="647">
        <v>930</v>
      </c>
      <c r="F4786" s="626" t="s">
        <v>9721</v>
      </c>
      <c r="G4786" s="626" t="s">
        <v>9722</v>
      </c>
      <c r="H4786" s="626" t="s">
        <v>2660</v>
      </c>
      <c r="I4786" s="626" t="s">
        <v>3768</v>
      </c>
      <c r="J4786" s="638" t="s">
        <v>9501</v>
      </c>
      <c r="K4786" s="745"/>
      <c r="L4786" s="638">
        <v>0</v>
      </c>
      <c r="M4786" s="746">
        <f t="shared" si="52"/>
        <v>0</v>
      </c>
      <c r="N4786" s="638">
        <v>293</v>
      </c>
      <c r="O4786" s="626">
        <v>10</v>
      </c>
      <c r="P4786" s="744">
        <f t="shared" si="53"/>
        <v>9300</v>
      </c>
    </row>
    <row r="4787" spans="1:16" s="619" customFormat="1" ht="24" x14ac:dyDescent="0.2">
      <c r="A4787" s="626" t="s">
        <v>9498</v>
      </c>
      <c r="B4787" s="626" t="s">
        <v>1908</v>
      </c>
      <c r="C4787" s="638" t="s">
        <v>104</v>
      </c>
      <c r="D4787" s="626" t="s">
        <v>2660</v>
      </c>
      <c r="E4787" s="647">
        <v>930</v>
      </c>
      <c r="F4787" s="626" t="s">
        <v>9723</v>
      </c>
      <c r="G4787" s="626" t="s">
        <v>9724</v>
      </c>
      <c r="H4787" s="626" t="s">
        <v>2660</v>
      </c>
      <c r="I4787" s="626" t="s">
        <v>3768</v>
      </c>
      <c r="J4787" s="638" t="s">
        <v>9501</v>
      </c>
      <c r="K4787" s="745">
        <v>83</v>
      </c>
      <c r="L4787" s="638">
        <v>12</v>
      </c>
      <c r="M4787" s="746">
        <f t="shared" si="52"/>
        <v>11160</v>
      </c>
      <c r="N4787" s="743">
        <v>91</v>
      </c>
      <c r="O4787" s="626">
        <v>12</v>
      </c>
      <c r="P4787" s="744">
        <f t="shared" si="53"/>
        <v>11160</v>
      </c>
    </row>
    <row r="4788" spans="1:16" s="619" customFormat="1" ht="36" x14ac:dyDescent="0.2">
      <c r="A4788" s="626" t="s">
        <v>9498</v>
      </c>
      <c r="B4788" s="626" t="s">
        <v>1908</v>
      </c>
      <c r="C4788" s="638" t="s">
        <v>104</v>
      </c>
      <c r="D4788" s="626" t="s">
        <v>2055</v>
      </c>
      <c r="E4788" s="647">
        <v>2000</v>
      </c>
      <c r="F4788" s="626" t="s">
        <v>9725</v>
      </c>
      <c r="G4788" s="626" t="s">
        <v>9726</v>
      </c>
      <c r="H4788" s="626" t="s">
        <v>2055</v>
      </c>
      <c r="I4788" s="626" t="s">
        <v>1931</v>
      </c>
      <c r="J4788" s="638" t="s">
        <v>9501</v>
      </c>
      <c r="K4788" s="745">
        <v>84</v>
      </c>
      <c r="L4788" s="638">
        <v>12</v>
      </c>
      <c r="M4788" s="746">
        <f t="shared" si="52"/>
        <v>24000</v>
      </c>
      <c r="N4788" s="743">
        <v>92</v>
      </c>
      <c r="O4788" s="626">
        <v>12</v>
      </c>
      <c r="P4788" s="744">
        <f t="shared" si="53"/>
        <v>24000</v>
      </c>
    </row>
    <row r="4789" spans="1:16" s="619" customFormat="1" ht="48" x14ac:dyDescent="0.2">
      <c r="A4789" s="626" t="s">
        <v>9498</v>
      </c>
      <c r="B4789" s="626" t="s">
        <v>1908</v>
      </c>
      <c r="C4789" s="638" t="s">
        <v>104</v>
      </c>
      <c r="D4789" s="626" t="s">
        <v>6158</v>
      </c>
      <c r="E4789" s="647">
        <v>1000</v>
      </c>
      <c r="F4789" s="626" t="s">
        <v>9727</v>
      </c>
      <c r="G4789" s="626" t="s">
        <v>9728</v>
      </c>
      <c r="H4789" s="626" t="s">
        <v>6158</v>
      </c>
      <c r="I4789" s="626" t="s">
        <v>3614</v>
      </c>
      <c r="J4789" s="638" t="s">
        <v>8667</v>
      </c>
      <c r="K4789" s="745">
        <v>85</v>
      </c>
      <c r="L4789" s="638">
        <v>12</v>
      </c>
      <c r="M4789" s="746">
        <f t="shared" si="52"/>
        <v>12000</v>
      </c>
      <c r="N4789" s="743">
        <v>93</v>
      </c>
      <c r="O4789" s="626">
        <v>12</v>
      </c>
      <c r="P4789" s="744">
        <f t="shared" si="53"/>
        <v>12000</v>
      </c>
    </row>
    <row r="4790" spans="1:16" s="619" customFormat="1" ht="36" x14ac:dyDescent="0.2">
      <c r="A4790" s="626" t="s">
        <v>9498</v>
      </c>
      <c r="B4790" s="626" t="s">
        <v>1908</v>
      </c>
      <c r="C4790" s="638" t="s">
        <v>104</v>
      </c>
      <c r="D4790" s="626" t="s">
        <v>6092</v>
      </c>
      <c r="E4790" s="647">
        <v>1800</v>
      </c>
      <c r="F4790" s="626" t="s">
        <v>9729</v>
      </c>
      <c r="G4790" s="626" t="s">
        <v>9730</v>
      </c>
      <c r="H4790" s="626" t="s">
        <v>6092</v>
      </c>
      <c r="I4790" s="626" t="s">
        <v>3768</v>
      </c>
      <c r="J4790" s="638" t="s">
        <v>3523</v>
      </c>
      <c r="K4790" s="745">
        <v>86</v>
      </c>
      <c r="L4790" s="638">
        <v>12</v>
      </c>
      <c r="M4790" s="746">
        <f t="shared" si="52"/>
        <v>21600</v>
      </c>
      <c r="N4790" s="743">
        <v>94</v>
      </c>
      <c r="O4790" s="626">
        <v>12</v>
      </c>
      <c r="P4790" s="744">
        <f t="shared" si="53"/>
        <v>21600</v>
      </c>
    </row>
    <row r="4791" spans="1:16" s="619" customFormat="1" ht="24" x14ac:dyDescent="0.2">
      <c r="A4791" s="626" t="s">
        <v>9498</v>
      </c>
      <c r="B4791" s="626" t="s">
        <v>1908</v>
      </c>
      <c r="C4791" s="638" t="s">
        <v>104</v>
      </c>
      <c r="D4791" s="626" t="s">
        <v>3548</v>
      </c>
      <c r="E4791" s="647">
        <v>930</v>
      </c>
      <c r="F4791" s="626" t="s">
        <v>9731</v>
      </c>
      <c r="G4791" s="626" t="s">
        <v>9732</v>
      </c>
      <c r="H4791" s="626" t="s">
        <v>3548</v>
      </c>
      <c r="I4791" s="626" t="s">
        <v>3614</v>
      </c>
      <c r="J4791" s="638" t="s">
        <v>8667</v>
      </c>
      <c r="K4791" s="745">
        <v>87</v>
      </c>
      <c r="L4791" s="638">
        <v>12</v>
      </c>
      <c r="M4791" s="746">
        <f t="shared" si="52"/>
        <v>11160</v>
      </c>
      <c r="N4791" s="743">
        <v>95</v>
      </c>
      <c r="O4791" s="626">
        <v>12</v>
      </c>
      <c r="P4791" s="744">
        <f t="shared" si="53"/>
        <v>11160</v>
      </c>
    </row>
    <row r="4792" spans="1:16" s="619" customFormat="1" ht="36" x14ac:dyDescent="0.2">
      <c r="A4792" s="626" t="s">
        <v>9498</v>
      </c>
      <c r="B4792" s="626" t="s">
        <v>1908</v>
      </c>
      <c r="C4792" s="638" t="s">
        <v>104</v>
      </c>
      <c r="D4792" s="626" t="s">
        <v>6092</v>
      </c>
      <c r="E4792" s="647">
        <v>1600</v>
      </c>
      <c r="F4792" s="626" t="s">
        <v>9733</v>
      </c>
      <c r="G4792" s="626" t="s">
        <v>9734</v>
      </c>
      <c r="H4792" s="626" t="s">
        <v>6092</v>
      </c>
      <c r="I4792" s="626" t="s">
        <v>3768</v>
      </c>
      <c r="J4792" s="638" t="s">
        <v>3523</v>
      </c>
      <c r="K4792" s="745">
        <v>89</v>
      </c>
      <c r="L4792" s="638">
        <v>12</v>
      </c>
      <c r="M4792" s="746">
        <f t="shared" si="52"/>
        <v>19200</v>
      </c>
      <c r="N4792" s="743">
        <v>96</v>
      </c>
      <c r="O4792" s="626">
        <v>12</v>
      </c>
      <c r="P4792" s="744">
        <f t="shared" si="53"/>
        <v>19200</v>
      </c>
    </row>
    <row r="4793" spans="1:16" s="619" customFormat="1" ht="24" x14ac:dyDescent="0.2">
      <c r="A4793" s="626" t="s">
        <v>9498</v>
      </c>
      <c r="B4793" s="626" t="s">
        <v>1908</v>
      </c>
      <c r="C4793" s="638" t="s">
        <v>104</v>
      </c>
      <c r="D4793" s="626" t="s">
        <v>2660</v>
      </c>
      <c r="E4793" s="647">
        <v>1000</v>
      </c>
      <c r="F4793" s="626" t="s">
        <v>9735</v>
      </c>
      <c r="G4793" s="626" t="s">
        <v>9736</v>
      </c>
      <c r="H4793" s="626" t="s">
        <v>2660</v>
      </c>
      <c r="I4793" s="626" t="s">
        <v>3768</v>
      </c>
      <c r="J4793" s="638" t="s">
        <v>9501</v>
      </c>
      <c r="K4793" s="745">
        <v>90</v>
      </c>
      <c r="L4793" s="638">
        <v>12</v>
      </c>
      <c r="M4793" s="746">
        <f t="shared" si="52"/>
        <v>12000</v>
      </c>
      <c r="N4793" s="743">
        <v>97</v>
      </c>
      <c r="O4793" s="626">
        <v>12</v>
      </c>
      <c r="P4793" s="744">
        <f t="shared" si="53"/>
        <v>12000</v>
      </c>
    </row>
    <row r="4794" spans="1:16" s="619" customFormat="1" ht="36" x14ac:dyDescent="0.2">
      <c r="A4794" s="626" t="s">
        <v>9498</v>
      </c>
      <c r="B4794" s="626" t="s">
        <v>1908</v>
      </c>
      <c r="C4794" s="638" t="s">
        <v>104</v>
      </c>
      <c r="D4794" s="626" t="s">
        <v>6092</v>
      </c>
      <c r="E4794" s="647">
        <v>1600</v>
      </c>
      <c r="F4794" s="626" t="s">
        <v>9737</v>
      </c>
      <c r="G4794" s="626" t="s">
        <v>9738</v>
      </c>
      <c r="H4794" s="626" t="s">
        <v>6092</v>
      </c>
      <c r="I4794" s="626" t="s">
        <v>3768</v>
      </c>
      <c r="J4794" s="638" t="s">
        <v>3523</v>
      </c>
      <c r="K4794" s="745"/>
      <c r="L4794" s="638">
        <v>0</v>
      </c>
      <c r="M4794" s="746">
        <f t="shared" si="52"/>
        <v>0</v>
      </c>
      <c r="N4794" s="638">
        <v>294</v>
      </c>
      <c r="O4794" s="626">
        <v>10</v>
      </c>
      <c r="P4794" s="744">
        <f t="shared" si="53"/>
        <v>16000</v>
      </c>
    </row>
    <row r="4795" spans="1:16" s="619" customFormat="1" ht="36" x14ac:dyDescent="0.2">
      <c r="A4795" s="626" t="s">
        <v>9498</v>
      </c>
      <c r="B4795" s="626" t="s">
        <v>1908</v>
      </c>
      <c r="C4795" s="638" t="s">
        <v>104</v>
      </c>
      <c r="D4795" s="626" t="s">
        <v>6120</v>
      </c>
      <c r="E4795" s="647">
        <v>1000</v>
      </c>
      <c r="F4795" s="626" t="s">
        <v>9739</v>
      </c>
      <c r="G4795" s="626" t="s">
        <v>9740</v>
      </c>
      <c r="H4795" s="626" t="s">
        <v>6120</v>
      </c>
      <c r="I4795" s="626" t="s">
        <v>1931</v>
      </c>
      <c r="J4795" s="638" t="s">
        <v>9501</v>
      </c>
      <c r="K4795" s="745">
        <v>91</v>
      </c>
      <c r="L4795" s="638">
        <v>12</v>
      </c>
      <c r="M4795" s="746">
        <f t="shared" si="52"/>
        <v>12000</v>
      </c>
      <c r="N4795" s="743">
        <v>98</v>
      </c>
      <c r="O4795" s="626">
        <v>12</v>
      </c>
      <c r="P4795" s="744">
        <f t="shared" si="53"/>
        <v>12000</v>
      </c>
    </row>
    <row r="4796" spans="1:16" s="619" customFormat="1" ht="36" x14ac:dyDescent="0.2">
      <c r="A4796" s="626" t="s">
        <v>9498</v>
      </c>
      <c r="B4796" s="626" t="s">
        <v>1908</v>
      </c>
      <c r="C4796" s="638" t="s">
        <v>104</v>
      </c>
      <c r="D4796" s="626" t="s">
        <v>9741</v>
      </c>
      <c r="E4796" s="647">
        <v>1000</v>
      </c>
      <c r="F4796" s="626" t="s">
        <v>9742</v>
      </c>
      <c r="G4796" s="626" t="s">
        <v>9743</v>
      </c>
      <c r="H4796" s="626" t="s">
        <v>9741</v>
      </c>
      <c r="I4796" s="626" t="s">
        <v>1931</v>
      </c>
      <c r="J4796" s="638" t="s">
        <v>9501</v>
      </c>
      <c r="K4796" s="745">
        <v>92</v>
      </c>
      <c r="L4796" s="638">
        <v>12</v>
      </c>
      <c r="M4796" s="746">
        <f t="shared" si="52"/>
        <v>12000</v>
      </c>
      <c r="N4796" s="743">
        <v>99</v>
      </c>
      <c r="O4796" s="626">
        <v>12</v>
      </c>
      <c r="P4796" s="744">
        <f t="shared" si="53"/>
        <v>12000</v>
      </c>
    </row>
    <row r="4797" spans="1:16" s="619" customFormat="1" ht="36" x14ac:dyDescent="0.2">
      <c r="A4797" s="626" t="s">
        <v>9498</v>
      </c>
      <c r="B4797" s="626" t="s">
        <v>1908</v>
      </c>
      <c r="C4797" s="638" t="s">
        <v>104</v>
      </c>
      <c r="D4797" s="626" t="s">
        <v>2764</v>
      </c>
      <c r="E4797" s="647">
        <v>1800</v>
      </c>
      <c r="F4797" s="626" t="s">
        <v>9744</v>
      </c>
      <c r="G4797" s="626" t="s">
        <v>9745</v>
      </c>
      <c r="H4797" s="626" t="s">
        <v>2764</v>
      </c>
      <c r="I4797" s="626" t="s">
        <v>3768</v>
      </c>
      <c r="J4797" s="638" t="s">
        <v>3523</v>
      </c>
      <c r="K4797" s="745">
        <v>93</v>
      </c>
      <c r="L4797" s="638">
        <v>12</v>
      </c>
      <c r="M4797" s="746">
        <f t="shared" si="52"/>
        <v>21600</v>
      </c>
      <c r="N4797" s="743">
        <v>100</v>
      </c>
      <c r="O4797" s="626">
        <v>12</v>
      </c>
      <c r="P4797" s="744">
        <f t="shared" si="53"/>
        <v>21600</v>
      </c>
    </row>
    <row r="4798" spans="1:16" s="619" customFormat="1" ht="36" x14ac:dyDescent="0.2">
      <c r="A4798" s="626" t="s">
        <v>9498</v>
      </c>
      <c r="B4798" s="626" t="s">
        <v>1908</v>
      </c>
      <c r="C4798" s="638" t="s">
        <v>104</v>
      </c>
      <c r="D4798" s="626" t="s">
        <v>3529</v>
      </c>
      <c r="E4798" s="647">
        <v>3300</v>
      </c>
      <c r="F4798" s="626" t="s">
        <v>9746</v>
      </c>
      <c r="G4798" s="626" t="s">
        <v>9747</v>
      </c>
      <c r="H4798" s="626" t="s">
        <v>3529</v>
      </c>
      <c r="I4798" s="626" t="s">
        <v>3768</v>
      </c>
      <c r="J4798" s="638" t="s">
        <v>3523</v>
      </c>
      <c r="K4798" s="745"/>
      <c r="L4798" s="638">
        <v>0</v>
      </c>
      <c r="M4798" s="746">
        <f t="shared" si="52"/>
        <v>0</v>
      </c>
      <c r="N4798" s="743">
        <v>101</v>
      </c>
      <c r="O4798" s="626">
        <v>12</v>
      </c>
      <c r="P4798" s="744">
        <f t="shared" si="53"/>
        <v>39600</v>
      </c>
    </row>
    <row r="4799" spans="1:16" s="619" customFormat="1" ht="24" x14ac:dyDescent="0.2">
      <c r="A4799" s="626" t="s">
        <v>9498</v>
      </c>
      <c r="B4799" s="626" t="s">
        <v>1908</v>
      </c>
      <c r="C4799" s="638" t="s">
        <v>104</v>
      </c>
      <c r="D4799" s="626" t="s">
        <v>6101</v>
      </c>
      <c r="E4799" s="647">
        <v>1800</v>
      </c>
      <c r="F4799" s="626" t="s">
        <v>9748</v>
      </c>
      <c r="G4799" s="626" t="s">
        <v>9749</v>
      </c>
      <c r="H4799" s="626" t="s">
        <v>6101</v>
      </c>
      <c r="I4799" s="626" t="s">
        <v>3768</v>
      </c>
      <c r="J4799" s="638" t="s">
        <v>3523</v>
      </c>
      <c r="K4799" s="745">
        <v>94</v>
      </c>
      <c r="L4799" s="638">
        <v>12</v>
      </c>
      <c r="M4799" s="746">
        <f t="shared" si="52"/>
        <v>21600</v>
      </c>
      <c r="N4799" s="743">
        <v>102</v>
      </c>
      <c r="O4799" s="626">
        <v>12</v>
      </c>
      <c r="P4799" s="744">
        <f t="shared" si="53"/>
        <v>21600</v>
      </c>
    </row>
    <row r="4800" spans="1:16" s="619" customFormat="1" ht="36" x14ac:dyDescent="0.2">
      <c r="A4800" s="626" t="s">
        <v>9498</v>
      </c>
      <c r="B4800" s="626" t="s">
        <v>1908</v>
      </c>
      <c r="C4800" s="638" t="s">
        <v>104</v>
      </c>
      <c r="D4800" s="626" t="s">
        <v>3548</v>
      </c>
      <c r="E4800" s="647">
        <v>930</v>
      </c>
      <c r="F4800" s="626" t="s">
        <v>9750</v>
      </c>
      <c r="G4800" s="626" t="s">
        <v>9751</v>
      </c>
      <c r="H4800" s="626" t="s">
        <v>3548</v>
      </c>
      <c r="I4800" s="626" t="s">
        <v>3614</v>
      </c>
      <c r="J4800" s="638" t="s">
        <v>8667</v>
      </c>
      <c r="K4800" s="745">
        <v>95</v>
      </c>
      <c r="L4800" s="638">
        <v>12</v>
      </c>
      <c r="M4800" s="746">
        <f t="shared" si="52"/>
        <v>11160</v>
      </c>
      <c r="N4800" s="743">
        <v>103</v>
      </c>
      <c r="O4800" s="626">
        <v>12</v>
      </c>
      <c r="P4800" s="744">
        <f t="shared" si="53"/>
        <v>11160</v>
      </c>
    </row>
    <row r="4801" spans="1:16" s="619" customFormat="1" ht="36" x14ac:dyDescent="0.2">
      <c r="A4801" s="626" t="s">
        <v>9498</v>
      </c>
      <c r="B4801" s="626" t="s">
        <v>1908</v>
      </c>
      <c r="C4801" s="638" t="s">
        <v>104</v>
      </c>
      <c r="D4801" s="626" t="s">
        <v>7740</v>
      </c>
      <c r="E4801" s="647">
        <v>2000</v>
      </c>
      <c r="F4801" s="626" t="s">
        <v>9752</v>
      </c>
      <c r="G4801" s="626" t="s">
        <v>9753</v>
      </c>
      <c r="H4801" s="626" t="s">
        <v>7740</v>
      </c>
      <c r="I4801" s="626" t="s">
        <v>3768</v>
      </c>
      <c r="J4801" s="638" t="s">
        <v>3523</v>
      </c>
      <c r="K4801" s="745">
        <v>96</v>
      </c>
      <c r="L4801" s="638">
        <v>12</v>
      </c>
      <c r="M4801" s="746">
        <f t="shared" si="52"/>
        <v>24000</v>
      </c>
      <c r="N4801" s="743">
        <v>104</v>
      </c>
      <c r="O4801" s="626">
        <v>12</v>
      </c>
      <c r="P4801" s="744">
        <f t="shared" si="53"/>
        <v>24000</v>
      </c>
    </row>
    <row r="4802" spans="1:16" s="619" customFormat="1" ht="36" x14ac:dyDescent="0.2">
      <c r="A4802" s="626" t="s">
        <v>9498</v>
      </c>
      <c r="B4802" s="626" t="s">
        <v>1908</v>
      </c>
      <c r="C4802" s="638" t="s">
        <v>104</v>
      </c>
      <c r="D4802" s="626" t="s">
        <v>2660</v>
      </c>
      <c r="E4802" s="647">
        <v>1000</v>
      </c>
      <c r="F4802" s="626" t="s">
        <v>9754</v>
      </c>
      <c r="G4802" s="626" t="s">
        <v>9755</v>
      </c>
      <c r="H4802" s="626" t="s">
        <v>2660</v>
      </c>
      <c r="I4802" s="626" t="s">
        <v>3768</v>
      </c>
      <c r="J4802" s="638" t="s">
        <v>9501</v>
      </c>
      <c r="K4802" s="745">
        <v>97</v>
      </c>
      <c r="L4802" s="638">
        <v>12</v>
      </c>
      <c r="M4802" s="746">
        <f t="shared" si="52"/>
        <v>12000</v>
      </c>
      <c r="N4802" s="743">
        <v>105</v>
      </c>
      <c r="O4802" s="626">
        <v>12</v>
      </c>
      <c r="P4802" s="744">
        <f t="shared" si="53"/>
        <v>12000</v>
      </c>
    </row>
    <row r="4803" spans="1:16" s="619" customFormat="1" ht="36" x14ac:dyDescent="0.2">
      <c r="A4803" s="626" t="s">
        <v>9498</v>
      </c>
      <c r="B4803" s="626" t="s">
        <v>1908</v>
      </c>
      <c r="C4803" s="638" t="s">
        <v>104</v>
      </c>
      <c r="D4803" s="626" t="s">
        <v>2660</v>
      </c>
      <c r="E4803" s="647">
        <v>2000</v>
      </c>
      <c r="F4803" s="626" t="s">
        <v>9756</v>
      </c>
      <c r="G4803" s="626" t="s">
        <v>9757</v>
      </c>
      <c r="H4803" s="626" t="s">
        <v>2660</v>
      </c>
      <c r="I4803" s="626" t="s">
        <v>3768</v>
      </c>
      <c r="J4803" s="638" t="s">
        <v>9501</v>
      </c>
      <c r="K4803" s="745"/>
      <c r="L4803" s="638">
        <v>0</v>
      </c>
      <c r="M4803" s="746">
        <f t="shared" si="52"/>
        <v>0</v>
      </c>
      <c r="N4803" s="743">
        <v>106</v>
      </c>
      <c r="O4803" s="626">
        <v>12</v>
      </c>
      <c r="P4803" s="744">
        <f t="shared" si="53"/>
        <v>24000</v>
      </c>
    </row>
    <row r="4804" spans="1:16" s="619" customFormat="1" ht="24" x14ac:dyDescent="0.2">
      <c r="A4804" s="626" t="s">
        <v>9498</v>
      </c>
      <c r="B4804" s="626" t="s">
        <v>1908</v>
      </c>
      <c r="C4804" s="638" t="s">
        <v>104</v>
      </c>
      <c r="D4804" s="626" t="s">
        <v>1996</v>
      </c>
      <c r="E4804" s="647">
        <v>930</v>
      </c>
      <c r="F4804" s="626" t="s">
        <v>9758</v>
      </c>
      <c r="G4804" s="626" t="s">
        <v>9759</v>
      </c>
      <c r="H4804" s="626" t="s">
        <v>1996</v>
      </c>
      <c r="I4804" s="626" t="s">
        <v>3614</v>
      </c>
      <c r="J4804" s="638" t="s">
        <v>8667</v>
      </c>
      <c r="K4804" s="745">
        <v>98</v>
      </c>
      <c r="L4804" s="638">
        <v>12</v>
      </c>
      <c r="M4804" s="746">
        <f t="shared" ref="M4804:M4867" si="54">+E4804*L4804</f>
        <v>11160</v>
      </c>
      <c r="N4804" s="743">
        <v>107</v>
      </c>
      <c r="O4804" s="626">
        <v>12</v>
      </c>
      <c r="P4804" s="744">
        <f t="shared" ref="P4804:P4867" si="55">+E4804*O4804</f>
        <v>11160</v>
      </c>
    </row>
    <row r="4805" spans="1:16" s="619" customFormat="1" ht="24" x14ac:dyDescent="0.2">
      <c r="A4805" s="626" t="s">
        <v>9498</v>
      </c>
      <c r="B4805" s="626" t="s">
        <v>1908</v>
      </c>
      <c r="C4805" s="638" t="s">
        <v>104</v>
      </c>
      <c r="D4805" s="626" t="s">
        <v>7626</v>
      </c>
      <c r="E4805" s="647">
        <v>1000</v>
      </c>
      <c r="F4805" s="626" t="s">
        <v>9760</v>
      </c>
      <c r="G4805" s="626" t="s">
        <v>9761</v>
      </c>
      <c r="H4805" s="626" t="s">
        <v>7626</v>
      </c>
      <c r="I4805" s="626" t="s">
        <v>1931</v>
      </c>
      <c r="J4805" s="638" t="s">
        <v>9501</v>
      </c>
      <c r="K4805" s="745">
        <v>99</v>
      </c>
      <c r="L4805" s="638">
        <v>12</v>
      </c>
      <c r="M4805" s="746">
        <f t="shared" si="54"/>
        <v>12000</v>
      </c>
      <c r="N4805" s="743">
        <v>108</v>
      </c>
      <c r="O4805" s="626">
        <v>12</v>
      </c>
      <c r="P4805" s="744">
        <f t="shared" si="55"/>
        <v>12000</v>
      </c>
    </row>
    <row r="4806" spans="1:16" s="619" customFormat="1" ht="36" x14ac:dyDescent="0.2">
      <c r="A4806" s="626" t="s">
        <v>9498</v>
      </c>
      <c r="B4806" s="626" t="s">
        <v>1908</v>
      </c>
      <c r="C4806" s="638" t="s">
        <v>104</v>
      </c>
      <c r="D4806" s="626" t="s">
        <v>6114</v>
      </c>
      <c r="E4806" s="647">
        <v>1000</v>
      </c>
      <c r="F4806" s="626" t="s">
        <v>9762</v>
      </c>
      <c r="G4806" s="626" t="s">
        <v>9763</v>
      </c>
      <c r="H4806" s="626" t="s">
        <v>6114</v>
      </c>
      <c r="I4806" s="626" t="s">
        <v>1931</v>
      </c>
      <c r="J4806" s="638" t="s">
        <v>9501</v>
      </c>
      <c r="K4806" s="745">
        <v>100</v>
      </c>
      <c r="L4806" s="638">
        <v>12</v>
      </c>
      <c r="M4806" s="746">
        <f t="shared" si="54"/>
        <v>12000</v>
      </c>
      <c r="N4806" s="743">
        <v>109</v>
      </c>
      <c r="O4806" s="626">
        <v>12</v>
      </c>
      <c r="P4806" s="744">
        <f t="shared" si="55"/>
        <v>12000</v>
      </c>
    </row>
    <row r="4807" spans="1:16" s="619" customFormat="1" ht="36" x14ac:dyDescent="0.2">
      <c r="A4807" s="626" t="s">
        <v>9498</v>
      </c>
      <c r="B4807" s="626" t="s">
        <v>1908</v>
      </c>
      <c r="C4807" s="638" t="s">
        <v>104</v>
      </c>
      <c r="D4807" s="626" t="s">
        <v>6187</v>
      </c>
      <c r="E4807" s="647">
        <v>1000</v>
      </c>
      <c r="F4807" s="626" t="s">
        <v>9764</v>
      </c>
      <c r="G4807" s="626" t="s">
        <v>9765</v>
      </c>
      <c r="H4807" s="626" t="s">
        <v>6120</v>
      </c>
      <c r="I4807" s="626" t="s">
        <v>1931</v>
      </c>
      <c r="J4807" s="638" t="s">
        <v>9501</v>
      </c>
      <c r="K4807" s="745">
        <v>101</v>
      </c>
      <c r="L4807" s="638">
        <v>12</v>
      </c>
      <c r="M4807" s="746">
        <f t="shared" si="54"/>
        <v>12000</v>
      </c>
      <c r="N4807" s="743">
        <v>110</v>
      </c>
      <c r="O4807" s="626">
        <v>12</v>
      </c>
      <c r="P4807" s="744">
        <f t="shared" si="55"/>
        <v>12000</v>
      </c>
    </row>
    <row r="4808" spans="1:16" s="619" customFormat="1" ht="24" x14ac:dyDescent="0.2">
      <c r="A4808" s="626" t="s">
        <v>9498</v>
      </c>
      <c r="B4808" s="626" t="s">
        <v>1908</v>
      </c>
      <c r="C4808" s="638" t="s">
        <v>104</v>
      </c>
      <c r="D4808" s="626" t="s">
        <v>2660</v>
      </c>
      <c r="E4808" s="647">
        <v>1000</v>
      </c>
      <c r="F4808" s="626" t="s">
        <v>9766</v>
      </c>
      <c r="G4808" s="626" t="s">
        <v>9767</v>
      </c>
      <c r="H4808" s="626" t="s">
        <v>2660</v>
      </c>
      <c r="I4808" s="626" t="s">
        <v>3768</v>
      </c>
      <c r="J4808" s="638" t="s">
        <v>9501</v>
      </c>
      <c r="K4808" s="745">
        <v>102</v>
      </c>
      <c r="L4808" s="638">
        <v>12</v>
      </c>
      <c r="M4808" s="746">
        <f t="shared" si="54"/>
        <v>12000</v>
      </c>
      <c r="N4808" s="743">
        <v>111</v>
      </c>
      <c r="O4808" s="626">
        <v>12</v>
      </c>
      <c r="P4808" s="744">
        <f t="shared" si="55"/>
        <v>12000</v>
      </c>
    </row>
    <row r="4809" spans="1:16" s="619" customFormat="1" ht="24" x14ac:dyDescent="0.2">
      <c r="A4809" s="626" t="s">
        <v>9498</v>
      </c>
      <c r="B4809" s="626" t="s">
        <v>1908</v>
      </c>
      <c r="C4809" s="638" t="s">
        <v>104</v>
      </c>
      <c r="D4809" s="626" t="s">
        <v>2660</v>
      </c>
      <c r="E4809" s="647">
        <v>930</v>
      </c>
      <c r="F4809" s="626" t="s">
        <v>9768</v>
      </c>
      <c r="G4809" s="626" t="s">
        <v>9769</v>
      </c>
      <c r="H4809" s="626" t="s">
        <v>2660</v>
      </c>
      <c r="I4809" s="626" t="s">
        <v>3768</v>
      </c>
      <c r="J4809" s="638" t="s">
        <v>9501</v>
      </c>
      <c r="K4809" s="745">
        <v>103</v>
      </c>
      <c r="L4809" s="638">
        <v>12</v>
      </c>
      <c r="M4809" s="746">
        <f t="shared" si="54"/>
        <v>11160</v>
      </c>
      <c r="N4809" s="743">
        <v>112</v>
      </c>
      <c r="O4809" s="626">
        <v>12</v>
      </c>
      <c r="P4809" s="744">
        <f t="shared" si="55"/>
        <v>11160</v>
      </c>
    </row>
    <row r="4810" spans="1:16" s="619" customFormat="1" ht="36" x14ac:dyDescent="0.2">
      <c r="A4810" s="626" t="s">
        <v>9498</v>
      </c>
      <c r="B4810" s="626" t="s">
        <v>1908</v>
      </c>
      <c r="C4810" s="638" t="s">
        <v>104</v>
      </c>
      <c r="D4810" s="626" t="s">
        <v>3548</v>
      </c>
      <c r="E4810" s="647">
        <v>930</v>
      </c>
      <c r="F4810" s="626" t="s">
        <v>9770</v>
      </c>
      <c r="G4810" s="626" t="s">
        <v>9771</v>
      </c>
      <c r="H4810" s="626" t="s">
        <v>3548</v>
      </c>
      <c r="I4810" s="626" t="s">
        <v>3614</v>
      </c>
      <c r="J4810" s="638" t="s">
        <v>8667</v>
      </c>
      <c r="K4810" s="745">
        <v>104</v>
      </c>
      <c r="L4810" s="638">
        <v>12</v>
      </c>
      <c r="M4810" s="746">
        <f t="shared" si="54"/>
        <v>11160</v>
      </c>
      <c r="N4810" s="743">
        <v>113</v>
      </c>
      <c r="O4810" s="626">
        <v>12</v>
      </c>
      <c r="P4810" s="744">
        <f t="shared" si="55"/>
        <v>11160</v>
      </c>
    </row>
    <row r="4811" spans="1:16" s="619" customFormat="1" ht="24" x14ac:dyDescent="0.2">
      <c r="A4811" s="626" t="s">
        <v>9498</v>
      </c>
      <c r="B4811" s="626" t="s">
        <v>1908</v>
      </c>
      <c r="C4811" s="638" t="s">
        <v>104</v>
      </c>
      <c r="D4811" s="626" t="s">
        <v>6092</v>
      </c>
      <c r="E4811" s="647">
        <v>1800</v>
      </c>
      <c r="F4811" s="626" t="s">
        <v>9772</v>
      </c>
      <c r="G4811" s="626" t="s">
        <v>9773</v>
      </c>
      <c r="H4811" s="626" t="s">
        <v>6092</v>
      </c>
      <c r="I4811" s="626" t="s">
        <v>3768</v>
      </c>
      <c r="J4811" s="638" t="s">
        <v>3523</v>
      </c>
      <c r="K4811" s="745">
        <v>105</v>
      </c>
      <c r="L4811" s="638">
        <v>12</v>
      </c>
      <c r="M4811" s="746">
        <f t="shared" si="54"/>
        <v>21600</v>
      </c>
      <c r="N4811" s="743">
        <v>114</v>
      </c>
      <c r="O4811" s="626">
        <v>12</v>
      </c>
      <c r="P4811" s="744">
        <f t="shared" si="55"/>
        <v>21600</v>
      </c>
    </row>
    <row r="4812" spans="1:16" s="619" customFormat="1" ht="36" x14ac:dyDescent="0.2">
      <c r="A4812" s="626" t="s">
        <v>9498</v>
      </c>
      <c r="B4812" s="626" t="s">
        <v>1908</v>
      </c>
      <c r="C4812" s="638" t="s">
        <v>104</v>
      </c>
      <c r="D4812" s="626" t="s">
        <v>6114</v>
      </c>
      <c r="E4812" s="647">
        <v>1000</v>
      </c>
      <c r="F4812" s="626" t="s">
        <v>9774</v>
      </c>
      <c r="G4812" s="626" t="s">
        <v>9775</v>
      </c>
      <c r="H4812" s="626" t="s">
        <v>6114</v>
      </c>
      <c r="I4812" s="626" t="s">
        <v>1931</v>
      </c>
      <c r="J4812" s="638" t="s">
        <v>9501</v>
      </c>
      <c r="K4812" s="745">
        <v>106</v>
      </c>
      <c r="L4812" s="638">
        <v>12</v>
      </c>
      <c r="M4812" s="746">
        <f t="shared" si="54"/>
        <v>12000</v>
      </c>
      <c r="N4812" s="743">
        <v>115</v>
      </c>
      <c r="O4812" s="626">
        <v>12</v>
      </c>
      <c r="P4812" s="744">
        <f t="shared" si="55"/>
        <v>12000</v>
      </c>
    </row>
    <row r="4813" spans="1:16" s="619" customFormat="1" ht="36" x14ac:dyDescent="0.2">
      <c r="A4813" s="626" t="s">
        <v>9498</v>
      </c>
      <c r="B4813" s="626" t="s">
        <v>1908</v>
      </c>
      <c r="C4813" s="638" t="s">
        <v>104</v>
      </c>
      <c r="D4813" s="626" t="s">
        <v>3545</v>
      </c>
      <c r="E4813" s="647">
        <v>1000</v>
      </c>
      <c r="F4813" s="626" t="s">
        <v>9776</v>
      </c>
      <c r="G4813" s="626" t="s">
        <v>9777</v>
      </c>
      <c r="H4813" s="626" t="s">
        <v>3545</v>
      </c>
      <c r="I4813" s="626" t="s">
        <v>3768</v>
      </c>
      <c r="J4813" s="638" t="s">
        <v>3523</v>
      </c>
      <c r="K4813" s="745">
        <v>107</v>
      </c>
      <c r="L4813" s="638">
        <v>12</v>
      </c>
      <c r="M4813" s="746">
        <f t="shared" si="54"/>
        <v>12000</v>
      </c>
      <c r="N4813" s="743">
        <v>116</v>
      </c>
      <c r="O4813" s="626">
        <v>12</v>
      </c>
      <c r="P4813" s="744">
        <f t="shared" si="55"/>
        <v>12000</v>
      </c>
    </row>
    <row r="4814" spans="1:16" s="619" customFormat="1" ht="36" x14ac:dyDescent="0.2">
      <c r="A4814" s="626" t="s">
        <v>9498</v>
      </c>
      <c r="B4814" s="626" t="s">
        <v>1908</v>
      </c>
      <c r="C4814" s="638" t="s">
        <v>104</v>
      </c>
      <c r="D4814" s="626" t="s">
        <v>2660</v>
      </c>
      <c r="E4814" s="647">
        <v>930</v>
      </c>
      <c r="F4814" s="626" t="s">
        <v>9778</v>
      </c>
      <c r="G4814" s="626" t="s">
        <v>9779</v>
      </c>
      <c r="H4814" s="626" t="s">
        <v>2660</v>
      </c>
      <c r="I4814" s="626" t="s">
        <v>3768</v>
      </c>
      <c r="J4814" s="638" t="s">
        <v>9501</v>
      </c>
      <c r="K4814" s="745">
        <v>108</v>
      </c>
      <c r="L4814" s="638">
        <v>12</v>
      </c>
      <c r="M4814" s="746">
        <f t="shared" si="54"/>
        <v>11160</v>
      </c>
      <c r="N4814" s="743">
        <v>117</v>
      </c>
      <c r="O4814" s="626">
        <v>12</v>
      </c>
      <c r="P4814" s="744">
        <f t="shared" si="55"/>
        <v>11160</v>
      </c>
    </row>
    <row r="4815" spans="1:16" s="619" customFormat="1" ht="24" x14ac:dyDescent="0.2">
      <c r="A4815" s="626" t="s">
        <v>9498</v>
      </c>
      <c r="B4815" s="626" t="s">
        <v>1908</v>
      </c>
      <c r="C4815" s="638" t="s">
        <v>104</v>
      </c>
      <c r="D4815" s="626" t="s">
        <v>2764</v>
      </c>
      <c r="E4815" s="647">
        <v>2500</v>
      </c>
      <c r="F4815" s="626" t="s">
        <v>7998</v>
      </c>
      <c r="G4815" s="626" t="s">
        <v>7999</v>
      </c>
      <c r="H4815" s="626" t="s">
        <v>2764</v>
      </c>
      <c r="I4815" s="626" t="s">
        <v>3768</v>
      </c>
      <c r="J4815" s="638" t="s">
        <v>3523</v>
      </c>
      <c r="K4815" s="745"/>
      <c r="L4815" s="638">
        <v>0</v>
      </c>
      <c r="M4815" s="746">
        <f t="shared" si="54"/>
        <v>0</v>
      </c>
      <c r="N4815" s="743">
        <v>118</v>
      </c>
      <c r="O4815" s="626">
        <v>12</v>
      </c>
      <c r="P4815" s="744">
        <f t="shared" si="55"/>
        <v>30000</v>
      </c>
    </row>
    <row r="4816" spans="1:16" s="619" customFormat="1" ht="36" x14ac:dyDescent="0.2">
      <c r="A4816" s="626" t="s">
        <v>9498</v>
      </c>
      <c r="B4816" s="626" t="s">
        <v>1908</v>
      </c>
      <c r="C4816" s="638" t="s">
        <v>104</v>
      </c>
      <c r="D4816" s="626" t="s">
        <v>6092</v>
      </c>
      <c r="E4816" s="647">
        <v>1600</v>
      </c>
      <c r="F4816" s="626" t="s">
        <v>9780</v>
      </c>
      <c r="G4816" s="626" t="s">
        <v>9781</v>
      </c>
      <c r="H4816" s="626" t="s">
        <v>6092</v>
      </c>
      <c r="I4816" s="626" t="s">
        <v>3768</v>
      </c>
      <c r="J4816" s="638" t="s">
        <v>3523</v>
      </c>
      <c r="K4816" s="745">
        <v>109</v>
      </c>
      <c r="L4816" s="638">
        <v>12</v>
      </c>
      <c r="M4816" s="746">
        <f t="shared" si="54"/>
        <v>19200</v>
      </c>
      <c r="N4816" s="743">
        <v>119</v>
      </c>
      <c r="O4816" s="626">
        <v>12</v>
      </c>
      <c r="P4816" s="744">
        <f t="shared" si="55"/>
        <v>19200</v>
      </c>
    </row>
    <row r="4817" spans="1:16" s="619" customFormat="1" ht="24" x14ac:dyDescent="0.2">
      <c r="A4817" s="626" t="s">
        <v>9498</v>
      </c>
      <c r="B4817" s="626" t="s">
        <v>1908</v>
      </c>
      <c r="C4817" s="638" t="s">
        <v>104</v>
      </c>
      <c r="D4817" s="626" t="s">
        <v>2660</v>
      </c>
      <c r="E4817" s="647">
        <v>930</v>
      </c>
      <c r="F4817" s="626" t="s">
        <v>9782</v>
      </c>
      <c r="G4817" s="626" t="s">
        <v>9783</v>
      </c>
      <c r="H4817" s="626" t="s">
        <v>2660</v>
      </c>
      <c r="I4817" s="626" t="s">
        <v>3768</v>
      </c>
      <c r="J4817" s="638" t="s">
        <v>9501</v>
      </c>
      <c r="K4817" s="745">
        <v>110</v>
      </c>
      <c r="L4817" s="638">
        <v>12</v>
      </c>
      <c r="M4817" s="746">
        <f t="shared" si="54"/>
        <v>11160</v>
      </c>
      <c r="N4817" s="743">
        <v>120</v>
      </c>
      <c r="O4817" s="626">
        <v>12</v>
      </c>
      <c r="P4817" s="744">
        <f t="shared" si="55"/>
        <v>11160</v>
      </c>
    </row>
    <row r="4818" spans="1:16" s="619" customFormat="1" ht="36" x14ac:dyDescent="0.2">
      <c r="A4818" s="626" t="s">
        <v>9498</v>
      </c>
      <c r="B4818" s="626" t="s">
        <v>1908</v>
      </c>
      <c r="C4818" s="638" t="s">
        <v>104</v>
      </c>
      <c r="D4818" s="626" t="s">
        <v>3548</v>
      </c>
      <c r="E4818" s="647">
        <v>1000</v>
      </c>
      <c r="F4818" s="626" t="s">
        <v>9784</v>
      </c>
      <c r="G4818" s="626" t="s">
        <v>9785</v>
      </c>
      <c r="H4818" s="626" t="s">
        <v>3548</v>
      </c>
      <c r="I4818" s="626" t="s">
        <v>3614</v>
      </c>
      <c r="J4818" s="638" t="s">
        <v>8667</v>
      </c>
      <c r="K4818" s="745"/>
      <c r="L4818" s="638">
        <v>0</v>
      </c>
      <c r="M4818" s="746">
        <f t="shared" si="54"/>
        <v>0</v>
      </c>
      <c r="N4818" s="743">
        <v>121</v>
      </c>
      <c r="O4818" s="626">
        <v>12</v>
      </c>
      <c r="P4818" s="744">
        <f t="shared" si="55"/>
        <v>12000</v>
      </c>
    </row>
    <row r="4819" spans="1:16" s="619" customFormat="1" ht="36" x14ac:dyDescent="0.2">
      <c r="A4819" s="626" t="s">
        <v>9498</v>
      </c>
      <c r="B4819" s="626" t="s">
        <v>1908</v>
      </c>
      <c r="C4819" s="638" t="s">
        <v>104</v>
      </c>
      <c r="D4819" s="626" t="s">
        <v>2087</v>
      </c>
      <c r="E4819" s="647">
        <v>1000</v>
      </c>
      <c r="F4819" s="626" t="s">
        <v>9786</v>
      </c>
      <c r="G4819" s="626" t="s">
        <v>9787</v>
      </c>
      <c r="H4819" s="626" t="s">
        <v>2087</v>
      </c>
      <c r="I4819" s="626" t="s">
        <v>3768</v>
      </c>
      <c r="J4819" s="638" t="s">
        <v>9501</v>
      </c>
      <c r="K4819" s="745">
        <v>111</v>
      </c>
      <c r="L4819" s="638">
        <v>12</v>
      </c>
      <c r="M4819" s="746">
        <f t="shared" si="54"/>
        <v>12000</v>
      </c>
      <c r="N4819" s="743">
        <v>122</v>
      </c>
      <c r="O4819" s="626">
        <v>12</v>
      </c>
      <c r="P4819" s="744">
        <f t="shared" si="55"/>
        <v>12000</v>
      </c>
    </row>
    <row r="4820" spans="1:16" s="619" customFormat="1" ht="24" x14ac:dyDescent="0.2">
      <c r="A4820" s="626" t="s">
        <v>9498</v>
      </c>
      <c r="B4820" s="626" t="s">
        <v>1908</v>
      </c>
      <c r="C4820" s="638" t="s">
        <v>104</v>
      </c>
      <c r="D4820" s="626" t="s">
        <v>6101</v>
      </c>
      <c r="E4820" s="647">
        <v>1800</v>
      </c>
      <c r="F4820" s="626" t="s">
        <v>9788</v>
      </c>
      <c r="G4820" s="626" t="s">
        <v>9789</v>
      </c>
      <c r="H4820" s="626" t="s">
        <v>6101</v>
      </c>
      <c r="I4820" s="626" t="s">
        <v>3768</v>
      </c>
      <c r="J4820" s="638" t="s">
        <v>3523</v>
      </c>
      <c r="K4820" s="745">
        <v>112</v>
      </c>
      <c r="L4820" s="638">
        <v>12</v>
      </c>
      <c r="M4820" s="746">
        <f t="shared" si="54"/>
        <v>21600</v>
      </c>
      <c r="N4820" s="743">
        <v>123</v>
      </c>
      <c r="O4820" s="626">
        <v>12</v>
      </c>
      <c r="P4820" s="744">
        <f t="shared" si="55"/>
        <v>21600</v>
      </c>
    </row>
    <row r="4821" spans="1:16" s="619" customFormat="1" ht="36" x14ac:dyDescent="0.2">
      <c r="A4821" s="626" t="s">
        <v>9498</v>
      </c>
      <c r="B4821" s="626" t="s">
        <v>1908</v>
      </c>
      <c r="C4821" s="638" t="s">
        <v>104</v>
      </c>
      <c r="D4821" s="626" t="s">
        <v>6120</v>
      </c>
      <c r="E4821" s="647">
        <v>1000</v>
      </c>
      <c r="F4821" s="626" t="s">
        <v>9790</v>
      </c>
      <c r="G4821" s="626" t="s">
        <v>9791</v>
      </c>
      <c r="H4821" s="626" t="s">
        <v>6120</v>
      </c>
      <c r="I4821" s="626" t="s">
        <v>1931</v>
      </c>
      <c r="J4821" s="638" t="s">
        <v>9501</v>
      </c>
      <c r="K4821" s="745">
        <v>113</v>
      </c>
      <c r="L4821" s="638">
        <v>12</v>
      </c>
      <c r="M4821" s="746">
        <f t="shared" si="54"/>
        <v>12000</v>
      </c>
      <c r="N4821" s="743">
        <v>124</v>
      </c>
      <c r="O4821" s="626">
        <v>12</v>
      </c>
      <c r="P4821" s="744">
        <f t="shared" si="55"/>
        <v>12000</v>
      </c>
    </row>
    <row r="4822" spans="1:16" s="619" customFormat="1" ht="24" x14ac:dyDescent="0.2">
      <c r="A4822" s="626" t="s">
        <v>9498</v>
      </c>
      <c r="B4822" s="626" t="s">
        <v>1908</v>
      </c>
      <c r="C4822" s="638" t="s">
        <v>104</v>
      </c>
      <c r="D4822" s="626" t="s">
        <v>3548</v>
      </c>
      <c r="E4822" s="647">
        <v>1000</v>
      </c>
      <c r="F4822" s="626" t="s">
        <v>9792</v>
      </c>
      <c r="G4822" s="626" t="s">
        <v>9793</v>
      </c>
      <c r="H4822" s="626" t="s">
        <v>3548</v>
      </c>
      <c r="I4822" s="626" t="s">
        <v>3614</v>
      </c>
      <c r="J4822" s="638" t="s">
        <v>8667</v>
      </c>
      <c r="K4822" s="745">
        <v>114</v>
      </c>
      <c r="L4822" s="638">
        <v>12</v>
      </c>
      <c r="M4822" s="746">
        <f t="shared" si="54"/>
        <v>12000</v>
      </c>
      <c r="N4822" s="743">
        <v>125</v>
      </c>
      <c r="O4822" s="626">
        <v>12</v>
      </c>
      <c r="P4822" s="744">
        <f t="shared" si="55"/>
        <v>12000</v>
      </c>
    </row>
    <row r="4823" spans="1:16" s="619" customFormat="1" ht="36" x14ac:dyDescent="0.2">
      <c r="A4823" s="626" t="s">
        <v>9498</v>
      </c>
      <c r="B4823" s="626" t="s">
        <v>1908</v>
      </c>
      <c r="C4823" s="638" t="s">
        <v>104</v>
      </c>
      <c r="D4823" s="626" t="s">
        <v>2660</v>
      </c>
      <c r="E4823" s="647">
        <v>930</v>
      </c>
      <c r="F4823" s="626" t="s">
        <v>9794</v>
      </c>
      <c r="G4823" s="626" t="s">
        <v>9795</v>
      </c>
      <c r="H4823" s="626" t="s">
        <v>2660</v>
      </c>
      <c r="I4823" s="626" t="s">
        <v>3768</v>
      </c>
      <c r="J4823" s="638" t="s">
        <v>9501</v>
      </c>
      <c r="K4823" s="745">
        <v>115</v>
      </c>
      <c r="L4823" s="638">
        <v>12</v>
      </c>
      <c r="M4823" s="746">
        <f t="shared" si="54"/>
        <v>11160</v>
      </c>
      <c r="N4823" s="743">
        <v>126</v>
      </c>
      <c r="O4823" s="626">
        <v>12</v>
      </c>
      <c r="P4823" s="744">
        <f t="shared" si="55"/>
        <v>11160</v>
      </c>
    </row>
    <row r="4824" spans="1:16" s="619" customFormat="1" ht="24" x14ac:dyDescent="0.2">
      <c r="A4824" s="626" t="s">
        <v>9498</v>
      </c>
      <c r="B4824" s="626" t="s">
        <v>1908</v>
      </c>
      <c r="C4824" s="638" t="s">
        <v>104</v>
      </c>
      <c r="D4824" s="626" t="s">
        <v>6179</v>
      </c>
      <c r="E4824" s="647">
        <v>3500</v>
      </c>
      <c r="F4824" s="626" t="s">
        <v>9796</v>
      </c>
      <c r="G4824" s="626" t="s">
        <v>9797</v>
      </c>
      <c r="H4824" s="626" t="s">
        <v>6179</v>
      </c>
      <c r="I4824" s="626" t="s">
        <v>3768</v>
      </c>
      <c r="J4824" s="638" t="s">
        <v>3523</v>
      </c>
      <c r="K4824" s="745"/>
      <c r="L4824" s="638">
        <v>0</v>
      </c>
      <c r="M4824" s="746">
        <f t="shared" si="54"/>
        <v>0</v>
      </c>
      <c r="N4824" s="638">
        <v>295</v>
      </c>
      <c r="O4824" s="626">
        <v>10</v>
      </c>
      <c r="P4824" s="744">
        <f t="shared" si="55"/>
        <v>35000</v>
      </c>
    </row>
    <row r="4825" spans="1:16" s="619" customFormat="1" ht="36" x14ac:dyDescent="0.2">
      <c r="A4825" s="626" t="s">
        <v>9498</v>
      </c>
      <c r="B4825" s="626" t="s">
        <v>1908</v>
      </c>
      <c r="C4825" s="638" t="s">
        <v>104</v>
      </c>
      <c r="D4825" s="626" t="s">
        <v>2087</v>
      </c>
      <c r="E4825" s="647">
        <v>1000</v>
      </c>
      <c r="F4825" s="626" t="s">
        <v>9798</v>
      </c>
      <c r="G4825" s="626" t="s">
        <v>9799</v>
      </c>
      <c r="H4825" s="626" t="s">
        <v>2087</v>
      </c>
      <c r="I4825" s="626" t="s">
        <v>3768</v>
      </c>
      <c r="J4825" s="638" t="s">
        <v>9501</v>
      </c>
      <c r="K4825" s="745">
        <v>116</v>
      </c>
      <c r="L4825" s="638">
        <v>12</v>
      </c>
      <c r="M4825" s="746">
        <f t="shared" si="54"/>
        <v>12000</v>
      </c>
      <c r="N4825" s="743">
        <v>127</v>
      </c>
      <c r="O4825" s="626">
        <v>12</v>
      </c>
      <c r="P4825" s="744">
        <f t="shared" si="55"/>
        <v>12000</v>
      </c>
    </row>
    <row r="4826" spans="1:16" s="619" customFormat="1" ht="24" x14ac:dyDescent="0.2">
      <c r="A4826" s="626" t="s">
        <v>9498</v>
      </c>
      <c r="B4826" s="626" t="s">
        <v>1908</v>
      </c>
      <c r="C4826" s="638" t="s">
        <v>104</v>
      </c>
      <c r="D4826" s="626" t="s">
        <v>2660</v>
      </c>
      <c r="E4826" s="647">
        <v>930</v>
      </c>
      <c r="F4826" s="626" t="s">
        <v>9800</v>
      </c>
      <c r="G4826" s="626" t="s">
        <v>9801</v>
      </c>
      <c r="H4826" s="626" t="s">
        <v>2660</v>
      </c>
      <c r="I4826" s="626" t="s">
        <v>3768</v>
      </c>
      <c r="J4826" s="638" t="s">
        <v>9501</v>
      </c>
      <c r="K4826" s="745">
        <v>117</v>
      </c>
      <c r="L4826" s="638">
        <v>12</v>
      </c>
      <c r="M4826" s="746">
        <f t="shared" si="54"/>
        <v>11160</v>
      </c>
      <c r="N4826" s="743">
        <v>128</v>
      </c>
      <c r="O4826" s="626">
        <v>12</v>
      </c>
      <c r="P4826" s="744">
        <f t="shared" si="55"/>
        <v>11160</v>
      </c>
    </row>
    <row r="4827" spans="1:16" s="619" customFormat="1" ht="24" x14ac:dyDescent="0.2">
      <c r="A4827" s="626" t="s">
        <v>9498</v>
      </c>
      <c r="B4827" s="626" t="s">
        <v>1908</v>
      </c>
      <c r="C4827" s="638" t="s">
        <v>104</v>
      </c>
      <c r="D4827" s="626" t="s">
        <v>6198</v>
      </c>
      <c r="E4827" s="647">
        <v>1600</v>
      </c>
      <c r="F4827" s="626" t="s">
        <v>9802</v>
      </c>
      <c r="G4827" s="626" t="s">
        <v>9803</v>
      </c>
      <c r="H4827" s="626" t="s">
        <v>6198</v>
      </c>
      <c r="I4827" s="626" t="s">
        <v>3768</v>
      </c>
      <c r="J4827" s="638" t="s">
        <v>3523</v>
      </c>
      <c r="K4827" s="745"/>
      <c r="L4827" s="638">
        <v>0</v>
      </c>
      <c r="M4827" s="746">
        <f t="shared" si="54"/>
        <v>0</v>
      </c>
      <c r="N4827" s="638">
        <v>296</v>
      </c>
      <c r="O4827" s="626">
        <v>10</v>
      </c>
      <c r="P4827" s="744">
        <f t="shared" si="55"/>
        <v>16000</v>
      </c>
    </row>
    <row r="4828" spans="1:16" s="619" customFormat="1" ht="36" x14ac:dyDescent="0.2">
      <c r="A4828" s="626" t="s">
        <v>9498</v>
      </c>
      <c r="B4828" s="626" t="s">
        <v>1908</v>
      </c>
      <c r="C4828" s="638" t="s">
        <v>104</v>
      </c>
      <c r="D4828" s="626" t="s">
        <v>6187</v>
      </c>
      <c r="E4828" s="647">
        <v>1000</v>
      </c>
      <c r="F4828" s="626" t="s">
        <v>9804</v>
      </c>
      <c r="G4828" s="626" t="s">
        <v>9805</v>
      </c>
      <c r="H4828" s="626" t="s">
        <v>6120</v>
      </c>
      <c r="I4828" s="626" t="s">
        <v>1931</v>
      </c>
      <c r="J4828" s="638" t="s">
        <v>9501</v>
      </c>
      <c r="K4828" s="745">
        <v>118</v>
      </c>
      <c r="L4828" s="638">
        <v>12</v>
      </c>
      <c r="M4828" s="746">
        <f t="shared" si="54"/>
        <v>12000</v>
      </c>
      <c r="N4828" s="743">
        <v>129</v>
      </c>
      <c r="O4828" s="626">
        <v>12</v>
      </c>
      <c r="P4828" s="744">
        <f t="shared" si="55"/>
        <v>12000</v>
      </c>
    </row>
    <row r="4829" spans="1:16" s="619" customFormat="1" ht="36" x14ac:dyDescent="0.2">
      <c r="A4829" s="626" t="s">
        <v>9498</v>
      </c>
      <c r="B4829" s="626" t="s">
        <v>1908</v>
      </c>
      <c r="C4829" s="638" t="s">
        <v>104</v>
      </c>
      <c r="D4829" s="626" t="s">
        <v>6120</v>
      </c>
      <c r="E4829" s="647">
        <v>1000</v>
      </c>
      <c r="F4829" s="626" t="s">
        <v>9806</v>
      </c>
      <c r="G4829" s="626" t="s">
        <v>9807</v>
      </c>
      <c r="H4829" s="626" t="s">
        <v>6120</v>
      </c>
      <c r="I4829" s="626" t="s">
        <v>1931</v>
      </c>
      <c r="J4829" s="638" t="s">
        <v>9501</v>
      </c>
      <c r="K4829" s="745">
        <v>119</v>
      </c>
      <c r="L4829" s="638">
        <v>12</v>
      </c>
      <c r="M4829" s="746">
        <f t="shared" si="54"/>
        <v>12000</v>
      </c>
      <c r="N4829" s="743">
        <v>130</v>
      </c>
      <c r="O4829" s="626">
        <v>12</v>
      </c>
      <c r="P4829" s="744">
        <f t="shared" si="55"/>
        <v>12000</v>
      </c>
    </row>
    <row r="4830" spans="1:16" s="619" customFormat="1" ht="36" x14ac:dyDescent="0.2">
      <c r="A4830" s="626" t="s">
        <v>9498</v>
      </c>
      <c r="B4830" s="626" t="s">
        <v>1908</v>
      </c>
      <c r="C4830" s="638" t="s">
        <v>104</v>
      </c>
      <c r="D4830" s="626" t="s">
        <v>6120</v>
      </c>
      <c r="E4830" s="647">
        <v>1000</v>
      </c>
      <c r="F4830" s="626" t="s">
        <v>9808</v>
      </c>
      <c r="G4830" s="626" t="s">
        <v>9809</v>
      </c>
      <c r="H4830" s="626" t="s">
        <v>6120</v>
      </c>
      <c r="I4830" s="626" t="s">
        <v>1931</v>
      </c>
      <c r="J4830" s="638" t="s">
        <v>9501</v>
      </c>
      <c r="K4830" s="745">
        <v>120</v>
      </c>
      <c r="L4830" s="638">
        <v>12</v>
      </c>
      <c r="M4830" s="746">
        <f t="shared" si="54"/>
        <v>12000</v>
      </c>
      <c r="N4830" s="743">
        <v>131</v>
      </c>
      <c r="O4830" s="626">
        <v>12</v>
      </c>
      <c r="P4830" s="744">
        <f t="shared" si="55"/>
        <v>12000</v>
      </c>
    </row>
    <row r="4831" spans="1:16" s="619" customFormat="1" ht="24" x14ac:dyDescent="0.2">
      <c r="A4831" s="626" t="s">
        <v>9498</v>
      </c>
      <c r="B4831" s="626" t="s">
        <v>1908</v>
      </c>
      <c r="C4831" s="638" t="s">
        <v>104</v>
      </c>
      <c r="D4831" s="626" t="s">
        <v>2087</v>
      </c>
      <c r="E4831" s="647">
        <v>1000</v>
      </c>
      <c r="F4831" s="626" t="s">
        <v>9810</v>
      </c>
      <c r="G4831" s="626" t="s">
        <v>9811</v>
      </c>
      <c r="H4831" s="626" t="s">
        <v>2087</v>
      </c>
      <c r="I4831" s="626" t="s">
        <v>3768</v>
      </c>
      <c r="J4831" s="638" t="s">
        <v>9501</v>
      </c>
      <c r="K4831" s="745"/>
      <c r="L4831" s="638">
        <v>0</v>
      </c>
      <c r="M4831" s="746">
        <f t="shared" si="54"/>
        <v>0</v>
      </c>
      <c r="N4831" s="638">
        <v>323</v>
      </c>
      <c r="O4831" s="626">
        <v>3</v>
      </c>
      <c r="P4831" s="744">
        <f t="shared" si="55"/>
        <v>3000</v>
      </c>
    </row>
    <row r="4832" spans="1:16" s="619" customFormat="1" ht="36" x14ac:dyDescent="0.2">
      <c r="A4832" s="626" t="s">
        <v>9498</v>
      </c>
      <c r="B4832" s="626" t="s">
        <v>1908</v>
      </c>
      <c r="C4832" s="638" t="s">
        <v>104</v>
      </c>
      <c r="D4832" s="626" t="s">
        <v>6198</v>
      </c>
      <c r="E4832" s="647">
        <v>2000</v>
      </c>
      <c r="F4832" s="626" t="s">
        <v>9812</v>
      </c>
      <c r="G4832" s="626" t="s">
        <v>9813</v>
      </c>
      <c r="H4832" s="626" t="s">
        <v>6198</v>
      </c>
      <c r="I4832" s="626" t="s">
        <v>3768</v>
      </c>
      <c r="J4832" s="638" t="s">
        <v>3523</v>
      </c>
      <c r="K4832" s="745">
        <v>121</v>
      </c>
      <c r="L4832" s="638">
        <v>12</v>
      </c>
      <c r="M4832" s="746">
        <f t="shared" si="54"/>
        <v>24000</v>
      </c>
      <c r="N4832" s="743">
        <v>132</v>
      </c>
      <c r="O4832" s="626">
        <v>12</v>
      </c>
      <c r="P4832" s="744">
        <f t="shared" si="55"/>
        <v>24000</v>
      </c>
    </row>
    <row r="4833" spans="1:16" s="619" customFormat="1" ht="36" x14ac:dyDescent="0.2">
      <c r="A4833" s="626" t="s">
        <v>9498</v>
      </c>
      <c r="B4833" s="626" t="s">
        <v>1908</v>
      </c>
      <c r="C4833" s="638" t="s">
        <v>104</v>
      </c>
      <c r="D4833" s="626" t="s">
        <v>6101</v>
      </c>
      <c r="E4833" s="647">
        <v>1600</v>
      </c>
      <c r="F4833" s="626" t="s">
        <v>9814</v>
      </c>
      <c r="G4833" s="626" t="s">
        <v>9815</v>
      </c>
      <c r="H4833" s="626" t="s">
        <v>6101</v>
      </c>
      <c r="I4833" s="626" t="s">
        <v>3768</v>
      </c>
      <c r="J4833" s="638" t="s">
        <v>3523</v>
      </c>
      <c r="K4833" s="745">
        <v>122</v>
      </c>
      <c r="L4833" s="638">
        <v>12</v>
      </c>
      <c r="M4833" s="746">
        <f t="shared" si="54"/>
        <v>19200</v>
      </c>
      <c r="N4833" s="743">
        <v>133</v>
      </c>
      <c r="O4833" s="626">
        <v>12</v>
      </c>
      <c r="P4833" s="744">
        <f t="shared" si="55"/>
        <v>19200</v>
      </c>
    </row>
    <row r="4834" spans="1:16" s="619" customFormat="1" ht="36" x14ac:dyDescent="0.2">
      <c r="A4834" s="626" t="s">
        <v>9498</v>
      </c>
      <c r="B4834" s="626" t="s">
        <v>1908</v>
      </c>
      <c r="C4834" s="638" t="s">
        <v>104</v>
      </c>
      <c r="D4834" s="626" t="s">
        <v>6120</v>
      </c>
      <c r="E4834" s="647">
        <v>1000</v>
      </c>
      <c r="F4834" s="626" t="s">
        <v>9816</v>
      </c>
      <c r="G4834" s="626" t="s">
        <v>9817</v>
      </c>
      <c r="H4834" s="626" t="s">
        <v>6120</v>
      </c>
      <c r="I4834" s="626" t="s">
        <v>1931</v>
      </c>
      <c r="J4834" s="638" t="s">
        <v>9501</v>
      </c>
      <c r="K4834" s="745">
        <v>123</v>
      </c>
      <c r="L4834" s="638">
        <v>12</v>
      </c>
      <c r="M4834" s="746">
        <f t="shared" si="54"/>
        <v>12000</v>
      </c>
      <c r="N4834" s="743">
        <v>134</v>
      </c>
      <c r="O4834" s="626">
        <v>12</v>
      </c>
      <c r="P4834" s="744">
        <f t="shared" si="55"/>
        <v>12000</v>
      </c>
    </row>
    <row r="4835" spans="1:16" s="619" customFormat="1" ht="36" x14ac:dyDescent="0.2">
      <c r="A4835" s="626" t="s">
        <v>9498</v>
      </c>
      <c r="B4835" s="626" t="s">
        <v>1908</v>
      </c>
      <c r="C4835" s="638" t="s">
        <v>104</v>
      </c>
      <c r="D4835" s="626" t="s">
        <v>1996</v>
      </c>
      <c r="E4835" s="647">
        <v>1000</v>
      </c>
      <c r="F4835" s="626" t="s">
        <v>9818</v>
      </c>
      <c r="G4835" s="626" t="s">
        <v>9819</v>
      </c>
      <c r="H4835" s="626" t="s">
        <v>1996</v>
      </c>
      <c r="I4835" s="626" t="s">
        <v>3614</v>
      </c>
      <c r="J4835" s="638" t="s">
        <v>8667</v>
      </c>
      <c r="K4835" s="745"/>
      <c r="L4835" s="638">
        <v>0</v>
      </c>
      <c r="M4835" s="746">
        <f t="shared" si="54"/>
        <v>0</v>
      </c>
      <c r="N4835" s="638">
        <v>297</v>
      </c>
      <c r="O4835" s="626">
        <v>10</v>
      </c>
      <c r="P4835" s="744">
        <f t="shared" si="55"/>
        <v>10000</v>
      </c>
    </row>
    <row r="4836" spans="1:16" s="619" customFormat="1" ht="36" x14ac:dyDescent="0.2">
      <c r="A4836" s="626" t="s">
        <v>9498</v>
      </c>
      <c r="B4836" s="626" t="s">
        <v>1908</v>
      </c>
      <c r="C4836" s="638" t="s">
        <v>104</v>
      </c>
      <c r="D4836" s="626" t="s">
        <v>2660</v>
      </c>
      <c r="E4836" s="647">
        <v>930</v>
      </c>
      <c r="F4836" s="626" t="s">
        <v>9820</v>
      </c>
      <c r="G4836" s="626" t="s">
        <v>9821</v>
      </c>
      <c r="H4836" s="626" t="s">
        <v>2660</v>
      </c>
      <c r="I4836" s="626" t="s">
        <v>3768</v>
      </c>
      <c r="J4836" s="638" t="s">
        <v>9501</v>
      </c>
      <c r="K4836" s="745">
        <v>124</v>
      </c>
      <c r="L4836" s="638">
        <v>12</v>
      </c>
      <c r="M4836" s="746">
        <f t="shared" si="54"/>
        <v>11160</v>
      </c>
      <c r="N4836" s="743">
        <v>135</v>
      </c>
      <c r="O4836" s="626">
        <v>12</v>
      </c>
      <c r="P4836" s="744">
        <f t="shared" si="55"/>
        <v>11160</v>
      </c>
    </row>
    <row r="4837" spans="1:16" s="619" customFormat="1" ht="36" x14ac:dyDescent="0.2">
      <c r="A4837" s="626" t="s">
        <v>9498</v>
      </c>
      <c r="B4837" s="626" t="s">
        <v>1908</v>
      </c>
      <c r="C4837" s="638" t="s">
        <v>104</v>
      </c>
      <c r="D4837" s="626" t="s">
        <v>6092</v>
      </c>
      <c r="E4837" s="647">
        <v>1800</v>
      </c>
      <c r="F4837" s="626" t="s">
        <v>9822</v>
      </c>
      <c r="G4837" s="626" t="s">
        <v>9823</v>
      </c>
      <c r="H4837" s="626" t="s">
        <v>6092</v>
      </c>
      <c r="I4837" s="626" t="s">
        <v>3768</v>
      </c>
      <c r="J4837" s="638" t="s">
        <v>3523</v>
      </c>
      <c r="K4837" s="745">
        <v>125</v>
      </c>
      <c r="L4837" s="638">
        <v>12</v>
      </c>
      <c r="M4837" s="746">
        <f t="shared" si="54"/>
        <v>21600</v>
      </c>
      <c r="N4837" s="743">
        <v>136</v>
      </c>
      <c r="O4837" s="626">
        <v>12</v>
      </c>
      <c r="P4837" s="744">
        <f t="shared" si="55"/>
        <v>21600</v>
      </c>
    </row>
    <row r="4838" spans="1:16" s="619" customFormat="1" ht="24" x14ac:dyDescent="0.2">
      <c r="A4838" s="626" t="s">
        <v>9498</v>
      </c>
      <c r="B4838" s="626" t="s">
        <v>1908</v>
      </c>
      <c r="C4838" s="638" t="s">
        <v>104</v>
      </c>
      <c r="D4838" s="626" t="s">
        <v>6227</v>
      </c>
      <c r="E4838" s="647">
        <v>2500</v>
      </c>
      <c r="F4838" s="626" t="s">
        <v>9824</v>
      </c>
      <c r="G4838" s="626" t="s">
        <v>9825</v>
      </c>
      <c r="H4838" s="626" t="s">
        <v>6227</v>
      </c>
      <c r="I4838" s="626" t="s">
        <v>3768</v>
      </c>
      <c r="J4838" s="638" t="s">
        <v>3523</v>
      </c>
      <c r="K4838" s="745"/>
      <c r="L4838" s="638">
        <v>0</v>
      </c>
      <c r="M4838" s="746">
        <f t="shared" si="54"/>
        <v>0</v>
      </c>
      <c r="N4838" s="638">
        <v>314</v>
      </c>
      <c r="O4838" s="626">
        <v>9</v>
      </c>
      <c r="P4838" s="744">
        <f t="shared" si="55"/>
        <v>22500</v>
      </c>
    </row>
    <row r="4839" spans="1:16" s="619" customFormat="1" ht="36" x14ac:dyDescent="0.2">
      <c r="A4839" s="626" t="s">
        <v>9498</v>
      </c>
      <c r="B4839" s="626" t="s">
        <v>1908</v>
      </c>
      <c r="C4839" s="638" t="s">
        <v>104</v>
      </c>
      <c r="D4839" s="626" t="s">
        <v>2660</v>
      </c>
      <c r="E4839" s="647">
        <v>2000</v>
      </c>
      <c r="F4839" s="626" t="s">
        <v>9826</v>
      </c>
      <c r="G4839" s="626" t="s">
        <v>9827</v>
      </c>
      <c r="H4839" s="626" t="s">
        <v>2660</v>
      </c>
      <c r="I4839" s="626" t="s">
        <v>3768</v>
      </c>
      <c r="J4839" s="638" t="s">
        <v>9501</v>
      </c>
      <c r="K4839" s="745"/>
      <c r="L4839" s="638">
        <v>0</v>
      </c>
      <c r="M4839" s="746">
        <f t="shared" si="54"/>
        <v>0</v>
      </c>
      <c r="N4839" s="743">
        <v>137</v>
      </c>
      <c r="O4839" s="626">
        <v>12</v>
      </c>
      <c r="P4839" s="744">
        <f t="shared" si="55"/>
        <v>24000</v>
      </c>
    </row>
    <row r="4840" spans="1:16" s="619" customFormat="1" ht="36" x14ac:dyDescent="0.2">
      <c r="A4840" s="626" t="s">
        <v>9498</v>
      </c>
      <c r="B4840" s="626" t="s">
        <v>1908</v>
      </c>
      <c r="C4840" s="638" t="s">
        <v>104</v>
      </c>
      <c r="D4840" s="626" t="s">
        <v>6092</v>
      </c>
      <c r="E4840" s="647">
        <v>1600</v>
      </c>
      <c r="F4840" s="626" t="s">
        <v>9828</v>
      </c>
      <c r="G4840" s="626" t="s">
        <v>9829</v>
      </c>
      <c r="H4840" s="626" t="s">
        <v>6092</v>
      </c>
      <c r="I4840" s="626" t="s">
        <v>3768</v>
      </c>
      <c r="J4840" s="638" t="s">
        <v>3523</v>
      </c>
      <c r="K4840" s="745"/>
      <c r="L4840" s="638">
        <v>0</v>
      </c>
      <c r="M4840" s="746">
        <f t="shared" si="54"/>
        <v>0</v>
      </c>
      <c r="N4840" s="638">
        <v>298</v>
      </c>
      <c r="O4840" s="626">
        <v>10</v>
      </c>
      <c r="P4840" s="744">
        <f t="shared" si="55"/>
        <v>16000</v>
      </c>
    </row>
    <row r="4841" spans="1:16" s="619" customFormat="1" ht="24" x14ac:dyDescent="0.2">
      <c r="A4841" s="626" t="s">
        <v>9498</v>
      </c>
      <c r="B4841" s="626" t="s">
        <v>1908</v>
      </c>
      <c r="C4841" s="638" t="s">
        <v>104</v>
      </c>
      <c r="D4841" s="626" t="s">
        <v>2660</v>
      </c>
      <c r="E4841" s="647">
        <v>2000</v>
      </c>
      <c r="F4841" s="626" t="s">
        <v>9830</v>
      </c>
      <c r="G4841" s="626" t="s">
        <v>9831</v>
      </c>
      <c r="H4841" s="626" t="s">
        <v>2660</v>
      </c>
      <c r="I4841" s="626" t="s">
        <v>3768</v>
      </c>
      <c r="J4841" s="638" t="s">
        <v>9501</v>
      </c>
      <c r="K4841" s="745">
        <v>126</v>
      </c>
      <c r="L4841" s="638">
        <v>12</v>
      </c>
      <c r="M4841" s="746">
        <f t="shared" si="54"/>
        <v>24000</v>
      </c>
      <c r="N4841" s="743">
        <v>138</v>
      </c>
      <c r="O4841" s="626">
        <v>12</v>
      </c>
      <c r="P4841" s="744">
        <f t="shared" si="55"/>
        <v>24000</v>
      </c>
    </row>
    <row r="4842" spans="1:16" s="619" customFormat="1" ht="36" x14ac:dyDescent="0.2">
      <c r="A4842" s="626" t="s">
        <v>9498</v>
      </c>
      <c r="B4842" s="626" t="s">
        <v>1908</v>
      </c>
      <c r="C4842" s="638" t="s">
        <v>104</v>
      </c>
      <c r="D4842" s="626" t="s">
        <v>2660</v>
      </c>
      <c r="E4842" s="647">
        <v>930</v>
      </c>
      <c r="F4842" s="626" t="s">
        <v>9832</v>
      </c>
      <c r="G4842" s="626" t="s">
        <v>9833</v>
      </c>
      <c r="H4842" s="626" t="s">
        <v>2660</v>
      </c>
      <c r="I4842" s="626" t="s">
        <v>3768</v>
      </c>
      <c r="J4842" s="638" t="s">
        <v>9501</v>
      </c>
      <c r="K4842" s="745">
        <v>127</v>
      </c>
      <c r="L4842" s="638">
        <v>12</v>
      </c>
      <c r="M4842" s="746">
        <f t="shared" si="54"/>
        <v>11160</v>
      </c>
      <c r="N4842" s="743">
        <v>139</v>
      </c>
      <c r="O4842" s="626">
        <v>12</v>
      </c>
      <c r="P4842" s="744">
        <f t="shared" si="55"/>
        <v>11160</v>
      </c>
    </row>
    <row r="4843" spans="1:16" s="619" customFormat="1" ht="48" x14ac:dyDescent="0.2">
      <c r="A4843" s="626" t="s">
        <v>9498</v>
      </c>
      <c r="B4843" s="626" t="s">
        <v>1908</v>
      </c>
      <c r="C4843" s="638" t="s">
        <v>104</v>
      </c>
      <c r="D4843" s="626" t="s">
        <v>3548</v>
      </c>
      <c r="E4843" s="647">
        <v>1000</v>
      </c>
      <c r="F4843" s="626" t="s">
        <v>9834</v>
      </c>
      <c r="G4843" s="626" t="s">
        <v>9835</v>
      </c>
      <c r="H4843" s="626" t="s">
        <v>3548</v>
      </c>
      <c r="I4843" s="626" t="s">
        <v>3614</v>
      </c>
      <c r="J4843" s="638" t="s">
        <v>8667</v>
      </c>
      <c r="K4843" s="745">
        <v>128</v>
      </c>
      <c r="L4843" s="638">
        <v>12</v>
      </c>
      <c r="M4843" s="746">
        <f t="shared" si="54"/>
        <v>12000</v>
      </c>
      <c r="N4843" s="743">
        <v>140</v>
      </c>
      <c r="O4843" s="626">
        <v>12</v>
      </c>
      <c r="P4843" s="744">
        <f t="shared" si="55"/>
        <v>12000</v>
      </c>
    </row>
    <row r="4844" spans="1:16" s="619" customFormat="1" ht="36" x14ac:dyDescent="0.2">
      <c r="A4844" s="626" t="s">
        <v>9498</v>
      </c>
      <c r="B4844" s="626" t="s">
        <v>1908</v>
      </c>
      <c r="C4844" s="638" t="s">
        <v>104</v>
      </c>
      <c r="D4844" s="626" t="s">
        <v>2660</v>
      </c>
      <c r="E4844" s="647">
        <v>930</v>
      </c>
      <c r="F4844" s="626" t="s">
        <v>9836</v>
      </c>
      <c r="G4844" s="626" t="s">
        <v>9837</v>
      </c>
      <c r="H4844" s="626" t="s">
        <v>2660</v>
      </c>
      <c r="I4844" s="626" t="s">
        <v>3768</v>
      </c>
      <c r="J4844" s="638" t="s">
        <v>9501</v>
      </c>
      <c r="K4844" s="745">
        <v>129</v>
      </c>
      <c r="L4844" s="638">
        <v>12</v>
      </c>
      <c r="M4844" s="746">
        <f t="shared" si="54"/>
        <v>11160</v>
      </c>
      <c r="N4844" s="743">
        <v>141</v>
      </c>
      <c r="O4844" s="626">
        <v>12</v>
      </c>
      <c r="P4844" s="744">
        <f t="shared" si="55"/>
        <v>11160</v>
      </c>
    </row>
    <row r="4845" spans="1:16" s="619" customFormat="1" ht="24" x14ac:dyDescent="0.2">
      <c r="A4845" s="626" t="s">
        <v>9498</v>
      </c>
      <c r="B4845" s="626" t="s">
        <v>1908</v>
      </c>
      <c r="C4845" s="638" t="s">
        <v>104</v>
      </c>
      <c r="D4845" s="626" t="s">
        <v>3569</v>
      </c>
      <c r="E4845" s="647">
        <v>1000</v>
      </c>
      <c r="F4845" s="626" t="s">
        <v>9838</v>
      </c>
      <c r="G4845" s="626" t="s">
        <v>9839</v>
      </c>
      <c r="H4845" s="626" t="s">
        <v>3521</v>
      </c>
      <c r="I4845" s="626" t="s">
        <v>3768</v>
      </c>
      <c r="J4845" s="638" t="s">
        <v>3523</v>
      </c>
      <c r="K4845" s="745">
        <v>130</v>
      </c>
      <c r="L4845" s="638">
        <v>12</v>
      </c>
      <c r="M4845" s="746">
        <f t="shared" si="54"/>
        <v>12000</v>
      </c>
      <c r="N4845" s="743">
        <v>142</v>
      </c>
      <c r="O4845" s="626">
        <v>12</v>
      </c>
      <c r="P4845" s="744">
        <f t="shared" si="55"/>
        <v>12000</v>
      </c>
    </row>
    <row r="4846" spans="1:16" s="619" customFormat="1" ht="36" x14ac:dyDescent="0.2">
      <c r="A4846" s="626" t="s">
        <v>9498</v>
      </c>
      <c r="B4846" s="626" t="s">
        <v>1908</v>
      </c>
      <c r="C4846" s="638" t="s">
        <v>104</v>
      </c>
      <c r="D4846" s="626" t="s">
        <v>2087</v>
      </c>
      <c r="E4846" s="647">
        <v>1600</v>
      </c>
      <c r="F4846" s="626" t="s">
        <v>9840</v>
      </c>
      <c r="G4846" s="626" t="s">
        <v>9841</v>
      </c>
      <c r="H4846" s="626" t="s">
        <v>2087</v>
      </c>
      <c r="I4846" s="626" t="s">
        <v>3768</v>
      </c>
      <c r="J4846" s="638" t="s">
        <v>9501</v>
      </c>
      <c r="K4846" s="745">
        <v>131</v>
      </c>
      <c r="L4846" s="638">
        <v>12</v>
      </c>
      <c r="M4846" s="746">
        <f t="shared" si="54"/>
        <v>19200</v>
      </c>
      <c r="N4846" s="743">
        <v>143</v>
      </c>
      <c r="O4846" s="626">
        <v>12</v>
      </c>
      <c r="P4846" s="744">
        <f t="shared" si="55"/>
        <v>19200</v>
      </c>
    </row>
    <row r="4847" spans="1:16" s="619" customFormat="1" ht="36" x14ac:dyDescent="0.2">
      <c r="A4847" s="626" t="s">
        <v>9498</v>
      </c>
      <c r="B4847" s="626" t="s">
        <v>1908</v>
      </c>
      <c r="C4847" s="638" t="s">
        <v>104</v>
      </c>
      <c r="D4847" s="626" t="s">
        <v>6509</v>
      </c>
      <c r="E4847" s="647">
        <v>1200</v>
      </c>
      <c r="F4847" s="626" t="s">
        <v>9842</v>
      </c>
      <c r="G4847" s="626" t="s">
        <v>9843</v>
      </c>
      <c r="H4847" s="626" t="s">
        <v>6509</v>
      </c>
      <c r="I4847" s="626" t="s">
        <v>3768</v>
      </c>
      <c r="J4847" s="638" t="s">
        <v>3523</v>
      </c>
      <c r="K4847" s="745">
        <v>132</v>
      </c>
      <c r="L4847" s="638">
        <v>12</v>
      </c>
      <c r="M4847" s="746">
        <f t="shared" si="54"/>
        <v>14400</v>
      </c>
      <c r="N4847" s="743">
        <v>144</v>
      </c>
      <c r="O4847" s="626">
        <v>12</v>
      </c>
      <c r="P4847" s="744">
        <f t="shared" si="55"/>
        <v>14400</v>
      </c>
    </row>
    <row r="4848" spans="1:16" s="619" customFormat="1" ht="24" x14ac:dyDescent="0.2">
      <c r="A4848" s="626" t="s">
        <v>9498</v>
      </c>
      <c r="B4848" s="626" t="s">
        <v>1908</v>
      </c>
      <c r="C4848" s="638" t="s">
        <v>104</v>
      </c>
      <c r="D4848" s="626" t="s">
        <v>2660</v>
      </c>
      <c r="E4848" s="647">
        <v>930</v>
      </c>
      <c r="F4848" s="626" t="s">
        <v>9844</v>
      </c>
      <c r="G4848" s="626" t="s">
        <v>9845</v>
      </c>
      <c r="H4848" s="626" t="s">
        <v>2660</v>
      </c>
      <c r="I4848" s="626" t="s">
        <v>3768</v>
      </c>
      <c r="J4848" s="638" t="s">
        <v>9501</v>
      </c>
      <c r="K4848" s="745"/>
      <c r="L4848" s="638">
        <v>0</v>
      </c>
      <c r="M4848" s="746">
        <f t="shared" si="54"/>
        <v>0</v>
      </c>
      <c r="N4848" s="638">
        <v>299</v>
      </c>
      <c r="O4848" s="626">
        <v>10</v>
      </c>
      <c r="P4848" s="744">
        <f t="shared" si="55"/>
        <v>9300</v>
      </c>
    </row>
    <row r="4849" spans="1:16" s="619" customFormat="1" ht="48" x14ac:dyDescent="0.2">
      <c r="A4849" s="626" t="s">
        <v>9498</v>
      </c>
      <c r="B4849" s="626" t="s">
        <v>1908</v>
      </c>
      <c r="C4849" s="638" t="s">
        <v>104</v>
      </c>
      <c r="D4849" s="626" t="s">
        <v>6092</v>
      </c>
      <c r="E4849" s="647">
        <v>2000</v>
      </c>
      <c r="F4849" s="626" t="s">
        <v>9846</v>
      </c>
      <c r="G4849" s="626" t="s">
        <v>9847</v>
      </c>
      <c r="H4849" s="626" t="s">
        <v>6092</v>
      </c>
      <c r="I4849" s="626" t="s">
        <v>3768</v>
      </c>
      <c r="J4849" s="638" t="s">
        <v>3523</v>
      </c>
      <c r="K4849" s="745">
        <v>134</v>
      </c>
      <c r="L4849" s="638">
        <v>12</v>
      </c>
      <c r="M4849" s="746">
        <f t="shared" si="54"/>
        <v>24000</v>
      </c>
      <c r="N4849" s="743">
        <v>145</v>
      </c>
      <c r="O4849" s="626">
        <v>12</v>
      </c>
      <c r="P4849" s="744">
        <f t="shared" si="55"/>
        <v>24000</v>
      </c>
    </row>
    <row r="4850" spans="1:16" s="619" customFormat="1" ht="48" x14ac:dyDescent="0.2">
      <c r="A4850" s="626" t="s">
        <v>9498</v>
      </c>
      <c r="B4850" s="626" t="s">
        <v>1908</v>
      </c>
      <c r="C4850" s="638" t="s">
        <v>104</v>
      </c>
      <c r="D4850" s="626" t="s">
        <v>6101</v>
      </c>
      <c r="E4850" s="647">
        <v>1800</v>
      </c>
      <c r="F4850" s="626" t="s">
        <v>9848</v>
      </c>
      <c r="G4850" s="626" t="s">
        <v>9849</v>
      </c>
      <c r="H4850" s="626" t="s">
        <v>6101</v>
      </c>
      <c r="I4850" s="626" t="s">
        <v>3768</v>
      </c>
      <c r="J4850" s="638" t="s">
        <v>3523</v>
      </c>
      <c r="K4850" s="745"/>
      <c r="L4850" s="638">
        <v>0</v>
      </c>
      <c r="M4850" s="746">
        <f t="shared" si="54"/>
        <v>0</v>
      </c>
      <c r="N4850" s="638">
        <v>277</v>
      </c>
      <c r="O4850" s="626">
        <v>11</v>
      </c>
      <c r="P4850" s="744">
        <f t="shared" si="55"/>
        <v>19800</v>
      </c>
    </row>
    <row r="4851" spans="1:16" s="619" customFormat="1" ht="24" x14ac:dyDescent="0.2">
      <c r="A4851" s="626" t="s">
        <v>9498</v>
      </c>
      <c r="B4851" s="626" t="s">
        <v>1908</v>
      </c>
      <c r="C4851" s="638" t="s">
        <v>104</v>
      </c>
      <c r="D4851" s="626" t="s">
        <v>2660</v>
      </c>
      <c r="E4851" s="647">
        <v>930</v>
      </c>
      <c r="F4851" s="626" t="s">
        <v>9850</v>
      </c>
      <c r="G4851" s="626" t="s">
        <v>9851</v>
      </c>
      <c r="H4851" s="626" t="s">
        <v>2660</v>
      </c>
      <c r="I4851" s="626" t="s">
        <v>3768</v>
      </c>
      <c r="J4851" s="638" t="s">
        <v>9501</v>
      </c>
      <c r="K4851" s="745">
        <v>135</v>
      </c>
      <c r="L4851" s="638">
        <v>12</v>
      </c>
      <c r="M4851" s="746">
        <f t="shared" si="54"/>
        <v>11160</v>
      </c>
      <c r="N4851" s="743">
        <v>146</v>
      </c>
      <c r="O4851" s="626">
        <v>12</v>
      </c>
      <c r="P4851" s="744">
        <f t="shared" si="55"/>
        <v>11160</v>
      </c>
    </row>
    <row r="4852" spans="1:16" s="619" customFormat="1" ht="36" x14ac:dyDescent="0.2">
      <c r="A4852" s="626" t="s">
        <v>9498</v>
      </c>
      <c r="B4852" s="626" t="s">
        <v>1908</v>
      </c>
      <c r="C4852" s="638" t="s">
        <v>104</v>
      </c>
      <c r="D4852" s="626" t="s">
        <v>6198</v>
      </c>
      <c r="E4852" s="647">
        <v>1800</v>
      </c>
      <c r="F4852" s="626" t="s">
        <v>9852</v>
      </c>
      <c r="G4852" s="626" t="s">
        <v>9853</v>
      </c>
      <c r="H4852" s="626" t="s">
        <v>6198</v>
      </c>
      <c r="I4852" s="626" t="s">
        <v>3768</v>
      </c>
      <c r="J4852" s="638" t="s">
        <v>3523</v>
      </c>
      <c r="K4852" s="745">
        <v>136</v>
      </c>
      <c r="L4852" s="638">
        <v>12</v>
      </c>
      <c r="M4852" s="746">
        <f t="shared" si="54"/>
        <v>21600</v>
      </c>
      <c r="N4852" s="743">
        <v>147</v>
      </c>
      <c r="O4852" s="626">
        <v>12</v>
      </c>
      <c r="P4852" s="744">
        <f t="shared" si="55"/>
        <v>21600</v>
      </c>
    </row>
    <row r="4853" spans="1:16" s="619" customFormat="1" ht="36" x14ac:dyDescent="0.2">
      <c r="A4853" s="626" t="s">
        <v>9498</v>
      </c>
      <c r="B4853" s="626" t="s">
        <v>1908</v>
      </c>
      <c r="C4853" s="638" t="s">
        <v>104</v>
      </c>
      <c r="D4853" s="626" t="s">
        <v>3569</v>
      </c>
      <c r="E4853" s="647">
        <v>1000</v>
      </c>
      <c r="F4853" s="626" t="s">
        <v>9854</v>
      </c>
      <c r="G4853" s="626" t="s">
        <v>9855</v>
      </c>
      <c r="H4853" s="626" t="s">
        <v>8343</v>
      </c>
      <c r="I4853" s="626" t="s">
        <v>6</v>
      </c>
      <c r="J4853" s="638" t="s">
        <v>9501</v>
      </c>
      <c r="K4853" s="745">
        <v>137</v>
      </c>
      <c r="L4853" s="638">
        <v>12</v>
      </c>
      <c r="M4853" s="746">
        <f t="shared" si="54"/>
        <v>12000</v>
      </c>
      <c r="N4853" s="743">
        <v>148</v>
      </c>
      <c r="O4853" s="626">
        <v>12</v>
      </c>
      <c r="P4853" s="744">
        <f t="shared" si="55"/>
        <v>12000</v>
      </c>
    </row>
    <row r="4854" spans="1:16" s="619" customFormat="1" ht="24" x14ac:dyDescent="0.2">
      <c r="A4854" s="626" t="s">
        <v>9498</v>
      </c>
      <c r="B4854" s="626" t="s">
        <v>1908</v>
      </c>
      <c r="C4854" s="638" t="s">
        <v>104</v>
      </c>
      <c r="D4854" s="626" t="s">
        <v>6092</v>
      </c>
      <c r="E4854" s="647">
        <v>1600</v>
      </c>
      <c r="F4854" s="626" t="s">
        <v>9856</v>
      </c>
      <c r="G4854" s="626" t="s">
        <v>9857</v>
      </c>
      <c r="H4854" s="626" t="s">
        <v>6092</v>
      </c>
      <c r="I4854" s="626" t="s">
        <v>3768</v>
      </c>
      <c r="J4854" s="638" t="s">
        <v>3523</v>
      </c>
      <c r="K4854" s="745"/>
      <c r="L4854" s="638">
        <v>0</v>
      </c>
      <c r="M4854" s="746">
        <f t="shared" si="54"/>
        <v>0</v>
      </c>
      <c r="N4854" s="638">
        <v>300</v>
      </c>
      <c r="O4854" s="626">
        <v>10</v>
      </c>
      <c r="P4854" s="744">
        <f t="shared" si="55"/>
        <v>16000</v>
      </c>
    </row>
    <row r="4855" spans="1:16" s="619" customFormat="1" ht="24" x14ac:dyDescent="0.2">
      <c r="A4855" s="626" t="s">
        <v>9498</v>
      </c>
      <c r="B4855" s="626" t="s">
        <v>1908</v>
      </c>
      <c r="C4855" s="638" t="s">
        <v>104</v>
      </c>
      <c r="D4855" s="626" t="s">
        <v>2660</v>
      </c>
      <c r="E4855" s="647">
        <v>930</v>
      </c>
      <c r="F4855" s="626" t="s">
        <v>9858</v>
      </c>
      <c r="G4855" s="626" t="s">
        <v>9859</v>
      </c>
      <c r="H4855" s="626" t="s">
        <v>2660</v>
      </c>
      <c r="I4855" s="626" t="s">
        <v>3768</v>
      </c>
      <c r="J4855" s="638" t="s">
        <v>9501</v>
      </c>
      <c r="K4855" s="745">
        <v>138</v>
      </c>
      <c r="L4855" s="638">
        <v>12</v>
      </c>
      <c r="M4855" s="746">
        <f t="shared" si="54"/>
        <v>11160</v>
      </c>
      <c r="N4855" s="743">
        <v>149</v>
      </c>
      <c r="O4855" s="626">
        <v>12</v>
      </c>
      <c r="P4855" s="744">
        <f t="shared" si="55"/>
        <v>11160</v>
      </c>
    </row>
    <row r="4856" spans="1:16" s="619" customFormat="1" ht="36" x14ac:dyDescent="0.2">
      <c r="A4856" s="626" t="s">
        <v>9498</v>
      </c>
      <c r="B4856" s="626" t="s">
        <v>1908</v>
      </c>
      <c r="C4856" s="638" t="s">
        <v>104</v>
      </c>
      <c r="D4856" s="626" t="s">
        <v>6120</v>
      </c>
      <c r="E4856" s="647">
        <v>1000</v>
      </c>
      <c r="F4856" s="626" t="s">
        <v>9860</v>
      </c>
      <c r="G4856" s="626" t="s">
        <v>9861</v>
      </c>
      <c r="H4856" s="626" t="s">
        <v>6120</v>
      </c>
      <c r="I4856" s="626" t="s">
        <v>1931</v>
      </c>
      <c r="J4856" s="638" t="s">
        <v>9501</v>
      </c>
      <c r="K4856" s="745">
        <v>139</v>
      </c>
      <c r="L4856" s="638">
        <v>12</v>
      </c>
      <c r="M4856" s="746">
        <f t="shared" si="54"/>
        <v>12000</v>
      </c>
      <c r="N4856" s="743">
        <v>150</v>
      </c>
      <c r="O4856" s="626">
        <v>12</v>
      </c>
      <c r="P4856" s="744">
        <f t="shared" si="55"/>
        <v>12000</v>
      </c>
    </row>
    <row r="4857" spans="1:16" s="619" customFormat="1" ht="36" x14ac:dyDescent="0.2">
      <c r="A4857" s="626" t="s">
        <v>9498</v>
      </c>
      <c r="B4857" s="626" t="s">
        <v>1908</v>
      </c>
      <c r="C4857" s="638" t="s">
        <v>104</v>
      </c>
      <c r="D4857" s="626" t="s">
        <v>3545</v>
      </c>
      <c r="E4857" s="647">
        <v>1000</v>
      </c>
      <c r="F4857" s="626" t="s">
        <v>9862</v>
      </c>
      <c r="G4857" s="626" t="s">
        <v>9863</v>
      </c>
      <c r="H4857" s="626" t="s">
        <v>3545</v>
      </c>
      <c r="I4857" s="626" t="s">
        <v>3768</v>
      </c>
      <c r="J4857" s="638" t="s">
        <v>3523</v>
      </c>
      <c r="K4857" s="745">
        <v>140</v>
      </c>
      <c r="L4857" s="638">
        <v>12</v>
      </c>
      <c r="M4857" s="746">
        <f t="shared" si="54"/>
        <v>12000</v>
      </c>
      <c r="N4857" s="743">
        <v>151</v>
      </c>
      <c r="O4857" s="626">
        <v>12</v>
      </c>
      <c r="P4857" s="744">
        <f t="shared" si="55"/>
        <v>12000</v>
      </c>
    </row>
    <row r="4858" spans="1:16" s="619" customFormat="1" ht="24" x14ac:dyDescent="0.2">
      <c r="A4858" s="626" t="s">
        <v>9498</v>
      </c>
      <c r="B4858" s="626" t="s">
        <v>1908</v>
      </c>
      <c r="C4858" s="638" t="s">
        <v>104</v>
      </c>
      <c r="D4858" s="626" t="s">
        <v>3548</v>
      </c>
      <c r="E4858" s="647">
        <v>1000</v>
      </c>
      <c r="F4858" s="626" t="s">
        <v>9864</v>
      </c>
      <c r="G4858" s="626" t="s">
        <v>9865</v>
      </c>
      <c r="H4858" s="626" t="s">
        <v>3548</v>
      </c>
      <c r="I4858" s="626" t="s">
        <v>3614</v>
      </c>
      <c r="J4858" s="638" t="s">
        <v>8667</v>
      </c>
      <c r="K4858" s="745">
        <v>141</v>
      </c>
      <c r="L4858" s="638">
        <v>12</v>
      </c>
      <c r="M4858" s="746">
        <f t="shared" si="54"/>
        <v>12000</v>
      </c>
      <c r="N4858" s="743">
        <v>152</v>
      </c>
      <c r="O4858" s="626">
        <v>12</v>
      </c>
      <c r="P4858" s="744">
        <f t="shared" si="55"/>
        <v>12000</v>
      </c>
    </row>
    <row r="4859" spans="1:16" s="619" customFormat="1" ht="36" x14ac:dyDescent="0.2">
      <c r="A4859" s="626" t="s">
        <v>9498</v>
      </c>
      <c r="B4859" s="626" t="s">
        <v>1908</v>
      </c>
      <c r="C4859" s="638" t="s">
        <v>104</v>
      </c>
      <c r="D4859" s="626" t="s">
        <v>3529</v>
      </c>
      <c r="E4859" s="647">
        <v>2000</v>
      </c>
      <c r="F4859" s="626" t="s">
        <v>9866</v>
      </c>
      <c r="G4859" s="626" t="s">
        <v>9867</v>
      </c>
      <c r="H4859" s="626" t="s">
        <v>3529</v>
      </c>
      <c r="I4859" s="626" t="s">
        <v>3768</v>
      </c>
      <c r="J4859" s="638" t="s">
        <v>3523</v>
      </c>
      <c r="K4859" s="745"/>
      <c r="L4859" s="638">
        <v>0</v>
      </c>
      <c r="M4859" s="746">
        <f t="shared" si="54"/>
        <v>0</v>
      </c>
      <c r="N4859" s="743">
        <v>153</v>
      </c>
      <c r="O4859" s="626">
        <v>12</v>
      </c>
      <c r="P4859" s="744">
        <f t="shared" si="55"/>
        <v>24000</v>
      </c>
    </row>
    <row r="4860" spans="1:16" s="619" customFormat="1" ht="36" x14ac:dyDescent="0.2">
      <c r="A4860" s="626" t="s">
        <v>9498</v>
      </c>
      <c r="B4860" s="626" t="s">
        <v>1908</v>
      </c>
      <c r="C4860" s="638" t="s">
        <v>104</v>
      </c>
      <c r="D4860" s="626" t="s">
        <v>7626</v>
      </c>
      <c r="E4860" s="647">
        <v>1000</v>
      </c>
      <c r="F4860" s="626" t="s">
        <v>9403</v>
      </c>
      <c r="G4860" s="626" t="s">
        <v>9404</v>
      </c>
      <c r="H4860" s="626" t="s">
        <v>7626</v>
      </c>
      <c r="I4860" s="626" t="s">
        <v>1931</v>
      </c>
      <c r="J4860" s="638" t="s">
        <v>9501</v>
      </c>
      <c r="K4860" s="745"/>
      <c r="L4860" s="638">
        <v>0</v>
      </c>
      <c r="M4860" s="746">
        <f t="shared" si="54"/>
        <v>0</v>
      </c>
      <c r="N4860" s="638">
        <v>301</v>
      </c>
      <c r="O4860" s="626">
        <v>10</v>
      </c>
      <c r="P4860" s="744">
        <f t="shared" si="55"/>
        <v>10000</v>
      </c>
    </row>
    <row r="4861" spans="1:16" s="619" customFormat="1" ht="24" x14ac:dyDescent="0.2">
      <c r="A4861" s="626" t="s">
        <v>9498</v>
      </c>
      <c r="B4861" s="626" t="s">
        <v>1908</v>
      </c>
      <c r="C4861" s="638" t="s">
        <v>104</v>
      </c>
      <c r="D4861" s="626" t="s">
        <v>2087</v>
      </c>
      <c r="E4861" s="647">
        <v>1000</v>
      </c>
      <c r="F4861" s="626" t="s">
        <v>9868</v>
      </c>
      <c r="G4861" s="626" t="s">
        <v>9869</v>
      </c>
      <c r="H4861" s="626" t="s">
        <v>2087</v>
      </c>
      <c r="I4861" s="626" t="s">
        <v>3768</v>
      </c>
      <c r="J4861" s="638" t="s">
        <v>9501</v>
      </c>
      <c r="K4861" s="745">
        <v>142</v>
      </c>
      <c r="L4861" s="638">
        <v>12</v>
      </c>
      <c r="M4861" s="746">
        <f t="shared" si="54"/>
        <v>12000</v>
      </c>
      <c r="N4861" s="743">
        <v>154</v>
      </c>
      <c r="O4861" s="626">
        <v>12</v>
      </c>
      <c r="P4861" s="744">
        <f t="shared" si="55"/>
        <v>12000</v>
      </c>
    </row>
    <row r="4862" spans="1:16" s="619" customFormat="1" ht="24" x14ac:dyDescent="0.2">
      <c r="A4862" s="626" t="s">
        <v>9498</v>
      </c>
      <c r="B4862" s="626" t="s">
        <v>1908</v>
      </c>
      <c r="C4862" s="638" t="s">
        <v>104</v>
      </c>
      <c r="D4862" s="626" t="s">
        <v>2660</v>
      </c>
      <c r="E4862" s="647">
        <v>930</v>
      </c>
      <c r="F4862" s="626" t="s">
        <v>9870</v>
      </c>
      <c r="G4862" s="626" t="s">
        <v>9871</v>
      </c>
      <c r="H4862" s="626" t="s">
        <v>2660</v>
      </c>
      <c r="I4862" s="626" t="s">
        <v>3768</v>
      </c>
      <c r="J4862" s="638" t="s">
        <v>9501</v>
      </c>
      <c r="K4862" s="745">
        <v>143</v>
      </c>
      <c r="L4862" s="638">
        <v>12</v>
      </c>
      <c r="M4862" s="746">
        <f t="shared" si="54"/>
        <v>11160</v>
      </c>
      <c r="N4862" s="743">
        <v>155</v>
      </c>
      <c r="O4862" s="626">
        <v>12</v>
      </c>
      <c r="P4862" s="744">
        <f t="shared" si="55"/>
        <v>11160</v>
      </c>
    </row>
    <row r="4863" spans="1:16" s="619" customFormat="1" ht="24" x14ac:dyDescent="0.2">
      <c r="A4863" s="626" t="s">
        <v>9498</v>
      </c>
      <c r="B4863" s="626" t="s">
        <v>1908</v>
      </c>
      <c r="C4863" s="638" t="s">
        <v>104</v>
      </c>
      <c r="D4863" s="626" t="s">
        <v>3548</v>
      </c>
      <c r="E4863" s="647">
        <v>1000</v>
      </c>
      <c r="F4863" s="626" t="s">
        <v>9872</v>
      </c>
      <c r="G4863" s="626" t="s">
        <v>9873</v>
      </c>
      <c r="H4863" s="626" t="s">
        <v>3548</v>
      </c>
      <c r="I4863" s="626" t="s">
        <v>3614</v>
      </c>
      <c r="J4863" s="638" t="s">
        <v>8667</v>
      </c>
      <c r="K4863" s="745">
        <v>144</v>
      </c>
      <c r="L4863" s="638">
        <v>12</v>
      </c>
      <c r="M4863" s="746">
        <f t="shared" si="54"/>
        <v>12000</v>
      </c>
      <c r="N4863" s="743">
        <v>156</v>
      </c>
      <c r="O4863" s="626">
        <v>12</v>
      </c>
      <c r="P4863" s="744">
        <f t="shared" si="55"/>
        <v>12000</v>
      </c>
    </row>
    <row r="4864" spans="1:16" s="619" customFormat="1" ht="36" x14ac:dyDescent="0.2">
      <c r="A4864" s="626" t="s">
        <v>9498</v>
      </c>
      <c r="B4864" s="626" t="s">
        <v>1908</v>
      </c>
      <c r="C4864" s="638" t="s">
        <v>104</v>
      </c>
      <c r="D4864" s="626" t="s">
        <v>3529</v>
      </c>
      <c r="E4864" s="647">
        <v>2500</v>
      </c>
      <c r="F4864" s="626" t="s">
        <v>9874</v>
      </c>
      <c r="G4864" s="626" t="s">
        <v>9875</v>
      </c>
      <c r="H4864" s="626" t="s">
        <v>3529</v>
      </c>
      <c r="I4864" s="626" t="s">
        <v>3768</v>
      </c>
      <c r="J4864" s="638" t="s">
        <v>3523</v>
      </c>
      <c r="K4864" s="745">
        <v>145</v>
      </c>
      <c r="L4864" s="638">
        <v>12</v>
      </c>
      <c r="M4864" s="746">
        <f t="shared" si="54"/>
        <v>30000</v>
      </c>
      <c r="N4864" s="743">
        <v>157</v>
      </c>
      <c r="O4864" s="626">
        <v>12</v>
      </c>
      <c r="P4864" s="744">
        <f t="shared" si="55"/>
        <v>30000</v>
      </c>
    </row>
    <row r="4865" spans="1:16" s="619" customFormat="1" ht="24" x14ac:dyDescent="0.2">
      <c r="A4865" s="626" t="s">
        <v>9498</v>
      </c>
      <c r="B4865" s="626" t="s">
        <v>1908</v>
      </c>
      <c r="C4865" s="638" t="s">
        <v>104</v>
      </c>
      <c r="D4865" s="626" t="s">
        <v>7626</v>
      </c>
      <c r="E4865" s="647">
        <v>930</v>
      </c>
      <c r="F4865" s="626" t="s">
        <v>9876</v>
      </c>
      <c r="G4865" s="626" t="s">
        <v>9877</v>
      </c>
      <c r="H4865" s="626" t="s">
        <v>7626</v>
      </c>
      <c r="I4865" s="626" t="s">
        <v>1931</v>
      </c>
      <c r="J4865" s="638" t="s">
        <v>9501</v>
      </c>
      <c r="K4865" s="745">
        <v>146</v>
      </c>
      <c r="L4865" s="638">
        <v>12</v>
      </c>
      <c r="M4865" s="746">
        <f t="shared" si="54"/>
        <v>11160</v>
      </c>
      <c r="N4865" s="743">
        <v>158</v>
      </c>
      <c r="O4865" s="626">
        <v>12</v>
      </c>
      <c r="P4865" s="744">
        <f t="shared" si="55"/>
        <v>11160</v>
      </c>
    </row>
    <row r="4866" spans="1:16" s="619" customFormat="1" ht="24" x14ac:dyDescent="0.2">
      <c r="A4866" s="626" t="s">
        <v>9498</v>
      </c>
      <c r="B4866" s="626" t="s">
        <v>1908</v>
      </c>
      <c r="C4866" s="638" t="s">
        <v>104</v>
      </c>
      <c r="D4866" s="626" t="s">
        <v>2660</v>
      </c>
      <c r="E4866" s="647">
        <v>930</v>
      </c>
      <c r="F4866" s="626" t="s">
        <v>9878</v>
      </c>
      <c r="G4866" s="626" t="s">
        <v>9879</v>
      </c>
      <c r="H4866" s="626" t="s">
        <v>2660</v>
      </c>
      <c r="I4866" s="626" t="s">
        <v>3768</v>
      </c>
      <c r="J4866" s="638" t="s">
        <v>9501</v>
      </c>
      <c r="K4866" s="745">
        <v>147</v>
      </c>
      <c r="L4866" s="638">
        <v>12</v>
      </c>
      <c r="M4866" s="746">
        <f t="shared" si="54"/>
        <v>11160</v>
      </c>
      <c r="N4866" s="743">
        <v>159</v>
      </c>
      <c r="O4866" s="626">
        <v>12</v>
      </c>
      <c r="P4866" s="744">
        <f t="shared" si="55"/>
        <v>11160</v>
      </c>
    </row>
    <row r="4867" spans="1:16" s="619" customFormat="1" ht="24" x14ac:dyDescent="0.2">
      <c r="A4867" s="626" t="s">
        <v>9498</v>
      </c>
      <c r="B4867" s="626" t="s">
        <v>1908</v>
      </c>
      <c r="C4867" s="638" t="s">
        <v>104</v>
      </c>
      <c r="D4867" s="626" t="s">
        <v>7740</v>
      </c>
      <c r="E4867" s="647">
        <v>1800</v>
      </c>
      <c r="F4867" s="626" t="s">
        <v>9880</v>
      </c>
      <c r="G4867" s="626" t="s">
        <v>9881</v>
      </c>
      <c r="H4867" s="626" t="s">
        <v>7740</v>
      </c>
      <c r="I4867" s="626" t="s">
        <v>3768</v>
      </c>
      <c r="J4867" s="638" t="s">
        <v>3523</v>
      </c>
      <c r="K4867" s="745">
        <v>148</v>
      </c>
      <c r="L4867" s="638">
        <v>12</v>
      </c>
      <c r="M4867" s="746">
        <f t="shared" si="54"/>
        <v>21600</v>
      </c>
      <c r="N4867" s="743">
        <v>160</v>
      </c>
      <c r="O4867" s="626">
        <v>12</v>
      </c>
      <c r="P4867" s="744">
        <f t="shared" si="55"/>
        <v>21600</v>
      </c>
    </row>
    <row r="4868" spans="1:16" s="619" customFormat="1" ht="36" x14ac:dyDescent="0.2">
      <c r="A4868" s="626" t="s">
        <v>9498</v>
      </c>
      <c r="B4868" s="626" t="s">
        <v>1908</v>
      </c>
      <c r="C4868" s="638" t="s">
        <v>104</v>
      </c>
      <c r="D4868" s="626" t="s">
        <v>7745</v>
      </c>
      <c r="E4868" s="647">
        <v>1800</v>
      </c>
      <c r="F4868" s="626" t="s">
        <v>9882</v>
      </c>
      <c r="G4868" s="626" t="s">
        <v>9883</v>
      </c>
      <c r="H4868" s="626" t="s">
        <v>7745</v>
      </c>
      <c r="I4868" s="626" t="s">
        <v>3768</v>
      </c>
      <c r="J4868" s="638" t="s">
        <v>3523</v>
      </c>
      <c r="K4868" s="745">
        <v>149</v>
      </c>
      <c r="L4868" s="638">
        <v>12</v>
      </c>
      <c r="M4868" s="746">
        <f t="shared" ref="M4868:M4931" si="56">+E4868*L4868</f>
        <v>21600</v>
      </c>
      <c r="N4868" s="743">
        <v>161</v>
      </c>
      <c r="O4868" s="626">
        <v>12</v>
      </c>
      <c r="P4868" s="744">
        <f t="shared" ref="P4868:P4931" si="57">+E4868*O4868</f>
        <v>21600</v>
      </c>
    </row>
    <row r="4869" spans="1:16" s="619" customFormat="1" ht="24" x14ac:dyDescent="0.2">
      <c r="A4869" s="626" t="s">
        <v>9498</v>
      </c>
      <c r="B4869" s="626" t="s">
        <v>1908</v>
      </c>
      <c r="C4869" s="638" t="s">
        <v>104</v>
      </c>
      <c r="D4869" s="626" t="s">
        <v>1996</v>
      </c>
      <c r="E4869" s="647">
        <v>930</v>
      </c>
      <c r="F4869" s="626" t="s">
        <v>9884</v>
      </c>
      <c r="G4869" s="626" t="s">
        <v>9885</v>
      </c>
      <c r="H4869" s="626" t="s">
        <v>1996</v>
      </c>
      <c r="I4869" s="626" t="s">
        <v>3614</v>
      </c>
      <c r="J4869" s="638" t="s">
        <v>8667</v>
      </c>
      <c r="K4869" s="745">
        <v>150</v>
      </c>
      <c r="L4869" s="638">
        <v>12</v>
      </c>
      <c r="M4869" s="746">
        <f t="shared" si="56"/>
        <v>11160</v>
      </c>
      <c r="N4869" s="743">
        <v>162</v>
      </c>
      <c r="O4869" s="626">
        <v>12</v>
      </c>
      <c r="P4869" s="744">
        <f t="shared" si="57"/>
        <v>11160</v>
      </c>
    </row>
    <row r="4870" spans="1:16" s="619" customFormat="1" ht="24" x14ac:dyDescent="0.2">
      <c r="A4870" s="626" t="s">
        <v>9498</v>
      </c>
      <c r="B4870" s="626" t="s">
        <v>1908</v>
      </c>
      <c r="C4870" s="638" t="s">
        <v>104</v>
      </c>
      <c r="D4870" s="626" t="s">
        <v>2660</v>
      </c>
      <c r="E4870" s="647">
        <v>930</v>
      </c>
      <c r="F4870" s="626" t="s">
        <v>9886</v>
      </c>
      <c r="G4870" s="626" t="s">
        <v>9887</v>
      </c>
      <c r="H4870" s="626" t="s">
        <v>2660</v>
      </c>
      <c r="I4870" s="626" t="s">
        <v>3768</v>
      </c>
      <c r="J4870" s="638" t="s">
        <v>9501</v>
      </c>
      <c r="K4870" s="745">
        <v>151</v>
      </c>
      <c r="L4870" s="638">
        <v>12</v>
      </c>
      <c r="M4870" s="746">
        <f t="shared" si="56"/>
        <v>11160</v>
      </c>
      <c r="N4870" s="743">
        <v>163</v>
      </c>
      <c r="O4870" s="626">
        <v>12</v>
      </c>
      <c r="P4870" s="744">
        <f t="shared" si="57"/>
        <v>11160</v>
      </c>
    </row>
    <row r="4871" spans="1:16" s="619" customFormat="1" ht="36" x14ac:dyDescent="0.2">
      <c r="A4871" s="626" t="s">
        <v>9498</v>
      </c>
      <c r="B4871" s="626" t="s">
        <v>1908</v>
      </c>
      <c r="C4871" s="638" t="s">
        <v>104</v>
      </c>
      <c r="D4871" s="626" t="s">
        <v>6187</v>
      </c>
      <c r="E4871" s="647">
        <v>1000</v>
      </c>
      <c r="F4871" s="626" t="s">
        <v>9888</v>
      </c>
      <c r="G4871" s="626" t="s">
        <v>9889</v>
      </c>
      <c r="H4871" s="626" t="s">
        <v>6120</v>
      </c>
      <c r="I4871" s="626" t="s">
        <v>1931</v>
      </c>
      <c r="J4871" s="638" t="s">
        <v>9501</v>
      </c>
      <c r="K4871" s="745">
        <v>152</v>
      </c>
      <c r="L4871" s="638">
        <v>12</v>
      </c>
      <c r="M4871" s="746">
        <f t="shared" si="56"/>
        <v>12000</v>
      </c>
      <c r="N4871" s="743">
        <v>164</v>
      </c>
      <c r="O4871" s="626">
        <v>12</v>
      </c>
      <c r="P4871" s="744">
        <f t="shared" si="57"/>
        <v>12000</v>
      </c>
    </row>
    <row r="4872" spans="1:16" s="619" customFormat="1" ht="24" x14ac:dyDescent="0.2">
      <c r="A4872" s="626" t="s">
        <v>9498</v>
      </c>
      <c r="B4872" s="626" t="s">
        <v>1908</v>
      </c>
      <c r="C4872" s="638" t="s">
        <v>104</v>
      </c>
      <c r="D4872" s="626" t="s">
        <v>2087</v>
      </c>
      <c r="E4872" s="647">
        <v>1000</v>
      </c>
      <c r="F4872" s="626" t="s">
        <v>9890</v>
      </c>
      <c r="G4872" s="626" t="s">
        <v>9891</v>
      </c>
      <c r="H4872" s="626" t="s">
        <v>2087</v>
      </c>
      <c r="I4872" s="626" t="s">
        <v>3768</v>
      </c>
      <c r="J4872" s="638" t="s">
        <v>9501</v>
      </c>
      <c r="K4872" s="745">
        <v>153</v>
      </c>
      <c r="L4872" s="638">
        <v>12</v>
      </c>
      <c r="M4872" s="746">
        <f t="shared" si="56"/>
        <v>12000</v>
      </c>
      <c r="N4872" s="743">
        <v>165</v>
      </c>
      <c r="O4872" s="626">
        <v>12</v>
      </c>
      <c r="P4872" s="744">
        <f t="shared" si="57"/>
        <v>12000</v>
      </c>
    </row>
    <row r="4873" spans="1:16" s="619" customFormat="1" ht="24" x14ac:dyDescent="0.2">
      <c r="A4873" s="626" t="s">
        <v>9498</v>
      </c>
      <c r="B4873" s="626" t="s">
        <v>1908</v>
      </c>
      <c r="C4873" s="638" t="s">
        <v>104</v>
      </c>
      <c r="D4873" s="626" t="s">
        <v>2660</v>
      </c>
      <c r="E4873" s="647">
        <v>930</v>
      </c>
      <c r="F4873" s="626" t="s">
        <v>9892</v>
      </c>
      <c r="G4873" s="626" t="s">
        <v>9893</v>
      </c>
      <c r="H4873" s="626" t="s">
        <v>2660</v>
      </c>
      <c r="I4873" s="626" t="s">
        <v>3768</v>
      </c>
      <c r="J4873" s="638" t="s">
        <v>9501</v>
      </c>
      <c r="K4873" s="745">
        <v>154</v>
      </c>
      <c r="L4873" s="638">
        <v>12</v>
      </c>
      <c r="M4873" s="746">
        <f t="shared" si="56"/>
        <v>11160</v>
      </c>
      <c r="N4873" s="743">
        <v>166</v>
      </c>
      <c r="O4873" s="626">
        <v>12</v>
      </c>
      <c r="P4873" s="744">
        <f t="shared" si="57"/>
        <v>11160</v>
      </c>
    </row>
    <row r="4874" spans="1:16" s="619" customFormat="1" ht="36" x14ac:dyDescent="0.2">
      <c r="A4874" s="626" t="s">
        <v>9498</v>
      </c>
      <c r="B4874" s="626" t="s">
        <v>1908</v>
      </c>
      <c r="C4874" s="638" t="s">
        <v>104</v>
      </c>
      <c r="D4874" s="626" t="s">
        <v>2660</v>
      </c>
      <c r="E4874" s="647">
        <v>930</v>
      </c>
      <c r="F4874" s="626" t="s">
        <v>9894</v>
      </c>
      <c r="G4874" s="626" t="s">
        <v>9895</v>
      </c>
      <c r="H4874" s="626" t="s">
        <v>2660</v>
      </c>
      <c r="I4874" s="626" t="s">
        <v>3768</v>
      </c>
      <c r="J4874" s="638" t="s">
        <v>9501</v>
      </c>
      <c r="K4874" s="745"/>
      <c r="L4874" s="638">
        <v>0</v>
      </c>
      <c r="M4874" s="746">
        <f t="shared" si="56"/>
        <v>0</v>
      </c>
      <c r="N4874" s="638">
        <v>302</v>
      </c>
      <c r="O4874" s="626">
        <v>10</v>
      </c>
      <c r="P4874" s="744">
        <f t="shared" si="57"/>
        <v>9300</v>
      </c>
    </row>
    <row r="4875" spans="1:16" s="619" customFormat="1" ht="24" x14ac:dyDescent="0.2">
      <c r="A4875" s="626" t="s">
        <v>9498</v>
      </c>
      <c r="B4875" s="626" t="s">
        <v>1908</v>
      </c>
      <c r="C4875" s="638" t="s">
        <v>104</v>
      </c>
      <c r="D4875" s="626" t="s">
        <v>3569</v>
      </c>
      <c r="E4875" s="647">
        <v>1800</v>
      </c>
      <c r="F4875" s="626" t="s">
        <v>9896</v>
      </c>
      <c r="G4875" s="626" t="s">
        <v>9897</v>
      </c>
      <c r="H4875" s="626" t="s">
        <v>9898</v>
      </c>
      <c r="I4875" s="626" t="s">
        <v>3768</v>
      </c>
      <c r="J4875" s="638" t="s">
        <v>3523</v>
      </c>
      <c r="K4875" s="745"/>
      <c r="L4875" s="638">
        <v>0</v>
      </c>
      <c r="M4875" s="746">
        <f t="shared" si="56"/>
        <v>0</v>
      </c>
      <c r="N4875" s="638">
        <v>278</v>
      </c>
      <c r="O4875" s="626">
        <v>11</v>
      </c>
      <c r="P4875" s="744">
        <f t="shared" si="57"/>
        <v>19800</v>
      </c>
    </row>
    <row r="4876" spans="1:16" s="619" customFormat="1" ht="24" x14ac:dyDescent="0.2">
      <c r="A4876" s="626" t="s">
        <v>9498</v>
      </c>
      <c r="B4876" s="626" t="s">
        <v>1908</v>
      </c>
      <c r="C4876" s="638" t="s">
        <v>104</v>
      </c>
      <c r="D4876" s="626" t="s">
        <v>2660</v>
      </c>
      <c r="E4876" s="647">
        <v>930</v>
      </c>
      <c r="F4876" s="626" t="s">
        <v>9899</v>
      </c>
      <c r="G4876" s="626" t="s">
        <v>9900</v>
      </c>
      <c r="H4876" s="626" t="s">
        <v>2660</v>
      </c>
      <c r="I4876" s="626" t="s">
        <v>3768</v>
      </c>
      <c r="J4876" s="638" t="s">
        <v>9501</v>
      </c>
      <c r="K4876" s="745">
        <v>155</v>
      </c>
      <c r="L4876" s="638">
        <v>12</v>
      </c>
      <c r="M4876" s="746">
        <f t="shared" si="56"/>
        <v>11160</v>
      </c>
      <c r="N4876" s="743">
        <v>167</v>
      </c>
      <c r="O4876" s="626">
        <v>12</v>
      </c>
      <c r="P4876" s="744">
        <f t="shared" si="57"/>
        <v>11160</v>
      </c>
    </row>
    <row r="4877" spans="1:16" s="619" customFormat="1" ht="36" x14ac:dyDescent="0.2">
      <c r="A4877" s="626" t="s">
        <v>9498</v>
      </c>
      <c r="B4877" s="626" t="s">
        <v>1908</v>
      </c>
      <c r="C4877" s="638" t="s">
        <v>104</v>
      </c>
      <c r="D4877" s="626" t="s">
        <v>6738</v>
      </c>
      <c r="E4877" s="647">
        <v>8000</v>
      </c>
      <c r="F4877" s="626" t="s">
        <v>9901</v>
      </c>
      <c r="G4877" s="626" t="s">
        <v>9902</v>
      </c>
      <c r="H4877" s="626" t="s">
        <v>6738</v>
      </c>
      <c r="I4877" s="626" t="s">
        <v>3768</v>
      </c>
      <c r="J4877" s="638" t="s">
        <v>3523</v>
      </c>
      <c r="K4877" s="745">
        <v>156</v>
      </c>
      <c r="L4877" s="638">
        <v>12</v>
      </c>
      <c r="M4877" s="746">
        <f t="shared" si="56"/>
        <v>96000</v>
      </c>
      <c r="N4877" s="743">
        <v>168</v>
      </c>
      <c r="O4877" s="626">
        <v>12</v>
      </c>
      <c r="P4877" s="744">
        <f t="shared" si="57"/>
        <v>96000</v>
      </c>
    </row>
    <row r="4878" spans="1:16" s="619" customFormat="1" ht="24" x14ac:dyDescent="0.2">
      <c r="A4878" s="626" t="s">
        <v>9498</v>
      </c>
      <c r="B4878" s="626" t="s">
        <v>1908</v>
      </c>
      <c r="C4878" s="638" t="s">
        <v>104</v>
      </c>
      <c r="D4878" s="626" t="s">
        <v>2660</v>
      </c>
      <c r="E4878" s="647">
        <v>930</v>
      </c>
      <c r="F4878" s="626" t="s">
        <v>9903</v>
      </c>
      <c r="G4878" s="626" t="s">
        <v>9904</v>
      </c>
      <c r="H4878" s="626" t="s">
        <v>2660</v>
      </c>
      <c r="I4878" s="626" t="s">
        <v>3768</v>
      </c>
      <c r="J4878" s="638" t="s">
        <v>9501</v>
      </c>
      <c r="K4878" s="745"/>
      <c r="L4878" s="638">
        <v>0</v>
      </c>
      <c r="M4878" s="746">
        <f t="shared" si="56"/>
        <v>0</v>
      </c>
      <c r="N4878" s="743">
        <v>169</v>
      </c>
      <c r="O4878" s="626">
        <v>12</v>
      </c>
      <c r="P4878" s="744">
        <f t="shared" si="57"/>
        <v>11160</v>
      </c>
    </row>
    <row r="4879" spans="1:16" s="619" customFormat="1" ht="36" x14ac:dyDescent="0.2">
      <c r="A4879" s="626" t="s">
        <v>9498</v>
      </c>
      <c r="B4879" s="626" t="s">
        <v>1908</v>
      </c>
      <c r="C4879" s="638" t="s">
        <v>104</v>
      </c>
      <c r="D4879" s="626" t="s">
        <v>6299</v>
      </c>
      <c r="E4879" s="647">
        <v>930</v>
      </c>
      <c r="F4879" s="626" t="s">
        <v>9905</v>
      </c>
      <c r="G4879" s="626" t="s">
        <v>9906</v>
      </c>
      <c r="H4879" s="626" t="s">
        <v>6299</v>
      </c>
      <c r="I4879" s="626" t="s">
        <v>3674</v>
      </c>
      <c r="J4879" s="638" t="s">
        <v>9501</v>
      </c>
      <c r="K4879" s="745">
        <v>157</v>
      </c>
      <c r="L4879" s="638">
        <v>12</v>
      </c>
      <c r="M4879" s="746">
        <f t="shared" si="56"/>
        <v>11160</v>
      </c>
      <c r="N4879" s="743">
        <v>170</v>
      </c>
      <c r="O4879" s="626">
        <v>12</v>
      </c>
      <c r="P4879" s="744">
        <f t="shared" si="57"/>
        <v>11160</v>
      </c>
    </row>
    <row r="4880" spans="1:16" s="619" customFormat="1" ht="24" x14ac:dyDescent="0.2">
      <c r="A4880" s="626" t="s">
        <v>9498</v>
      </c>
      <c r="B4880" s="626" t="s">
        <v>1908</v>
      </c>
      <c r="C4880" s="638" t="s">
        <v>104</v>
      </c>
      <c r="D4880" s="626" t="s">
        <v>2660</v>
      </c>
      <c r="E4880" s="647">
        <v>1000</v>
      </c>
      <c r="F4880" s="626" t="s">
        <v>9907</v>
      </c>
      <c r="G4880" s="626" t="s">
        <v>9908</v>
      </c>
      <c r="H4880" s="626" t="s">
        <v>2660</v>
      </c>
      <c r="I4880" s="626" t="s">
        <v>3768</v>
      </c>
      <c r="J4880" s="638" t="s">
        <v>9501</v>
      </c>
      <c r="K4880" s="745">
        <v>158</v>
      </c>
      <c r="L4880" s="638">
        <v>12</v>
      </c>
      <c r="M4880" s="746">
        <f t="shared" si="56"/>
        <v>12000</v>
      </c>
      <c r="N4880" s="743">
        <v>171</v>
      </c>
      <c r="O4880" s="626">
        <v>12</v>
      </c>
      <c r="P4880" s="744">
        <f t="shared" si="57"/>
        <v>12000</v>
      </c>
    </row>
    <row r="4881" spans="1:16" s="619" customFormat="1" ht="60" x14ac:dyDescent="0.2">
      <c r="A4881" s="626" t="s">
        <v>9498</v>
      </c>
      <c r="B4881" s="626" t="s">
        <v>1908</v>
      </c>
      <c r="C4881" s="638" t="s">
        <v>104</v>
      </c>
      <c r="D4881" s="626" t="s">
        <v>1925</v>
      </c>
      <c r="E4881" s="647">
        <v>1800</v>
      </c>
      <c r="F4881" s="626" t="s">
        <v>9909</v>
      </c>
      <c r="G4881" s="626" t="s">
        <v>9910</v>
      </c>
      <c r="H4881" s="626" t="s">
        <v>1925</v>
      </c>
      <c r="I4881" s="626" t="s">
        <v>3768</v>
      </c>
      <c r="J4881" s="638" t="s">
        <v>3523</v>
      </c>
      <c r="K4881" s="745"/>
      <c r="L4881" s="638">
        <v>0</v>
      </c>
      <c r="M4881" s="746">
        <f t="shared" si="56"/>
        <v>0</v>
      </c>
      <c r="N4881" s="638">
        <v>321</v>
      </c>
      <c r="O4881" s="626">
        <v>4</v>
      </c>
      <c r="P4881" s="744">
        <f t="shared" si="57"/>
        <v>7200</v>
      </c>
    </row>
    <row r="4882" spans="1:16" s="619" customFormat="1" ht="48" x14ac:dyDescent="0.2">
      <c r="A4882" s="626" t="s">
        <v>9498</v>
      </c>
      <c r="B4882" s="626" t="s">
        <v>1908</v>
      </c>
      <c r="C4882" s="638" t="s">
        <v>104</v>
      </c>
      <c r="D4882" s="626" t="s">
        <v>6691</v>
      </c>
      <c r="E4882" s="647">
        <v>1200</v>
      </c>
      <c r="F4882" s="626" t="s">
        <v>9911</v>
      </c>
      <c r="G4882" s="626" t="s">
        <v>9912</v>
      </c>
      <c r="H4882" s="626" t="s">
        <v>6691</v>
      </c>
      <c r="I4882" s="626" t="s">
        <v>3768</v>
      </c>
      <c r="J4882" s="638" t="s">
        <v>3523</v>
      </c>
      <c r="K4882" s="745">
        <v>159</v>
      </c>
      <c r="L4882" s="638">
        <v>12</v>
      </c>
      <c r="M4882" s="746">
        <f t="shared" si="56"/>
        <v>14400</v>
      </c>
      <c r="N4882" s="743">
        <v>172</v>
      </c>
      <c r="O4882" s="626">
        <v>12</v>
      </c>
      <c r="P4882" s="744">
        <f t="shared" si="57"/>
        <v>14400</v>
      </c>
    </row>
    <row r="4883" spans="1:16" s="619" customFormat="1" ht="24" x14ac:dyDescent="0.2">
      <c r="A4883" s="626" t="s">
        <v>9498</v>
      </c>
      <c r="B4883" s="626" t="s">
        <v>1908</v>
      </c>
      <c r="C4883" s="638" t="s">
        <v>104</v>
      </c>
      <c r="D4883" s="626" t="s">
        <v>2660</v>
      </c>
      <c r="E4883" s="647">
        <v>930</v>
      </c>
      <c r="F4883" s="626" t="s">
        <v>9913</v>
      </c>
      <c r="G4883" s="626" t="s">
        <v>9914</v>
      </c>
      <c r="H4883" s="626" t="s">
        <v>2660</v>
      </c>
      <c r="I4883" s="626" t="s">
        <v>3768</v>
      </c>
      <c r="J4883" s="638" t="s">
        <v>9501</v>
      </c>
      <c r="K4883" s="745">
        <v>200</v>
      </c>
      <c r="L4883" s="638">
        <v>12</v>
      </c>
      <c r="M4883" s="746">
        <f t="shared" si="56"/>
        <v>11160</v>
      </c>
      <c r="N4883" s="743">
        <v>173</v>
      </c>
      <c r="O4883" s="626">
        <v>12</v>
      </c>
      <c r="P4883" s="744">
        <f t="shared" si="57"/>
        <v>11160</v>
      </c>
    </row>
    <row r="4884" spans="1:16" s="619" customFormat="1" ht="24" x14ac:dyDescent="0.2">
      <c r="A4884" s="626" t="s">
        <v>9498</v>
      </c>
      <c r="B4884" s="626" t="s">
        <v>1908</v>
      </c>
      <c r="C4884" s="638" t="s">
        <v>104</v>
      </c>
      <c r="D4884" s="626" t="s">
        <v>7745</v>
      </c>
      <c r="E4884" s="647">
        <v>1800</v>
      </c>
      <c r="F4884" s="626" t="s">
        <v>9915</v>
      </c>
      <c r="G4884" s="626" t="s">
        <v>9916</v>
      </c>
      <c r="H4884" s="626" t="s">
        <v>7745</v>
      </c>
      <c r="I4884" s="626" t="s">
        <v>3768</v>
      </c>
      <c r="J4884" s="638" t="s">
        <v>3523</v>
      </c>
      <c r="K4884" s="745">
        <v>201</v>
      </c>
      <c r="L4884" s="638">
        <v>12</v>
      </c>
      <c r="M4884" s="746">
        <f t="shared" si="56"/>
        <v>21600</v>
      </c>
      <c r="N4884" s="743">
        <v>174</v>
      </c>
      <c r="O4884" s="626">
        <v>12</v>
      </c>
      <c r="P4884" s="744">
        <f t="shared" si="57"/>
        <v>21600</v>
      </c>
    </row>
    <row r="4885" spans="1:16" s="619" customFormat="1" ht="24" x14ac:dyDescent="0.2">
      <c r="A4885" s="626" t="s">
        <v>9498</v>
      </c>
      <c r="B4885" s="626" t="s">
        <v>1908</v>
      </c>
      <c r="C4885" s="638" t="s">
        <v>104</v>
      </c>
      <c r="D4885" s="626" t="s">
        <v>6158</v>
      </c>
      <c r="E4885" s="647">
        <v>930</v>
      </c>
      <c r="F4885" s="626" t="s">
        <v>9917</v>
      </c>
      <c r="G4885" s="626" t="s">
        <v>9918</v>
      </c>
      <c r="H4885" s="626" t="s">
        <v>6158</v>
      </c>
      <c r="I4885" s="626" t="s">
        <v>3614</v>
      </c>
      <c r="J4885" s="638" t="s">
        <v>8667</v>
      </c>
      <c r="K4885" s="745">
        <v>202</v>
      </c>
      <c r="L4885" s="638">
        <v>12</v>
      </c>
      <c r="M4885" s="746">
        <f t="shared" si="56"/>
        <v>11160</v>
      </c>
      <c r="N4885" s="743">
        <v>175</v>
      </c>
      <c r="O4885" s="626">
        <v>12</v>
      </c>
      <c r="P4885" s="744">
        <f t="shared" si="57"/>
        <v>11160</v>
      </c>
    </row>
    <row r="4886" spans="1:16" s="619" customFormat="1" ht="24" x14ac:dyDescent="0.2">
      <c r="A4886" s="626" t="s">
        <v>9498</v>
      </c>
      <c r="B4886" s="626" t="s">
        <v>1908</v>
      </c>
      <c r="C4886" s="638" t="s">
        <v>104</v>
      </c>
      <c r="D4886" s="626" t="s">
        <v>2660</v>
      </c>
      <c r="E4886" s="647">
        <v>1000</v>
      </c>
      <c r="F4886" s="626" t="s">
        <v>9919</v>
      </c>
      <c r="G4886" s="626" t="s">
        <v>9920</v>
      </c>
      <c r="H4886" s="626" t="s">
        <v>2660</v>
      </c>
      <c r="I4886" s="626" t="s">
        <v>3768</v>
      </c>
      <c r="J4886" s="638" t="s">
        <v>9501</v>
      </c>
      <c r="K4886" s="745">
        <v>203</v>
      </c>
      <c r="L4886" s="638">
        <v>12</v>
      </c>
      <c r="M4886" s="746">
        <f t="shared" si="56"/>
        <v>12000</v>
      </c>
      <c r="N4886" s="743">
        <v>176</v>
      </c>
      <c r="O4886" s="626">
        <v>12</v>
      </c>
      <c r="P4886" s="744">
        <f t="shared" si="57"/>
        <v>12000</v>
      </c>
    </row>
    <row r="4887" spans="1:16" s="619" customFormat="1" ht="24" x14ac:dyDescent="0.2">
      <c r="A4887" s="626" t="s">
        <v>9498</v>
      </c>
      <c r="B4887" s="626" t="s">
        <v>1908</v>
      </c>
      <c r="C4887" s="638" t="s">
        <v>104</v>
      </c>
      <c r="D4887" s="626" t="s">
        <v>3548</v>
      </c>
      <c r="E4887" s="647">
        <v>1000</v>
      </c>
      <c r="F4887" s="626" t="s">
        <v>9921</v>
      </c>
      <c r="G4887" s="626" t="s">
        <v>9922</v>
      </c>
      <c r="H4887" s="626" t="s">
        <v>3548</v>
      </c>
      <c r="I4887" s="626" t="s">
        <v>3614</v>
      </c>
      <c r="J4887" s="638" t="s">
        <v>8667</v>
      </c>
      <c r="K4887" s="745">
        <v>204</v>
      </c>
      <c r="L4887" s="638">
        <v>12</v>
      </c>
      <c r="M4887" s="746">
        <f t="shared" si="56"/>
        <v>12000</v>
      </c>
      <c r="N4887" s="743">
        <v>177</v>
      </c>
      <c r="O4887" s="626">
        <v>12</v>
      </c>
      <c r="P4887" s="744">
        <f t="shared" si="57"/>
        <v>12000</v>
      </c>
    </row>
    <row r="4888" spans="1:16" s="619" customFormat="1" ht="36" x14ac:dyDescent="0.2">
      <c r="A4888" s="626" t="s">
        <v>9498</v>
      </c>
      <c r="B4888" s="626" t="s">
        <v>1908</v>
      </c>
      <c r="C4888" s="638" t="s">
        <v>104</v>
      </c>
      <c r="D4888" s="626" t="s">
        <v>6198</v>
      </c>
      <c r="E4888" s="647">
        <v>1800</v>
      </c>
      <c r="F4888" s="626" t="s">
        <v>9923</v>
      </c>
      <c r="G4888" s="626" t="s">
        <v>9924</v>
      </c>
      <c r="H4888" s="626" t="s">
        <v>6198</v>
      </c>
      <c r="I4888" s="626" t="s">
        <v>3768</v>
      </c>
      <c r="J4888" s="638" t="s">
        <v>3523</v>
      </c>
      <c r="K4888" s="745">
        <v>205</v>
      </c>
      <c r="L4888" s="638">
        <v>12</v>
      </c>
      <c r="M4888" s="746">
        <f t="shared" si="56"/>
        <v>21600</v>
      </c>
      <c r="N4888" s="743">
        <v>178</v>
      </c>
      <c r="O4888" s="626">
        <v>12</v>
      </c>
      <c r="P4888" s="744">
        <f t="shared" si="57"/>
        <v>21600</v>
      </c>
    </row>
    <row r="4889" spans="1:16" s="619" customFormat="1" ht="36" x14ac:dyDescent="0.2">
      <c r="A4889" s="626" t="s">
        <v>9498</v>
      </c>
      <c r="B4889" s="626" t="s">
        <v>1908</v>
      </c>
      <c r="C4889" s="638" t="s">
        <v>104</v>
      </c>
      <c r="D4889" s="626" t="s">
        <v>3529</v>
      </c>
      <c r="E4889" s="647">
        <v>1000</v>
      </c>
      <c r="F4889" s="626" t="s">
        <v>9925</v>
      </c>
      <c r="G4889" s="626" t="s">
        <v>9926</v>
      </c>
      <c r="H4889" s="626" t="s">
        <v>3529</v>
      </c>
      <c r="I4889" s="626" t="s">
        <v>3768</v>
      </c>
      <c r="J4889" s="638" t="s">
        <v>3523</v>
      </c>
      <c r="K4889" s="745">
        <v>206</v>
      </c>
      <c r="L4889" s="638">
        <v>12</v>
      </c>
      <c r="M4889" s="746">
        <f t="shared" si="56"/>
        <v>12000</v>
      </c>
      <c r="N4889" s="743">
        <v>179</v>
      </c>
      <c r="O4889" s="626">
        <v>12</v>
      </c>
      <c r="P4889" s="744">
        <f t="shared" si="57"/>
        <v>12000</v>
      </c>
    </row>
    <row r="4890" spans="1:16" s="619" customFormat="1" ht="24" x14ac:dyDescent="0.2">
      <c r="A4890" s="626" t="s">
        <v>9498</v>
      </c>
      <c r="B4890" s="626" t="s">
        <v>1908</v>
      </c>
      <c r="C4890" s="638" t="s">
        <v>104</v>
      </c>
      <c r="D4890" s="626" t="s">
        <v>2660</v>
      </c>
      <c r="E4890" s="647">
        <v>930</v>
      </c>
      <c r="F4890" s="626" t="s">
        <v>9927</v>
      </c>
      <c r="G4890" s="626" t="s">
        <v>9928</v>
      </c>
      <c r="H4890" s="626" t="s">
        <v>2660</v>
      </c>
      <c r="I4890" s="626" t="s">
        <v>3768</v>
      </c>
      <c r="J4890" s="638" t="s">
        <v>9501</v>
      </c>
      <c r="K4890" s="745">
        <v>207</v>
      </c>
      <c r="L4890" s="638">
        <v>12</v>
      </c>
      <c r="M4890" s="746">
        <f t="shared" si="56"/>
        <v>11160</v>
      </c>
      <c r="N4890" s="743">
        <v>180</v>
      </c>
      <c r="O4890" s="626">
        <v>12</v>
      </c>
      <c r="P4890" s="744">
        <f t="shared" si="57"/>
        <v>11160</v>
      </c>
    </row>
    <row r="4891" spans="1:16" s="619" customFormat="1" ht="36" x14ac:dyDescent="0.2">
      <c r="A4891" s="626" t="s">
        <v>9498</v>
      </c>
      <c r="B4891" s="626" t="s">
        <v>1908</v>
      </c>
      <c r="C4891" s="638" t="s">
        <v>104</v>
      </c>
      <c r="D4891" s="626" t="s">
        <v>6158</v>
      </c>
      <c r="E4891" s="647">
        <v>1000</v>
      </c>
      <c r="F4891" s="626" t="s">
        <v>9929</v>
      </c>
      <c r="G4891" s="626" t="s">
        <v>9930</v>
      </c>
      <c r="H4891" s="626" t="s">
        <v>6158</v>
      </c>
      <c r="I4891" s="626" t="s">
        <v>3614</v>
      </c>
      <c r="J4891" s="638" t="s">
        <v>8667</v>
      </c>
      <c r="K4891" s="745">
        <v>208</v>
      </c>
      <c r="L4891" s="638">
        <v>12</v>
      </c>
      <c r="M4891" s="746">
        <f t="shared" si="56"/>
        <v>12000</v>
      </c>
      <c r="N4891" s="743">
        <v>181</v>
      </c>
      <c r="O4891" s="626">
        <v>12</v>
      </c>
      <c r="P4891" s="744">
        <f t="shared" si="57"/>
        <v>12000</v>
      </c>
    </row>
    <row r="4892" spans="1:16" s="619" customFormat="1" ht="36" x14ac:dyDescent="0.2">
      <c r="A4892" s="626" t="s">
        <v>9498</v>
      </c>
      <c r="B4892" s="626" t="s">
        <v>1908</v>
      </c>
      <c r="C4892" s="638" t="s">
        <v>104</v>
      </c>
      <c r="D4892" s="626" t="s">
        <v>6158</v>
      </c>
      <c r="E4892" s="647">
        <v>1000</v>
      </c>
      <c r="F4892" s="626" t="s">
        <v>9931</v>
      </c>
      <c r="G4892" s="626" t="s">
        <v>9932</v>
      </c>
      <c r="H4892" s="626" t="s">
        <v>6158</v>
      </c>
      <c r="I4892" s="626" t="s">
        <v>3614</v>
      </c>
      <c r="J4892" s="638" t="s">
        <v>8667</v>
      </c>
      <c r="K4892" s="745"/>
      <c r="L4892" s="638">
        <v>0</v>
      </c>
      <c r="M4892" s="746">
        <f t="shared" si="56"/>
        <v>0</v>
      </c>
      <c r="N4892" s="638">
        <v>303</v>
      </c>
      <c r="O4892" s="626">
        <v>10</v>
      </c>
      <c r="P4892" s="744">
        <f t="shared" si="57"/>
        <v>10000</v>
      </c>
    </row>
    <row r="4893" spans="1:16" s="619" customFormat="1" ht="36" x14ac:dyDescent="0.2">
      <c r="A4893" s="626" t="s">
        <v>9498</v>
      </c>
      <c r="B4893" s="626" t="s">
        <v>1908</v>
      </c>
      <c r="C4893" s="638" t="s">
        <v>104</v>
      </c>
      <c r="D4893" s="626" t="s">
        <v>2660</v>
      </c>
      <c r="E4893" s="647">
        <v>2000</v>
      </c>
      <c r="F4893" s="626" t="s">
        <v>9933</v>
      </c>
      <c r="G4893" s="626" t="s">
        <v>9934</v>
      </c>
      <c r="H4893" s="626" t="s">
        <v>2660</v>
      </c>
      <c r="I4893" s="626" t="s">
        <v>3768</v>
      </c>
      <c r="J4893" s="638" t="s">
        <v>9501</v>
      </c>
      <c r="K4893" s="745">
        <v>209</v>
      </c>
      <c r="L4893" s="638">
        <v>12</v>
      </c>
      <c r="M4893" s="746">
        <f t="shared" si="56"/>
        <v>24000</v>
      </c>
      <c r="N4893" s="743">
        <v>182</v>
      </c>
      <c r="O4893" s="626">
        <v>12</v>
      </c>
      <c r="P4893" s="744">
        <f t="shared" si="57"/>
        <v>24000</v>
      </c>
    </row>
    <row r="4894" spans="1:16" s="619" customFormat="1" ht="36" x14ac:dyDescent="0.2">
      <c r="A4894" s="626" t="s">
        <v>9498</v>
      </c>
      <c r="B4894" s="626" t="s">
        <v>1908</v>
      </c>
      <c r="C4894" s="638" t="s">
        <v>104</v>
      </c>
      <c r="D4894" s="626" t="s">
        <v>6101</v>
      </c>
      <c r="E4894" s="647">
        <v>1800</v>
      </c>
      <c r="F4894" s="626" t="s">
        <v>9935</v>
      </c>
      <c r="G4894" s="626" t="s">
        <v>9936</v>
      </c>
      <c r="H4894" s="626" t="s">
        <v>6101</v>
      </c>
      <c r="I4894" s="626" t="s">
        <v>3768</v>
      </c>
      <c r="J4894" s="638" t="s">
        <v>3523</v>
      </c>
      <c r="K4894" s="745">
        <v>210</v>
      </c>
      <c r="L4894" s="638">
        <v>12</v>
      </c>
      <c r="M4894" s="746">
        <f t="shared" si="56"/>
        <v>21600</v>
      </c>
      <c r="N4894" s="743">
        <v>183</v>
      </c>
      <c r="O4894" s="626">
        <v>12</v>
      </c>
      <c r="P4894" s="744">
        <f t="shared" si="57"/>
        <v>21600</v>
      </c>
    </row>
    <row r="4895" spans="1:16" s="619" customFormat="1" ht="36" x14ac:dyDescent="0.2">
      <c r="A4895" s="626" t="s">
        <v>9498</v>
      </c>
      <c r="B4895" s="626" t="s">
        <v>1908</v>
      </c>
      <c r="C4895" s="638" t="s">
        <v>104</v>
      </c>
      <c r="D4895" s="626" t="s">
        <v>2660</v>
      </c>
      <c r="E4895" s="647">
        <v>1000</v>
      </c>
      <c r="F4895" s="626" t="s">
        <v>9937</v>
      </c>
      <c r="G4895" s="626" t="s">
        <v>9938</v>
      </c>
      <c r="H4895" s="626" t="s">
        <v>2660</v>
      </c>
      <c r="I4895" s="626" t="s">
        <v>3768</v>
      </c>
      <c r="J4895" s="638" t="s">
        <v>9501</v>
      </c>
      <c r="K4895" s="745"/>
      <c r="L4895" s="638">
        <v>0</v>
      </c>
      <c r="M4895" s="746">
        <f t="shared" si="56"/>
        <v>0</v>
      </c>
      <c r="N4895" s="638">
        <v>304</v>
      </c>
      <c r="O4895" s="626">
        <v>10</v>
      </c>
      <c r="P4895" s="744">
        <f t="shared" si="57"/>
        <v>10000</v>
      </c>
    </row>
    <row r="4896" spans="1:16" s="619" customFormat="1" ht="36" x14ac:dyDescent="0.2">
      <c r="A4896" s="626" t="s">
        <v>9498</v>
      </c>
      <c r="B4896" s="626" t="s">
        <v>1908</v>
      </c>
      <c r="C4896" s="638" t="s">
        <v>104</v>
      </c>
      <c r="D4896" s="626" t="s">
        <v>6198</v>
      </c>
      <c r="E4896" s="647">
        <v>1800</v>
      </c>
      <c r="F4896" s="626" t="s">
        <v>9939</v>
      </c>
      <c r="G4896" s="626" t="s">
        <v>9940</v>
      </c>
      <c r="H4896" s="626" t="s">
        <v>6198</v>
      </c>
      <c r="I4896" s="626" t="s">
        <v>3768</v>
      </c>
      <c r="J4896" s="638" t="s">
        <v>3523</v>
      </c>
      <c r="K4896" s="745"/>
      <c r="L4896" s="638">
        <v>0</v>
      </c>
      <c r="M4896" s="746">
        <f t="shared" si="56"/>
        <v>0</v>
      </c>
      <c r="N4896" s="743">
        <v>184</v>
      </c>
      <c r="O4896" s="626">
        <v>12</v>
      </c>
      <c r="P4896" s="744">
        <f t="shared" si="57"/>
        <v>21600</v>
      </c>
    </row>
    <row r="4897" spans="1:16" s="619" customFormat="1" ht="36" x14ac:dyDescent="0.2">
      <c r="A4897" s="626" t="s">
        <v>9498</v>
      </c>
      <c r="B4897" s="626" t="s">
        <v>1908</v>
      </c>
      <c r="C4897" s="638" t="s">
        <v>104</v>
      </c>
      <c r="D4897" s="626" t="s">
        <v>9941</v>
      </c>
      <c r="E4897" s="647">
        <v>1000</v>
      </c>
      <c r="F4897" s="626" t="s">
        <v>9942</v>
      </c>
      <c r="G4897" s="626" t="s">
        <v>9943</v>
      </c>
      <c r="H4897" s="626" t="s">
        <v>3529</v>
      </c>
      <c r="I4897" s="626" t="s">
        <v>3768</v>
      </c>
      <c r="J4897" s="638" t="s">
        <v>9501</v>
      </c>
      <c r="K4897" s="745">
        <v>211</v>
      </c>
      <c r="L4897" s="638">
        <v>12</v>
      </c>
      <c r="M4897" s="746">
        <f t="shared" si="56"/>
        <v>12000</v>
      </c>
      <c r="N4897" s="743">
        <v>185</v>
      </c>
      <c r="O4897" s="626">
        <v>12</v>
      </c>
      <c r="P4897" s="744">
        <f t="shared" si="57"/>
        <v>12000</v>
      </c>
    </row>
    <row r="4898" spans="1:16" s="619" customFormat="1" ht="48" x14ac:dyDescent="0.2">
      <c r="A4898" s="626" t="s">
        <v>9498</v>
      </c>
      <c r="B4898" s="626" t="s">
        <v>1908</v>
      </c>
      <c r="C4898" s="638" t="s">
        <v>104</v>
      </c>
      <c r="D4898" s="626" t="s">
        <v>6198</v>
      </c>
      <c r="E4898" s="647">
        <v>1800</v>
      </c>
      <c r="F4898" s="626" t="s">
        <v>9944</v>
      </c>
      <c r="G4898" s="626" t="s">
        <v>9945</v>
      </c>
      <c r="H4898" s="626" t="s">
        <v>6198</v>
      </c>
      <c r="I4898" s="626" t="s">
        <v>3768</v>
      </c>
      <c r="J4898" s="638" t="s">
        <v>3523</v>
      </c>
      <c r="K4898" s="745">
        <v>212</v>
      </c>
      <c r="L4898" s="638">
        <v>12</v>
      </c>
      <c r="M4898" s="746">
        <f t="shared" si="56"/>
        <v>21600</v>
      </c>
      <c r="N4898" s="743">
        <v>186</v>
      </c>
      <c r="O4898" s="626">
        <v>12</v>
      </c>
      <c r="P4898" s="744">
        <f t="shared" si="57"/>
        <v>21600</v>
      </c>
    </row>
    <row r="4899" spans="1:16" s="619" customFormat="1" ht="36" x14ac:dyDescent="0.2">
      <c r="A4899" s="626" t="s">
        <v>9498</v>
      </c>
      <c r="B4899" s="626" t="s">
        <v>1908</v>
      </c>
      <c r="C4899" s="638" t="s">
        <v>104</v>
      </c>
      <c r="D4899" s="626" t="s">
        <v>6120</v>
      </c>
      <c r="E4899" s="647">
        <v>930</v>
      </c>
      <c r="F4899" s="626" t="s">
        <v>9946</v>
      </c>
      <c r="G4899" s="626" t="s">
        <v>9947</v>
      </c>
      <c r="H4899" s="626" t="s">
        <v>6120</v>
      </c>
      <c r="I4899" s="626" t="s">
        <v>1931</v>
      </c>
      <c r="J4899" s="638" t="s">
        <v>9501</v>
      </c>
      <c r="K4899" s="745">
        <v>213</v>
      </c>
      <c r="L4899" s="638">
        <v>12</v>
      </c>
      <c r="M4899" s="746">
        <f t="shared" si="56"/>
        <v>11160</v>
      </c>
      <c r="N4899" s="743">
        <v>187</v>
      </c>
      <c r="O4899" s="626">
        <v>12</v>
      </c>
      <c r="P4899" s="744">
        <f t="shared" si="57"/>
        <v>11160</v>
      </c>
    </row>
    <row r="4900" spans="1:16" s="619" customFormat="1" ht="24" x14ac:dyDescent="0.2">
      <c r="A4900" s="626" t="s">
        <v>9498</v>
      </c>
      <c r="B4900" s="626" t="s">
        <v>1908</v>
      </c>
      <c r="C4900" s="638" t="s">
        <v>104</v>
      </c>
      <c r="D4900" s="626" t="s">
        <v>2055</v>
      </c>
      <c r="E4900" s="647">
        <v>1000</v>
      </c>
      <c r="F4900" s="626" t="s">
        <v>9948</v>
      </c>
      <c r="G4900" s="626" t="s">
        <v>9949</v>
      </c>
      <c r="H4900" s="626" t="s">
        <v>2055</v>
      </c>
      <c r="I4900" s="626" t="s">
        <v>1931</v>
      </c>
      <c r="J4900" s="638" t="s">
        <v>9501</v>
      </c>
      <c r="K4900" s="745">
        <v>214</v>
      </c>
      <c r="L4900" s="638">
        <v>12</v>
      </c>
      <c r="M4900" s="746">
        <f t="shared" si="56"/>
        <v>12000</v>
      </c>
      <c r="N4900" s="743">
        <v>188</v>
      </c>
      <c r="O4900" s="626">
        <v>12</v>
      </c>
      <c r="P4900" s="744">
        <f t="shared" si="57"/>
        <v>12000</v>
      </c>
    </row>
    <row r="4901" spans="1:16" s="619" customFormat="1" ht="36" x14ac:dyDescent="0.2">
      <c r="A4901" s="626" t="s">
        <v>9498</v>
      </c>
      <c r="B4901" s="626" t="s">
        <v>1908</v>
      </c>
      <c r="C4901" s="638" t="s">
        <v>104</v>
      </c>
      <c r="D4901" s="626" t="s">
        <v>6092</v>
      </c>
      <c r="E4901" s="647">
        <v>1800</v>
      </c>
      <c r="F4901" s="626" t="s">
        <v>9950</v>
      </c>
      <c r="G4901" s="626" t="s">
        <v>9951</v>
      </c>
      <c r="H4901" s="626" t="s">
        <v>6092</v>
      </c>
      <c r="I4901" s="626" t="s">
        <v>3768</v>
      </c>
      <c r="J4901" s="638" t="s">
        <v>3523</v>
      </c>
      <c r="K4901" s="745">
        <v>215</v>
      </c>
      <c r="L4901" s="638">
        <v>12</v>
      </c>
      <c r="M4901" s="746">
        <f t="shared" si="56"/>
        <v>21600</v>
      </c>
      <c r="N4901" s="743">
        <v>189</v>
      </c>
      <c r="O4901" s="626">
        <v>12</v>
      </c>
      <c r="P4901" s="744">
        <f t="shared" si="57"/>
        <v>21600</v>
      </c>
    </row>
    <row r="4902" spans="1:16" s="619" customFormat="1" ht="24" x14ac:dyDescent="0.2">
      <c r="A4902" s="626" t="s">
        <v>9498</v>
      </c>
      <c r="B4902" s="626" t="s">
        <v>1908</v>
      </c>
      <c r="C4902" s="638" t="s">
        <v>104</v>
      </c>
      <c r="D4902" s="626" t="s">
        <v>2660</v>
      </c>
      <c r="E4902" s="647">
        <v>930</v>
      </c>
      <c r="F4902" s="626" t="s">
        <v>9952</v>
      </c>
      <c r="G4902" s="626" t="s">
        <v>9953</v>
      </c>
      <c r="H4902" s="626" t="s">
        <v>2660</v>
      </c>
      <c r="I4902" s="626" t="s">
        <v>3768</v>
      </c>
      <c r="J4902" s="638" t="s">
        <v>9501</v>
      </c>
      <c r="K4902" s="745">
        <v>216</v>
      </c>
      <c r="L4902" s="638">
        <v>12</v>
      </c>
      <c r="M4902" s="746">
        <f t="shared" si="56"/>
        <v>11160</v>
      </c>
      <c r="N4902" s="743">
        <v>190</v>
      </c>
      <c r="O4902" s="626">
        <v>12</v>
      </c>
      <c r="P4902" s="744">
        <f t="shared" si="57"/>
        <v>11160</v>
      </c>
    </row>
    <row r="4903" spans="1:16" s="619" customFormat="1" ht="36" x14ac:dyDescent="0.2">
      <c r="A4903" s="626" t="s">
        <v>9498</v>
      </c>
      <c r="B4903" s="626" t="s">
        <v>1908</v>
      </c>
      <c r="C4903" s="638" t="s">
        <v>104</v>
      </c>
      <c r="D4903" s="626" t="s">
        <v>2660</v>
      </c>
      <c r="E4903" s="647">
        <v>930</v>
      </c>
      <c r="F4903" s="626" t="s">
        <v>9954</v>
      </c>
      <c r="G4903" s="626" t="s">
        <v>9955</v>
      </c>
      <c r="H4903" s="626" t="s">
        <v>2660</v>
      </c>
      <c r="I4903" s="626" t="s">
        <v>3768</v>
      </c>
      <c r="J4903" s="638" t="s">
        <v>9501</v>
      </c>
      <c r="K4903" s="745">
        <v>217</v>
      </c>
      <c r="L4903" s="638">
        <v>12</v>
      </c>
      <c r="M4903" s="746">
        <f t="shared" si="56"/>
        <v>11160</v>
      </c>
      <c r="N4903" s="743">
        <v>191</v>
      </c>
      <c r="O4903" s="626">
        <v>12</v>
      </c>
      <c r="P4903" s="744">
        <f t="shared" si="57"/>
        <v>11160</v>
      </c>
    </row>
    <row r="4904" spans="1:16" s="619" customFormat="1" ht="24" x14ac:dyDescent="0.2">
      <c r="A4904" s="626" t="s">
        <v>9498</v>
      </c>
      <c r="B4904" s="626" t="s">
        <v>1908</v>
      </c>
      <c r="C4904" s="638" t="s">
        <v>104</v>
      </c>
      <c r="D4904" s="626" t="s">
        <v>6179</v>
      </c>
      <c r="E4904" s="647">
        <v>4000</v>
      </c>
      <c r="F4904" s="626" t="s">
        <v>9956</v>
      </c>
      <c r="G4904" s="626" t="s">
        <v>9957</v>
      </c>
      <c r="H4904" s="626" t="s">
        <v>6179</v>
      </c>
      <c r="I4904" s="626" t="s">
        <v>3768</v>
      </c>
      <c r="J4904" s="638" t="s">
        <v>3523</v>
      </c>
      <c r="K4904" s="745">
        <v>218</v>
      </c>
      <c r="L4904" s="638">
        <v>12</v>
      </c>
      <c r="M4904" s="746">
        <f t="shared" si="56"/>
        <v>48000</v>
      </c>
      <c r="N4904" s="743">
        <v>192</v>
      </c>
      <c r="O4904" s="626">
        <v>12</v>
      </c>
      <c r="P4904" s="744">
        <f t="shared" si="57"/>
        <v>48000</v>
      </c>
    </row>
    <row r="4905" spans="1:16" s="619" customFormat="1" ht="36" x14ac:dyDescent="0.2">
      <c r="A4905" s="626" t="s">
        <v>9498</v>
      </c>
      <c r="B4905" s="626" t="s">
        <v>1908</v>
      </c>
      <c r="C4905" s="638" t="s">
        <v>104</v>
      </c>
      <c r="D4905" s="626" t="s">
        <v>2660</v>
      </c>
      <c r="E4905" s="647">
        <v>1000</v>
      </c>
      <c r="F4905" s="626" t="s">
        <v>9958</v>
      </c>
      <c r="G4905" s="626" t="s">
        <v>9959</v>
      </c>
      <c r="H4905" s="626" t="s">
        <v>2660</v>
      </c>
      <c r="I4905" s="626" t="s">
        <v>3768</v>
      </c>
      <c r="J4905" s="638" t="s">
        <v>9501</v>
      </c>
      <c r="K4905" s="745">
        <v>219</v>
      </c>
      <c r="L4905" s="638">
        <v>12</v>
      </c>
      <c r="M4905" s="746">
        <f t="shared" si="56"/>
        <v>12000</v>
      </c>
      <c r="N4905" s="743">
        <v>193</v>
      </c>
      <c r="O4905" s="626">
        <v>12</v>
      </c>
      <c r="P4905" s="744">
        <f t="shared" si="57"/>
        <v>12000</v>
      </c>
    </row>
    <row r="4906" spans="1:16" s="619" customFormat="1" ht="24" x14ac:dyDescent="0.2">
      <c r="A4906" s="626" t="s">
        <v>9498</v>
      </c>
      <c r="B4906" s="626" t="s">
        <v>1908</v>
      </c>
      <c r="C4906" s="638" t="s">
        <v>104</v>
      </c>
      <c r="D4906" s="626" t="s">
        <v>2660</v>
      </c>
      <c r="E4906" s="647">
        <v>1000</v>
      </c>
      <c r="F4906" s="626" t="s">
        <v>9960</v>
      </c>
      <c r="G4906" s="626" t="s">
        <v>9961</v>
      </c>
      <c r="H4906" s="626" t="s">
        <v>2660</v>
      </c>
      <c r="I4906" s="626" t="s">
        <v>3768</v>
      </c>
      <c r="J4906" s="638" t="s">
        <v>9501</v>
      </c>
      <c r="K4906" s="745">
        <v>220</v>
      </c>
      <c r="L4906" s="638">
        <v>12</v>
      </c>
      <c r="M4906" s="746">
        <f t="shared" si="56"/>
        <v>12000</v>
      </c>
      <c r="N4906" s="743">
        <v>194</v>
      </c>
      <c r="O4906" s="626">
        <v>12</v>
      </c>
      <c r="P4906" s="744">
        <f t="shared" si="57"/>
        <v>12000</v>
      </c>
    </row>
    <row r="4907" spans="1:16" s="619" customFormat="1" ht="36" x14ac:dyDescent="0.2">
      <c r="A4907" s="626" t="s">
        <v>9498</v>
      </c>
      <c r="B4907" s="626" t="s">
        <v>1908</v>
      </c>
      <c r="C4907" s="638" t="s">
        <v>104</v>
      </c>
      <c r="D4907" s="626" t="s">
        <v>6092</v>
      </c>
      <c r="E4907" s="647">
        <v>1600</v>
      </c>
      <c r="F4907" s="626" t="s">
        <v>9962</v>
      </c>
      <c r="G4907" s="626" t="s">
        <v>9963</v>
      </c>
      <c r="H4907" s="626" t="s">
        <v>6092</v>
      </c>
      <c r="I4907" s="626" t="s">
        <v>3768</v>
      </c>
      <c r="J4907" s="638" t="s">
        <v>3523</v>
      </c>
      <c r="K4907" s="745"/>
      <c r="L4907" s="638">
        <v>0</v>
      </c>
      <c r="M4907" s="746">
        <f t="shared" si="56"/>
        <v>0</v>
      </c>
      <c r="N4907" s="638">
        <v>305</v>
      </c>
      <c r="O4907" s="626">
        <v>10</v>
      </c>
      <c r="P4907" s="744">
        <f t="shared" si="57"/>
        <v>16000</v>
      </c>
    </row>
    <row r="4908" spans="1:16" s="619" customFormat="1" ht="36" x14ac:dyDescent="0.2">
      <c r="A4908" s="626" t="s">
        <v>9498</v>
      </c>
      <c r="B4908" s="626" t="s">
        <v>1908</v>
      </c>
      <c r="C4908" s="638" t="s">
        <v>104</v>
      </c>
      <c r="D4908" s="626" t="s">
        <v>6120</v>
      </c>
      <c r="E4908" s="647">
        <v>1000</v>
      </c>
      <c r="F4908" s="626" t="s">
        <v>9964</v>
      </c>
      <c r="G4908" s="626" t="s">
        <v>9965</v>
      </c>
      <c r="H4908" s="626" t="s">
        <v>6120</v>
      </c>
      <c r="I4908" s="626" t="s">
        <v>1931</v>
      </c>
      <c r="J4908" s="638" t="s">
        <v>9501</v>
      </c>
      <c r="K4908" s="745">
        <v>221</v>
      </c>
      <c r="L4908" s="638">
        <v>12</v>
      </c>
      <c r="M4908" s="746">
        <f t="shared" si="56"/>
        <v>12000</v>
      </c>
      <c r="N4908" s="743">
        <v>195</v>
      </c>
      <c r="O4908" s="626">
        <v>12</v>
      </c>
      <c r="P4908" s="744">
        <f t="shared" si="57"/>
        <v>12000</v>
      </c>
    </row>
    <row r="4909" spans="1:16" s="619" customFormat="1" ht="36" x14ac:dyDescent="0.2">
      <c r="A4909" s="626" t="s">
        <v>9498</v>
      </c>
      <c r="B4909" s="626" t="s">
        <v>1908</v>
      </c>
      <c r="C4909" s="638" t="s">
        <v>104</v>
      </c>
      <c r="D4909" s="626" t="s">
        <v>7626</v>
      </c>
      <c r="E4909" s="647">
        <v>1000</v>
      </c>
      <c r="F4909" s="626" t="s">
        <v>9966</v>
      </c>
      <c r="G4909" s="626" t="s">
        <v>9967</v>
      </c>
      <c r="H4909" s="626" t="s">
        <v>7626</v>
      </c>
      <c r="I4909" s="626" t="s">
        <v>1931</v>
      </c>
      <c r="J4909" s="638" t="s">
        <v>9501</v>
      </c>
      <c r="K4909" s="745">
        <v>222</v>
      </c>
      <c r="L4909" s="638">
        <v>12</v>
      </c>
      <c r="M4909" s="746">
        <f t="shared" si="56"/>
        <v>12000</v>
      </c>
      <c r="N4909" s="743">
        <v>196</v>
      </c>
      <c r="O4909" s="626">
        <v>12</v>
      </c>
      <c r="P4909" s="744">
        <f t="shared" si="57"/>
        <v>12000</v>
      </c>
    </row>
    <row r="4910" spans="1:16" s="619" customFormat="1" ht="24" x14ac:dyDescent="0.2">
      <c r="A4910" s="626" t="s">
        <v>9498</v>
      </c>
      <c r="B4910" s="626" t="s">
        <v>1908</v>
      </c>
      <c r="C4910" s="638" t="s">
        <v>104</v>
      </c>
      <c r="D4910" s="626" t="s">
        <v>6158</v>
      </c>
      <c r="E4910" s="647">
        <v>930</v>
      </c>
      <c r="F4910" s="626" t="s">
        <v>9968</v>
      </c>
      <c r="G4910" s="626" t="s">
        <v>9969</v>
      </c>
      <c r="H4910" s="626" t="s">
        <v>6158</v>
      </c>
      <c r="I4910" s="626" t="s">
        <v>3614</v>
      </c>
      <c r="J4910" s="638" t="s">
        <v>8667</v>
      </c>
      <c r="K4910" s="745">
        <v>223</v>
      </c>
      <c r="L4910" s="638">
        <v>12</v>
      </c>
      <c r="M4910" s="746">
        <f t="shared" si="56"/>
        <v>11160</v>
      </c>
      <c r="N4910" s="743">
        <v>197</v>
      </c>
      <c r="O4910" s="626">
        <v>12</v>
      </c>
      <c r="P4910" s="744">
        <f t="shared" si="57"/>
        <v>11160</v>
      </c>
    </row>
    <row r="4911" spans="1:16" s="619" customFormat="1" ht="24" x14ac:dyDescent="0.2">
      <c r="A4911" s="626" t="s">
        <v>9498</v>
      </c>
      <c r="B4911" s="626" t="s">
        <v>1908</v>
      </c>
      <c r="C4911" s="638" t="s">
        <v>104</v>
      </c>
      <c r="D4911" s="626" t="s">
        <v>2660</v>
      </c>
      <c r="E4911" s="647">
        <v>930</v>
      </c>
      <c r="F4911" s="626" t="s">
        <v>9970</v>
      </c>
      <c r="G4911" s="626" t="s">
        <v>9971</v>
      </c>
      <c r="H4911" s="626" t="s">
        <v>2660</v>
      </c>
      <c r="I4911" s="626" t="s">
        <v>3768</v>
      </c>
      <c r="J4911" s="638" t="s">
        <v>9501</v>
      </c>
      <c r="K4911" s="745">
        <v>224</v>
      </c>
      <c r="L4911" s="638">
        <v>12</v>
      </c>
      <c r="M4911" s="746">
        <f t="shared" si="56"/>
        <v>11160</v>
      </c>
      <c r="N4911" s="743">
        <v>198</v>
      </c>
      <c r="O4911" s="626">
        <v>12</v>
      </c>
      <c r="P4911" s="744">
        <f t="shared" si="57"/>
        <v>11160</v>
      </c>
    </row>
    <row r="4912" spans="1:16" s="619" customFormat="1" ht="36" x14ac:dyDescent="0.2">
      <c r="A4912" s="626" t="s">
        <v>9498</v>
      </c>
      <c r="B4912" s="626" t="s">
        <v>1908</v>
      </c>
      <c r="C4912" s="638" t="s">
        <v>104</v>
      </c>
      <c r="D4912" s="626" t="s">
        <v>6120</v>
      </c>
      <c r="E4912" s="647">
        <v>1000</v>
      </c>
      <c r="F4912" s="626" t="s">
        <v>9972</v>
      </c>
      <c r="G4912" s="626" t="s">
        <v>9973</v>
      </c>
      <c r="H4912" s="626" t="s">
        <v>6120</v>
      </c>
      <c r="I4912" s="626" t="s">
        <v>1931</v>
      </c>
      <c r="J4912" s="638" t="s">
        <v>9501</v>
      </c>
      <c r="K4912" s="745"/>
      <c r="L4912" s="638">
        <v>0</v>
      </c>
      <c r="M4912" s="746">
        <f t="shared" si="56"/>
        <v>0</v>
      </c>
      <c r="N4912" s="743">
        <v>199</v>
      </c>
      <c r="O4912" s="626">
        <v>12</v>
      </c>
      <c r="P4912" s="744">
        <f t="shared" si="57"/>
        <v>12000</v>
      </c>
    </row>
    <row r="4913" spans="1:16" s="619" customFormat="1" ht="36" x14ac:dyDescent="0.2">
      <c r="A4913" s="626" t="s">
        <v>9498</v>
      </c>
      <c r="B4913" s="626" t="s">
        <v>1908</v>
      </c>
      <c r="C4913" s="638" t="s">
        <v>104</v>
      </c>
      <c r="D4913" s="626" t="s">
        <v>7626</v>
      </c>
      <c r="E4913" s="647">
        <v>930</v>
      </c>
      <c r="F4913" s="626" t="s">
        <v>9974</v>
      </c>
      <c r="G4913" s="626" t="s">
        <v>9975</v>
      </c>
      <c r="H4913" s="626" t="s">
        <v>7626</v>
      </c>
      <c r="I4913" s="626" t="s">
        <v>1931</v>
      </c>
      <c r="J4913" s="638" t="s">
        <v>9501</v>
      </c>
      <c r="K4913" s="745">
        <v>225</v>
      </c>
      <c r="L4913" s="638">
        <v>12</v>
      </c>
      <c r="M4913" s="746">
        <f t="shared" si="56"/>
        <v>11160</v>
      </c>
      <c r="N4913" s="743">
        <v>200</v>
      </c>
      <c r="O4913" s="626">
        <v>12</v>
      </c>
      <c r="P4913" s="744">
        <f t="shared" si="57"/>
        <v>11160</v>
      </c>
    </row>
    <row r="4914" spans="1:16" s="619" customFormat="1" ht="36" x14ac:dyDescent="0.2">
      <c r="A4914" s="626" t="s">
        <v>9498</v>
      </c>
      <c r="B4914" s="626" t="s">
        <v>1908</v>
      </c>
      <c r="C4914" s="638" t="s">
        <v>104</v>
      </c>
      <c r="D4914" s="626" t="s">
        <v>6299</v>
      </c>
      <c r="E4914" s="647">
        <v>1000</v>
      </c>
      <c r="F4914" s="626" t="s">
        <v>9976</v>
      </c>
      <c r="G4914" s="626" t="s">
        <v>9977</v>
      </c>
      <c r="H4914" s="626" t="s">
        <v>6299</v>
      </c>
      <c r="I4914" s="626" t="s">
        <v>3674</v>
      </c>
      <c r="J4914" s="638" t="s">
        <v>9501</v>
      </c>
      <c r="K4914" s="745">
        <v>226</v>
      </c>
      <c r="L4914" s="638">
        <v>12</v>
      </c>
      <c r="M4914" s="746">
        <f t="shared" si="56"/>
        <v>12000</v>
      </c>
      <c r="N4914" s="743">
        <v>201</v>
      </c>
      <c r="O4914" s="626">
        <v>12</v>
      </c>
      <c r="P4914" s="744">
        <f t="shared" si="57"/>
        <v>12000</v>
      </c>
    </row>
    <row r="4915" spans="1:16" s="619" customFormat="1" ht="24" x14ac:dyDescent="0.2">
      <c r="A4915" s="626" t="s">
        <v>9498</v>
      </c>
      <c r="B4915" s="626" t="s">
        <v>1908</v>
      </c>
      <c r="C4915" s="638" t="s">
        <v>104</v>
      </c>
      <c r="D4915" s="626" t="s">
        <v>2660</v>
      </c>
      <c r="E4915" s="647">
        <v>2000</v>
      </c>
      <c r="F4915" s="626" t="s">
        <v>9978</v>
      </c>
      <c r="G4915" s="626" t="s">
        <v>9979</v>
      </c>
      <c r="H4915" s="626" t="s">
        <v>2660</v>
      </c>
      <c r="I4915" s="626" t="s">
        <v>3768</v>
      </c>
      <c r="J4915" s="638" t="s">
        <v>9501</v>
      </c>
      <c r="K4915" s="745"/>
      <c r="L4915" s="638">
        <v>0</v>
      </c>
      <c r="M4915" s="746">
        <f t="shared" si="56"/>
        <v>0</v>
      </c>
      <c r="N4915" s="743">
        <v>202</v>
      </c>
      <c r="O4915" s="626">
        <v>12</v>
      </c>
      <c r="P4915" s="744">
        <f t="shared" si="57"/>
        <v>24000</v>
      </c>
    </row>
    <row r="4916" spans="1:16" s="619" customFormat="1" ht="24" x14ac:dyDescent="0.2">
      <c r="A4916" s="626" t="s">
        <v>9498</v>
      </c>
      <c r="B4916" s="626" t="s">
        <v>1908</v>
      </c>
      <c r="C4916" s="638" t="s">
        <v>104</v>
      </c>
      <c r="D4916" s="626" t="s">
        <v>2660</v>
      </c>
      <c r="E4916" s="647">
        <v>2000</v>
      </c>
      <c r="F4916" s="626" t="s">
        <v>9980</v>
      </c>
      <c r="G4916" s="626" t="s">
        <v>9981</v>
      </c>
      <c r="H4916" s="626" t="s">
        <v>2660</v>
      </c>
      <c r="I4916" s="626" t="s">
        <v>3768</v>
      </c>
      <c r="J4916" s="638" t="s">
        <v>9501</v>
      </c>
      <c r="K4916" s="745"/>
      <c r="L4916" s="638">
        <v>0</v>
      </c>
      <c r="M4916" s="746">
        <f t="shared" si="56"/>
        <v>0</v>
      </c>
      <c r="N4916" s="743">
        <v>203</v>
      </c>
      <c r="O4916" s="626">
        <v>12</v>
      </c>
      <c r="P4916" s="744">
        <f t="shared" si="57"/>
        <v>24000</v>
      </c>
    </row>
    <row r="4917" spans="1:16" s="619" customFormat="1" ht="24" x14ac:dyDescent="0.2">
      <c r="A4917" s="626" t="s">
        <v>9498</v>
      </c>
      <c r="B4917" s="626" t="s">
        <v>1908</v>
      </c>
      <c r="C4917" s="638" t="s">
        <v>104</v>
      </c>
      <c r="D4917" s="626" t="s">
        <v>3548</v>
      </c>
      <c r="E4917" s="647">
        <v>930</v>
      </c>
      <c r="F4917" s="626" t="s">
        <v>9982</v>
      </c>
      <c r="G4917" s="626" t="s">
        <v>9983</v>
      </c>
      <c r="H4917" s="626" t="s">
        <v>3548</v>
      </c>
      <c r="I4917" s="626" t="s">
        <v>3614</v>
      </c>
      <c r="J4917" s="638" t="s">
        <v>8667</v>
      </c>
      <c r="K4917" s="745">
        <v>227</v>
      </c>
      <c r="L4917" s="638">
        <v>12</v>
      </c>
      <c r="M4917" s="746">
        <f t="shared" si="56"/>
        <v>11160</v>
      </c>
      <c r="N4917" s="743">
        <v>204</v>
      </c>
      <c r="O4917" s="626">
        <v>12</v>
      </c>
      <c r="P4917" s="744">
        <f t="shared" si="57"/>
        <v>11160</v>
      </c>
    </row>
    <row r="4918" spans="1:16" s="619" customFormat="1" ht="36" x14ac:dyDescent="0.2">
      <c r="A4918" s="626" t="s">
        <v>9498</v>
      </c>
      <c r="B4918" s="626" t="s">
        <v>1908</v>
      </c>
      <c r="C4918" s="638" t="s">
        <v>104</v>
      </c>
      <c r="D4918" s="626" t="s">
        <v>2660</v>
      </c>
      <c r="E4918" s="647">
        <v>930</v>
      </c>
      <c r="F4918" s="626" t="s">
        <v>9984</v>
      </c>
      <c r="G4918" s="626" t="s">
        <v>9985</v>
      </c>
      <c r="H4918" s="626" t="s">
        <v>2660</v>
      </c>
      <c r="I4918" s="626" t="s">
        <v>3768</v>
      </c>
      <c r="J4918" s="638" t="s">
        <v>9501</v>
      </c>
      <c r="K4918" s="745">
        <v>228</v>
      </c>
      <c r="L4918" s="638">
        <v>12</v>
      </c>
      <c r="M4918" s="746">
        <f t="shared" si="56"/>
        <v>11160</v>
      </c>
      <c r="N4918" s="743">
        <v>205</v>
      </c>
      <c r="O4918" s="626">
        <v>12</v>
      </c>
      <c r="P4918" s="744">
        <f t="shared" si="57"/>
        <v>11160</v>
      </c>
    </row>
    <row r="4919" spans="1:16" s="619" customFormat="1" ht="24" x14ac:dyDescent="0.2">
      <c r="A4919" s="626" t="s">
        <v>9498</v>
      </c>
      <c r="B4919" s="626" t="s">
        <v>1908</v>
      </c>
      <c r="C4919" s="638" t="s">
        <v>104</v>
      </c>
      <c r="D4919" s="626" t="s">
        <v>2660</v>
      </c>
      <c r="E4919" s="647">
        <v>1000</v>
      </c>
      <c r="F4919" s="626" t="s">
        <v>9986</v>
      </c>
      <c r="G4919" s="626" t="s">
        <v>9987</v>
      </c>
      <c r="H4919" s="626" t="s">
        <v>2660</v>
      </c>
      <c r="I4919" s="626" t="s">
        <v>3768</v>
      </c>
      <c r="J4919" s="638" t="s">
        <v>9501</v>
      </c>
      <c r="K4919" s="745"/>
      <c r="L4919" s="638">
        <v>0</v>
      </c>
      <c r="M4919" s="746">
        <f t="shared" si="56"/>
        <v>0</v>
      </c>
      <c r="N4919" s="638">
        <v>306</v>
      </c>
      <c r="O4919" s="626">
        <v>10</v>
      </c>
      <c r="P4919" s="744">
        <f t="shared" si="57"/>
        <v>10000</v>
      </c>
    </row>
    <row r="4920" spans="1:16" s="619" customFormat="1" ht="24" x14ac:dyDescent="0.2">
      <c r="A4920" s="626" t="s">
        <v>9498</v>
      </c>
      <c r="B4920" s="626" t="s">
        <v>1908</v>
      </c>
      <c r="C4920" s="638" t="s">
        <v>104</v>
      </c>
      <c r="D4920" s="626" t="s">
        <v>2660</v>
      </c>
      <c r="E4920" s="647">
        <v>1000</v>
      </c>
      <c r="F4920" s="626" t="s">
        <v>9988</v>
      </c>
      <c r="G4920" s="626" t="s">
        <v>9989</v>
      </c>
      <c r="H4920" s="626" t="s">
        <v>2660</v>
      </c>
      <c r="I4920" s="626" t="s">
        <v>3768</v>
      </c>
      <c r="J4920" s="638" t="s">
        <v>9501</v>
      </c>
      <c r="K4920" s="745">
        <v>229</v>
      </c>
      <c r="L4920" s="638">
        <v>12</v>
      </c>
      <c r="M4920" s="746">
        <f t="shared" si="56"/>
        <v>12000</v>
      </c>
      <c r="N4920" s="743">
        <v>206</v>
      </c>
      <c r="O4920" s="626">
        <v>12</v>
      </c>
      <c r="P4920" s="744">
        <f t="shared" si="57"/>
        <v>12000</v>
      </c>
    </row>
    <row r="4921" spans="1:16" s="619" customFormat="1" ht="36" x14ac:dyDescent="0.2">
      <c r="A4921" s="626" t="s">
        <v>9498</v>
      </c>
      <c r="B4921" s="626" t="s">
        <v>1908</v>
      </c>
      <c r="C4921" s="638" t="s">
        <v>104</v>
      </c>
      <c r="D4921" s="626" t="s">
        <v>2660</v>
      </c>
      <c r="E4921" s="647">
        <v>930</v>
      </c>
      <c r="F4921" s="626" t="s">
        <v>9990</v>
      </c>
      <c r="G4921" s="626" t="s">
        <v>9991</v>
      </c>
      <c r="H4921" s="626" t="s">
        <v>2660</v>
      </c>
      <c r="I4921" s="626" t="s">
        <v>3768</v>
      </c>
      <c r="J4921" s="638" t="s">
        <v>9501</v>
      </c>
      <c r="K4921" s="745">
        <v>230</v>
      </c>
      <c r="L4921" s="638">
        <v>12</v>
      </c>
      <c r="M4921" s="746">
        <f t="shared" si="56"/>
        <v>11160</v>
      </c>
      <c r="N4921" s="743">
        <v>207</v>
      </c>
      <c r="O4921" s="626">
        <v>12</v>
      </c>
      <c r="P4921" s="744">
        <f t="shared" si="57"/>
        <v>11160</v>
      </c>
    </row>
    <row r="4922" spans="1:16" s="619" customFormat="1" ht="36" x14ac:dyDescent="0.2">
      <c r="A4922" s="626" t="s">
        <v>9498</v>
      </c>
      <c r="B4922" s="626" t="s">
        <v>1908</v>
      </c>
      <c r="C4922" s="638" t="s">
        <v>104</v>
      </c>
      <c r="D4922" s="626" t="s">
        <v>6114</v>
      </c>
      <c r="E4922" s="647">
        <v>1000</v>
      </c>
      <c r="F4922" s="626" t="s">
        <v>9992</v>
      </c>
      <c r="G4922" s="626" t="s">
        <v>9993</v>
      </c>
      <c r="H4922" s="626" t="s">
        <v>6114</v>
      </c>
      <c r="I4922" s="626" t="s">
        <v>1931</v>
      </c>
      <c r="J4922" s="638" t="s">
        <v>9501</v>
      </c>
      <c r="K4922" s="745">
        <v>231</v>
      </c>
      <c r="L4922" s="638">
        <v>12</v>
      </c>
      <c r="M4922" s="746">
        <f t="shared" si="56"/>
        <v>12000</v>
      </c>
      <c r="N4922" s="743">
        <v>208</v>
      </c>
      <c r="O4922" s="626">
        <v>12</v>
      </c>
      <c r="P4922" s="744">
        <f t="shared" si="57"/>
        <v>12000</v>
      </c>
    </row>
    <row r="4923" spans="1:16" s="619" customFormat="1" ht="36" x14ac:dyDescent="0.2">
      <c r="A4923" s="626" t="s">
        <v>9498</v>
      </c>
      <c r="B4923" s="626" t="s">
        <v>1908</v>
      </c>
      <c r="C4923" s="638" t="s">
        <v>104</v>
      </c>
      <c r="D4923" s="626" t="s">
        <v>9994</v>
      </c>
      <c r="E4923" s="647">
        <v>1000</v>
      </c>
      <c r="F4923" s="626" t="s">
        <v>9995</v>
      </c>
      <c r="G4923" s="626" t="s">
        <v>9996</v>
      </c>
      <c r="H4923" s="626" t="s">
        <v>3569</v>
      </c>
      <c r="I4923" s="626" t="s">
        <v>3614</v>
      </c>
      <c r="J4923" s="638" t="s">
        <v>8667</v>
      </c>
      <c r="K4923" s="745">
        <v>232</v>
      </c>
      <c r="L4923" s="638">
        <v>12</v>
      </c>
      <c r="M4923" s="746">
        <f t="shared" si="56"/>
        <v>12000</v>
      </c>
      <c r="N4923" s="743">
        <v>209</v>
      </c>
      <c r="O4923" s="626">
        <v>12</v>
      </c>
      <c r="P4923" s="744">
        <f t="shared" si="57"/>
        <v>12000</v>
      </c>
    </row>
    <row r="4924" spans="1:16" s="619" customFormat="1" ht="36" x14ac:dyDescent="0.2">
      <c r="A4924" s="626" t="s">
        <v>9498</v>
      </c>
      <c r="B4924" s="626" t="s">
        <v>1908</v>
      </c>
      <c r="C4924" s="638" t="s">
        <v>104</v>
      </c>
      <c r="D4924" s="626" t="s">
        <v>6120</v>
      </c>
      <c r="E4924" s="647">
        <v>1000</v>
      </c>
      <c r="F4924" s="626" t="s">
        <v>9997</v>
      </c>
      <c r="G4924" s="626" t="s">
        <v>9998</v>
      </c>
      <c r="H4924" s="626" t="s">
        <v>6120</v>
      </c>
      <c r="I4924" s="626" t="s">
        <v>1931</v>
      </c>
      <c r="J4924" s="638" t="s">
        <v>9501</v>
      </c>
      <c r="K4924" s="745">
        <v>233</v>
      </c>
      <c r="L4924" s="638">
        <v>12</v>
      </c>
      <c r="M4924" s="746">
        <f t="shared" si="56"/>
        <v>12000</v>
      </c>
      <c r="N4924" s="743">
        <v>210</v>
      </c>
      <c r="O4924" s="626">
        <v>12</v>
      </c>
      <c r="P4924" s="744">
        <f t="shared" si="57"/>
        <v>12000</v>
      </c>
    </row>
    <row r="4925" spans="1:16" s="619" customFormat="1" ht="36" x14ac:dyDescent="0.2">
      <c r="A4925" s="626" t="s">
        <v>9498</v>
      </c>
      <c r="B4925" s="626" t="s">
        <v>1908</v>
      </c>
      <c r="C4925" s="638" t="s">
        <v>104</v>
      </c>
      <c r="D4925" s="626" t="s">
        <v>3545</v>
      </c>
      <c r="E4925" s="647">
        <v>1000</v>
      </c>
      <c r="F4925" s="626" t="s">
        <v>9999</v>
      </c>
      <c r="G4925" s="626" t="s">
        <v>10000</v>
      </c>
      <c r="H4925" s="626" t="s">
        <v>3545</v>
      </c>
      <c r="I4925" s="626" t="s">
        <v>3768</v>
      </c>
      <c r="J4925" s="638" t="s">
        <v>3523</v>
      </c>
      <c r="K4925" s="745">
        <v>234</v>
      </c>
      <c r="L4925" s="638">
        <v>12</v>
      </c>
      <c r="M4925" s="746">
        <f t="shared" si="56"/>
        <v>12000</v>
      </c>
      <c r="N4925" s="743">
        <v>211</v>
      </c>
      <c r="O4925" s="626">
        <v>12</v>
      </c>
      <c r="P4925" s="744">
        <f t="shared" si="57"/>
        <v>12000</v>
      </c>
    </row>
    <row r="4926" spans="1:16" s="619" customFormat="1" ht="36" x14ac:dyDescent="0.2">
      <c r="A4926" s="626" t="s">
        <v>9498</v>
      </c>
      <c r="B4926" s="626" t="s">
        <v>1908</v>
      </c>
      <c r="C4926" s="638" t="s">
        <v>104</v>
      </c>
      <c r="D4926" s="626" t="s">
        <v>6158</v>
      </c>
      <c r="E4926" s="647">
        <v>930</v>
      </c>
      <c r="F4926" s="626" t="s">
        <v>10001</v>
      </c>
      <c r="G4926" s="626" t="s">
        <v>10002</v>
      </c>
      <c r="H4926" s="626" t="s">
        <v>6158</v>
      </c>
      <c r="I4926" s="626" t="s">
        <v>3614</v>
      </c>
      <c r="J4926" s="638" t="s">
        <v>8667</v>
      </c>
      <c r="K4926" s="745">
        <v>235</v>
      </c>
      <c r="L4926" s="638">
        <v>12</v>
      </c>
      <c r="M4926" s="746">
        <f t="shared" si="56"/>
        <v>11160</v>
      </c>
      <c r="N4926" s="743">
        <v>212</v>
      </c>
      <c r="O4926" s="626">
        <v>12</v>
      </c>
      <c r="P4926" s="744">
        <f t="shared" si="57"/>
        <v>11160</v>
      </c>
    </row>
    <row r="4927" spans="1:16" s="619" customFormat="1" ht="24" x14ac:dyDescent="0.2">
      <c r="A4927" s="626" t="s">
        <v>9498</v>
      </c>
      <c r="B4927" s="626" t="s">
        <v>1908</v>
      </c>
      <c r="C4927" s="638" t="s">
        <v>104</v>
      </c>
      <c r="D4927" s="626" t="s">
        <v>3548</v>
      </c>
      <c r="E4927" s="647">
        <v>1500</v>
      </c>
      <c r="F4927" s="626" t="s">
        <v>10003</v>
      </c>
      <c r="G4927" s="626" t="s">
        <v>10004</v>
      </c>
      <c r="H4927" s="626" t="s">
        <v>3548</v>
      </c>
      <c r="I4927" s="626" t="s">
        <v>3614</v>
      </c>
      <c r="J4927" s="638" t="s">
        <v>8667</v>
      </c>
      <c r="K4927" s="745">
        <v>236</v>
      </c>
      <c r="L4927" s="638">
        <v>12</v>
      </c>
      <c r="M4927" s="746">
        <f t="shared" si="56"/>
        <v>18000</v>
      </c>
      <c r="N4927" s="743">
        <v>213</v>
      </c>
      <c r="O4927" s="626">
        <v>12</v>
      </c>
      <c r="P4927" s="744">
        <f t="shared" si="57"/>
        <v>18000</v>
      </c>
    </row>
    <row r="4928" spans="1:16" s="619" customFormat="1" ht="48" x14ac:dyDescent="0.2">
      <c r="A4928" s="626" t="s">
        <v>9498</v>
      </c>
      <c r="B4928" s="626" t="s">
        <v>1908</v>
      </c>
      <c r="C4928" s="638" t="s">
        <v>104</v>
      </c>
      <c r="D4928" s="626" t="s">
        <v>1996</v>
      </c>
      <c r="E4928" s="647">
        <v>930</v>
      </c>
      <c r="F4928" s="626" t="s">
        <v>10005</v>
      </c>
      <c r="G4928" s="626" t="s">
        <v>10006</v>
      </c>
      <c r="H4928" s="626" t="s">
        <v>1996</v>
      </c>
      <c r="I4928" s="626" t="s">
        <v>3614</v>
      </c>
      <c r="J4928" s="638" t="s">
        <v>8667</v>
      </c>
      <c r="K4928" s="745">
        <v>237</v>
      </c>
      <c r="L4928" s="638">
        <v>12</v>
      </c>
      <c r="M4928" s="746">
        <f t="shared" si="56"/>
        <v>11160</v>
      </c>
      <c r="N4928" s="743">
        <v>214</v>
      </c>
      <c r="O4928" s="626">
        <v>12</v>
      </c>
      <c r="P4928" s="744">
        <f t="shared" si="57"/>
        <v>11160</v>
      </c>
    </row>
    <row r="4929" spans="1:16" s="619" customFormat="1" ht="36" x14ac:dyDescent="0.2">
      <c r="A4929" s="626" t="s">
        <v>9498</v>
      </c>
      <c r="B4929" s="626" t="s">
        <v>1908</v>
      </c>
      <c r="C4929" s="638" t="s">
        <v>104</v>
      </c>
      <c r="D4929" s="626" t="s">
        <v>2660</v>
      </c>
      <c r="E4929" s="647">
        <v>2000</v>
      </c>
      <c r="F4929" s="626" t="s">
        <v>10007</v>
      </c>
      <c r="G4929" s="626" t="s">
        <v>10008</v>
      </c>
      <c r="H4929" s="626" t="s">
        <v>2660</v>
      </c>
      <c r="I4929" s="626" t="s">
        <v>3768</v>
      </c>
      <c r="J4929" s="638" t="s">
        <v>9501</v>
      </c>
      <c r="K4929" s="745">
        <v>238</v>
      </c>
      <c r="L4929" s="638">
        <v>12</v>
      </c>
      <c r="M4929" s="746">
        <f t="shared" si="56"/>
        <v>24000</v>
      </c>
      <c r="N4929" s="743">
        <v>215</v>
      </c>
      <c r="O4929" s="626">
        <v>12</v>
      </c>
      <c r="P4929" s="744">
        <f t="shared" si="57"/>
        <v>24000</v>
      </c>
    </row>
    <row r="4930" spans="1:16" s="619" customFormat="1" ht="36" x14ac:dyDescent="0.2">
      <c r="A4930" s="626" t="s">
        <v>9498</v>
      </c>
      <c r="B4930" s="626" t="s">
        <v>1908</v>
      </c>
      <c r="C4930" s="638" t="s">
        <v>104</v>
      </c>
      <c r="D4930" s="626" t="s">
        <v>6092</v>
      </c>
      <c r="E4930" s="647">
        <v>1600</v>
      </c>
      <c r="F4930" s="626" t="s">
        <v>10009</v>
      </c>
      <c r="G4930" s="626" t="s">
        <v>10010</v>
      </c>
      <c r="H4930" s="626" t="s">
        <v>6092</v>
      </c>
      <c r="I4930" s="626" t="s">
        <v>3768</v>
      </c>
      <c r="J4930" s="638" t="s">
        <v>3523</v>
      </c>
      <c r="K4930" s="745">
        <v>239</v>
      </c>
      <c r="L4930" s="638">
        <v>12</v>
      </c>
      <c r="M4930" s="746">
        <f t="shared" si="56"/>
        <v>19200</v>
      </c>
      <c r="N4930" s="743">
        <v>216</v>
      </c>
      <c r="O4930" s="626">
        <v>12</v>
      </c>
      <c r="P4930" s="744">
        <f t="shared" si="57"/>
        <v>19200</v>
      </c>
    </row>
    <row r="4931" spans="1:16" s="619" customFormat="1" ht="24" x14ac:dyDescent="0.2">
      <c r="A4931" s="626" t="s">
        <v>9498</v>
      </c>
      <c r="B4931" s="626" t="s">
        <v>1908</v>
      </c>
      <c r="C4931" s="638" t="s">
        <v>104</v>
      </c>
      <c r="D4931" s="626" t="s">
        <v>3548</v>
      </c>
      <c r="E4931" s="647">
        <v>1000</v>
      </c>
      <c r="F4931" s="626" t="s">
        <v>10011</v>
      </c>
      <c r="G4931" s="626" t="s">
        <v>10012</v>
      </c>
      <c r="H4931" s="626" t="s">
        <v>3548</v>
      </c>
      <c r="I4931" s="626" t="s">
        <v>3614</v>
      </c>
      <c r="J4931" s="638" t="s">
        <v>8667</v>
      </c>
      <c r="K4931" s="745">
        <v>240</v>
      </c>
      <c r="L4931" s="638">
        <v>12</v>
      </c>
      <c r="M4931" s="746">
        <f t="shared" si="56"/>
        <v>12000</v>
      </c>
      <c r="N4931" s="743">
        <v>217</v>
      </c>
      <c r="O4931" s="626">
        <v>12</v>
      </c>
      <c r="P4931" s="744">
        <f t="shared" si="57"/>
        <v>12000</v>
      </c>
    </row>
    <row r="4932" spans="1:16" s="619" customFormat="1" ht="36" x14ac:dyDescent="0.2">
      <c r="A4932" s="626" t="s">
        <v>9498</v>
      </c>
      <c r="B4932" s="626" t="s">
        <v>1908</v>
      </c>
      <c r="C4932" s="638" t="s">
        <v>104</v>
      </c>
      <c r="D4932" s="626" t="s">
        <v>2660</v>
      </c>
      <c r="E4932" s="647">
        <v>930</v>
      </c>
      <c r="F4932" s="626" t="s">
        <v>10013</v>
      </c>
      <c r="G4932" s="626" t="s">
        <v>10014</v>
      </c>
      <c r="H4932" s="626" t="s">
        <v>2660</v>
      </c>
      <c r="I4932" s="626" t="s">
        <v>3768</v>
      </c>
      <c r="J4932" s="638" t="s">
        <v>9501</v>
      </c>
      <c r="K4932" s="745">
        <v>241</v>
      </c>
      <c r="L4932" s="638">
        <v>12</v>
      </c>
      <c r="M4932" s="746">
        <f t="shared" ref="M4932:M4990" si="58">+E4932*L4932</f>
        <v>11160</v>
      </c>
      <c r="N4932" s="743">
        <v>218</v>
      </c>
      <c r="O4932" s="626">
        <v>12</v>
      </c>
      <c r="P4932" s="744">
        <f t="shared" ref="P4932:P4990" si="59">+E4932*O4932</f>
        <v>11160</v>
      </c>
    </row>
    <row r="4933" spans="1:16" s="619" customFormat="1" ht="24" x14ac:dyDescent="0.2">
      <c r="A4933" s="626" t="s">
        <v>9498</v>
      </c>
      <c r="B4933" s="626" t="s">
        <v>1908</v>
      </c>
      <c r="C4933" s="638" t="s">
        <v>104</v>
      </c>
      <c r="D4933" s="626" t="s">
        <v>2660</v>
      </c>
      <c r="E4933" s="647">
        <v>930</v>
      </c>
      <c r="F4933" s="626" t="s">
        <v>10015</v>
      </c>
      <c r="G4933" s="626" t="s">
        <v>10016</v>
      </c>
      <c r="H4933" s="626" t="s">
        <v>2660</v>
      </c>
      <c r="I4933" s="626" t="s">
        <v>3768</v>
      </c>
      <c r="J4933" s="638" t="s">
        <v>9501</v>
      </c>
      <c r="K4933" s="745"/>
      <c r="L4933" s="638">
        <v>0</v>
      </c>
      <c r="M4933" s="746">
        <f t="shared" si="58"/>
        <v>0</v>
      </c>
      <c r="N4933" s="743">
        <v>219</v>
      </c>
      <c r="O4933" s="626">
        <v>12</v>
      </c>
      <c r="P4933" s="744">
        <f t="shared" si="59"/>
        <v>11160</v>
      </c>
    </row>
    <row r="4934" spans="1:16" s="619" customFormat="1" ht="36" x14ac:dyDescent="0.2">
      <c r="A4934" s="626" t="s">
        <v>9498</v>
      </c>
      <c r="B4934" s="626" t="s">
        <v>1908</v>
      </c>
      <c r="C4934" s="638" t="s">
        <v>104</v>
      </c>
      <c r="D4934" s="626" t="s">
        <v>6114</v>
      </c>
      <c r="E4934" s="647">
        <v>1500</v>
      </c>
      <c r="F4934" s="626" t="s">
        <v>10017</v>
      </c>
      <c r="G4934" s="626" t="s">
        <v>10018</v>
      </c>
      <c r="H4934" s="626" t="s">
        <v>6114</v>
      </c>
      <c r="I4934" s="626" t="s">
        <v>1931</v>
      </c>
      <c r="J4934" s="638" t="s">
        <v>9501</v>
      </c>
      <c r="K4934" s="745">
        <v>242</v>
      </c>
      <c r="L4934" s="638">
        <v>12</v>
      </c>
      <c r="M4934" s="746">
        <f t="shared" si="58"/>
        <v>18000</v>
      </c>
      <c r="N4934" s="743">
        <v>230</v>
      </c>
      <c r="O4934" s="626">
        <v>12</v>
      </c>
      <c r="P4934" s="744">
        <f t="shared" si="59"/>
        <v>18000</v>
      </c>
    </row>
    <row r="4935" spans="1:16" s="619" customFormat="1" ht="36" x14ac:dyDescent="0.2">
      <c r="A4935" s="626" t="s">
        <v>9498</v>
      </c>
      <c r="B4935" s="626" t="s">
        <v>1908</v>
      </c>
      <c r="C4935" s="638" t="s">
        <v>104</v>
      </c>
      <c r="D4935" s="626" t="s">
        <v>6092</v>
      </c>
      <c r="E4935" s="647">
        <v>1800</v>
      </c>
      <c r="F4935" s="626" t="s">
        <v>10019</v>
      </c>
      <c r="G4935" s="626" t="s">
        <v>10020</v>
      </c>
      <c r="H4935" s="626" t="s">
        <v>6092</v>
      </c>
      <c r="I4935" s="626" t="s">
        <v>3768</v>
      </c>
      <c r="J4935" s="638" t="s">
        <v>3523</v>
      </c>
      <c r="K4935" s="745">
        <v>243</v>
      </c>
      <c r="L4935" s="638">
        <v>12</v>
      </c>
      <c r="M4935" s="746">
        <f t="shared" si="58"/>
        <v>21600</v>
      </c>
      <c r="N4935" s="743">
        <v>231</v>
      </c>
      <c r="O4935" s="626">
        <v>12</v>
      </c>
      <c r="P4935" s="744">
        <f t="shared" si="59"/>
        <v>21600</v>
      </c>
    </row>
    <row r="4936" spans="1:16" s="619" customFormat="1" ht="24" x14ac:dyDescent="0.2">
      <c r="A4936" s="626" t="s">
        <v>9498</v>
      </c>
      <c r="B4936" s="626" t="s">
        <v>1908</v>
      </c>
      <c r="C4936" s="638" t="s">
        <v>104</v>
      </c>
      <c r="D4936" s="626" t="s">
        <v>2660</v>
      </c>
      <c r="E4936" s="647">
        <v>930</v>
      </c>
      <c r="F4936" s="626" t="s">
        <v>10021</v>
      </c>
      <c r="G4936" s="626" t="s">
        <v>10022</v>
      </c>
      <c r="H4936" s="626" t="s">
        <v>2660</v>
      </c>
      <c r="I4936" s="626" t="s">
        <v>3768</v>
      </c>
      <c r="J4936" s="638" t="s">
        <v>9501</v>
      </c>
      <c r="K4936" s="745">
        <v>244</v>
      </c>
      <c r="L4936" s="638">
        <v>12</v>
      </c>
      <c r="M4936" s="746">
        <f t="shared" si="58"/>
        <v>11160</v>
      </c>
      <c r="N4936" s="743">
        <v>232</v>
      </c>
      <c r="O4936" s="626">
        <v>12</v>
      </c>
      <c r="P4936" s="744">
        <f t="shared" si="59"/>
        <v>11160</v>
      </c>
    </row>
    <row r="4937" spans="1:16" s="619" customFormat="1" ht="36" x14ac:dyDescent="0.2">
      <c r="A4937" s="626" t="s">
        <v>9498</v>
      </c>
      <c r="B4937" s="626" t="s">
        <v>1908</v>
      </c>
      <c r="C4937" s="638" t="s">
        <v>104</v>
      </c>
      <c r="D4937" s="626" t="s">
        <v>2087</v>
      </c>
      <c r="E4937" s="647">
        <v>1000</v>
      </c>
      <c r="F4937" s="626" t="s">
        <v>10023</v>
      </c>
      <c r="G4937" s="626" t="s">
        <v>10024</v>
      </c>
      <c r="H4937" s="626" t="s">
        <v>2087</v>
      </c>
      <c r="I4937" s="626" t="s">
        <v>3768</v>
      </c>
      <c r="J4937" s="638" t="s">
        <v>9501</v>
      </c>
      <c r="K4937" s="745">
        <v>245</v>
      </c>
      <c r="L4937" s="638">
        <v>12</v>
      </c>
      <c r="M4937" s="746">
        <f t="shared" si="58"/>
        <v>12000</v>
      </c>
      <c r="N4937" s="743">
        <v>234</v>
      </c>
      <c r="O4937" s="626">
        <v>12</v>
      </c>
      <c r="P4937" s="744">
        <f t="shared" si="59"/>
        <v>12000</v>
      </c>
    </row>
    <row r="4938" spans="1:16" s="619" customFormat="1" ht="36" x14ac:dyDescent="0.2">
      <c r="A4938" s="626" t="s">
        <v>9498</v>
      </c>
      <c r="B4938" s="626" t="s">
        <v>1908</v>
      </c>
      <c r="C4938" s="638" t="s">
        <v>104</v>
      </c>
      <c r="D4938" s="626" t="s">
        <v>3569</v>
      </c>
      <c r="E4938" s="647">
        <v>1000</v>
      </c>
      <c r="F4938" s="626" t="s">
        <v>10025</v>
      </c>
      <c r="G4938" s="626" t="s">
        <v>10026</v>
      </c>
      <c r="H4938" s="626" t="s">
        <v>10027</v>
      </c>
      <c r="I4938" s="626" t="s">
        <v>1931</v>
      </c>
      <c r="J4938" s="638" t="s">
        <v>9501</v>
      </c>
      <c r="K4938" s="745"/>
      <c r="L4938" s="638">
        <v>0</v>
      </c>
      <c r="M4938" s="746">
        <f t="shared" si="58"/>
        <v>0</v>
      </c>
      <c r="N4938" s="638">
        <v>307</v>
      </c>
      <c r="O4938" s="626">
        <v>10</v>
      </c>
      <c r="P4938" s="744">
        <f t="shared" si="59"/>
        <v>10000</v>
      </c>
    </row>
    <row r="4939" spans="1:16" s="619" customFormat="1" ht="36" x14ac:dyDescent="0.2">
      <c r="A4939" s="626" t="s">
        <v>9498</v>
      </c>
      <c r="B4939" s="626" t="s">
        <v>1908</v>
      </c>
      <c r="C4939" s="638" t="s">
        <v>104</v>
      </c>
      <c r="D4939" s="626" t="s">
        <v>6158</v>
      </c>
      <c r="E4939" s="647">
        <v>1000</v>
      </c>
      <c r="F4939" s="626" t="s">
        <v>10028</v>
      </c>
      <c r="G4939" s="626" t="s">
        <v>10029</v>
      </c>
      <c r="H4939" s="626" t="s">
        <v>6158</v>
      </c>
      <c r="I4939" s="626" t="s">
        <v>3614</v>
      </c>
      <c r="J4939" s="638" t="s">
        <v>8667</v>
      </c>
      <c r="K4939" s="745">
        <v>246</v>
      </c>
      <c r="L4939" s="638">
        <v>12</v>
      </c>
      <c r="M4939" s="746">
        <f t="shared" si="58"/>
        <v>12000</v>
      </c>
      <c r="N4939" s="743">
        <v>235</v>
      </c>
      <c r="O4939" s="626">
        <v>12</v>
      </c>
      <c r="P4939" s="744">
        <f t="shared" si="59"/>
        <v>12000</v>
      </c>
    </row>
    <row r="4940" spans="1:16" s="619" customFormat="1" ht="36" x14ac:dyDescent="0.2">
      <c r="A4940" s="626" t="s">
        <v>9498</v>
      </c>
      <c r="B4940" s="626" t="s">
        <v>1908</v>
      </c>
      <c r="C4940" s="638" t="s">
        <v>104</v>
      </c>
      <c r="D4940" s="626" t="s">
        <v>10030</v>
      </c>
      <c r="E4940" s="647">
        <v>1600</v>
      </c>
      <c r="F4940" s="626" t="s">
        <v>10031</v>
      </c>
      <c r="G4940" s="626" t="s">
        <v>10032</v>
      </c>
      <c r="H4940" s="626" t="s">
        <v>9898</v>
      </c>
      <c r="I4940" s="626" t="s">
        <v>3768</v>
      </c>
      <c r="J4940" s="638" t="s">
        <v>3523</v>
      </c>
      <c r="K4940" s="745">
        <v>247</v>
      </c>
      <c r="L4940" s="638">
        <v>12</v>
      </c>
      <c r="M4940" s="746">
        <f t="shared" si="58"/>
        <v>19200</v>
      </c>
      <c r="N4940" s="743">
        <v>236</v>
      </c>
      <c r="O4940" s="626">
        <v>12</v>
      </c>
      <c r="P4940" s="744">
        <f t="shared" si="59"/>
        <v>19200</v>
      </c>
    </row>
    <row r="4941" spans="1:16" s="619" customFormat="1" ht="24" x14ac:dyDescent="0.2">
      <c r="A4941" s="626" t="s">
        <v>9498</v>
      </c>
      <c r="B4941" s="626" t="s">
        <v>1908</v>
      </c>
      <c r="C4941" s="638" t="s">
        <v>104</v>
      </c>
      <c r="D4941" s="626" t="s">
        <v>2660</v>
      </c>
      <c r="E4941" s="647">
        <v>930</v>
      </c>
      <c r="F4941" s="626" t="s">
        <v>10033</v>
      </c>
      <c r="G4941" s="626" t="s">
        <v>10034</v>
      </c>
      <c r="H4941" s="626" t="s">
        <v>2660</v>
      </c>
      <c r="I4941" s="626" t="s">
        <v>3768</v>
      </c>
      <c r="J4941" s="638" t="s">
        <v>9501</v>
      </c>
      <c r="K4941" s="745">
        <v>248</v>
      </c>
      <c r="L4941" s="638">
        <v>12</v>
      </c>
      <c r="M4941" s="746">
        <f t="shared" si="58"/>
        <v>11160</v>
      </c>
      <c r="N4941" s="743">
        <v>237</v>
      </c>
      <c r="O4941" s="626">
        <v>12</v>
      </c>
      <c r="P4941" s="744">
        <f t="shared" si="59"/>
        <v>11160</v>
      </c>
    </row>
    <row r="4942" spans="1:16" s="619" customFormat="1" ht="24" x14ac:dyDescent="0.2">
      <c r="A4942" s="626" t="s">
        <v>9498</v>
      </c>
      <c r="B4942" s="626" t="s">
        <v>1908</v>
      </c>
      <c r="C4942" s="638" t="s">
        <v>104</v>
      </c>
      <c r="D4942" s="626" t="s">
        <v>3545</v>
      </c>
      <c r="E4942" s="647">
        <v>1000</v>
      </c>
      <c r="F4942" s="626" t="s">
        <v>10035</v>
      </c>
      <c r="G4942" s="626" t="s">
        <v>10036</v>
      </c>
      <c r="H4942" s="626" t="s">
        <v>3545</v>
      </c>
      <c r="I4942" s="626" t="s">
        <v>3768</v>
      </c>
      <c r="J4942" s="638" t="s">
        <v>3523</v>
      </c>
      <c r="K4942" s="745">
        <v>249</v>
      </c>
      <c r="L4942" s="638">
        <v>12</v>
      </c>
      <c r="M4942" s="746">
        <f t="shared" si="58"/>
        <v>12000</v>
      </c>
      <c r="N4942" s="743">
        <v>238</v>
      </c>
      <c r="O4942" s="626">
        <v>12</v>
      </c>
      <c r="P4942" s="744">
        <f t="shared" si="59"/>
        <v>12000</v>
      </c>
    </row>
    <row r="4943" spans="1:16" s="619" customFormat="1" ht="36" x14ac:dyDescent="0.2">
      <c r="A4943" s="626" t="s">
        <v>9498</v>
      </c>
      <c r="B4943" s="626" t="s">
        <v>1908</v>
      </c>
      <c r="C4943" s="638" t="s">
        <v>104</v>
      </c>
      <c r="D4943" s="626" t="s">
        <v>7626</v>
      </c>
      <c r="E4943" s="647">
        <v>1800</v>
      </c>
      <c r="F4943" s="626" t="s">
        <v>10037</v>
      </c>
      <c r="G4943" s="626" t="s">
        <v>10038</v>
      </c>
      <c r="H4943" s="626" t="s">
        <v>7626</v>
      </c>
      <c r="I4943" s="626" t="s">
        <v>1931</v>
      </c>
      <c r="J4943" s="638" t="s">
        <v>9501</v>
      </c>
      <c r="K4943" s="745">
        <v>250</v>
      </c>
      <c r="L4943" s="638">
        <v>12</v>
      </c>
      <c r="M4943" s="746">
        <f t="shared" si="58"/>
        <v>21600</v>
      </c>
      <c r="N4943" s="743">
        <v>239</v>
      </c>
      <c r="O4943" s="626">
        <v>12</v>
      </c>
      <c r="P4943" s="744">
        <f t="shared" si="59"/>
        <v>21600</v>
      </c>
    </row>
    <row r="4944" spans="1:16" s="619" customFormat="1" ht="24" x14ac:dyDescent="0.2">
      <c r="A4944" s="626" t="s">
        <v>9498</v>
      </c>
      <c r="B4944" s="626" t="s">
        <v>1908</v>
      </c>
      <c r="C4944" s="638" t="s">
        <v>104</v>
      </c>
      <c r="D4944" s="626" t="s">
        <v>2660</v>
      </c>
      <c r="E4944" s="647">
        <v>930</v>
      </c>
      <c r="F4944" s="626" t="s">
        <v>10039</v>
      </c>
      <c r="G4944" s="626" t="s">
        <v>10040</v>
      </c>
      <c r="H4944" s="626" t="s">
        <v>2660</v>
      </c>
      <c r="I4944" s="626" t="s">
        <v>3768</v>
      </c>
      <c r="J4944" s="638" t="s">
        <v>9501</v>
      </c>
      <c r="K4944" s="745"/>
      <c r="L4944" s="638">
        <v>0</v>
      </c>
      <c r="M4944" s="746">
        <f t="shared" si="58"/>
        <v>0</v>
      </c>
      <c r="N4944" s="638">
        <v>316</v>
      </c>
      <c r="O4944" s="626">
        <v>8</v>
      </c>
      <c r="P4944" s="744">
        <f t="shared" si="59"/>
        <v>7440</v>
      </c>
    </row>
    <row r="4945" spans="1:16" s="619" customFormat="1" ht="24" x14ac:dyDescent="0.2">
      <c r="A4945" s="626" t="s">
        <v>9498</v>
      </c>
      <c r="B4945" s="626" t="s">
        <v>1908</v>
      </c>
      <c r="C4945" s="638" t="s">
        <v>104</v>
      </c>
      <c r="D4945" s="626" t="s">
        <v>2660</v>
      </c>
      <c r="E4945" s="647">
        <v>930</v>
      </c>
      <c r="F4945" s="626" t="s">
        <v>10041</v>
      </c>
      <c r="G4945" s="626" t="s">
        <v>10042</v>
      </c>
      <c r="H4945" s="626" t="s">
        <v>2660</v>
      </c>
      <c r="I4945" s="626" t="s">
        <v>3768</v>
      </c>
      <c r="J4945" s="638" t="s">
        <v>9501</v>
      </c>
      <c r="K4945" s="745"/>
      <c r="L4945" s="638">
        <v>0</v>
      </c>
      <c r="M4945" s="746">
        <f t="shared" si="58"/>
        <v>0</v>
      </c>
      <c r="N4945" s="638">
        <v>308</v>
      </c>
      <c r="O4945" s="626">
        <v>10</v>
      </c>
      <c r="P4945" s="744">
        <f t="shared" si="59"/>
        <v>9300</v>
      </c>
    </row>
    <row r="4946" spans="1:16" s="619" customFormat="1" ht="36" x14ac:dyDescent="0.2">
      <c r="A4946" s="626" t="s">
        <v>9498</v>
      </c>
      <c r="B4946" s="626" t="s">
        <v>1908</v>
      </c>
      <c r="C4946" s="638" t="s">
        <v>104</v>
      </c>
      <c r="D4946" s="626" t="s">
        <v>6198</v>
      </c>
      <c r="E4946" s="647">
        <v>1600</v>
      </c>
      <c r="F4946" s="626" t="s">
        <v>10043</v>
      </c>
      <c r="G4946" s="626" t="s">
        <v>10044</v>
      </c>
      <c r="H4946" s="626" t="s">
        <v>6198</v>
      </c>
      <c r="I4946" s="626" t="s">
        <v>3768</v>
      </c>
      <c r="J4946" s="638" t="s">
        <v>3523</v>
      </c>
      <c r="K4946" s="745">
        <v>252</v>
      </c>
      <c r="L4946" s="638">
        <v>12</v>
      </c>
      <c r="M4946" s="746">
        <f t="shared" si="58"/>
        <v>19200</v>
      </c>
      <c r="N4946" s="743">
        <v>240</v>
      </c>
      <c r="O4946" s="626">
        <v>12</v>
      </c>
      <c r="P4946" s="744">
        <f t="shared" si="59"/>
        <v>19200</v>
      </c>
    </row>
    <row r="4947" spans="1:16" s="619" customFormat="1" ht="24" x14ac:dyDescent="0.2">
      <c r="A4947" s="626" t="s">
        <v>9498</v>
      </c>
      <c r="B4947" s="626" t="s">
        <v>1908</v>
      </c>
      <c r="C4947" s="638" t="s">
        <v>104</v>
      </c>
      <c r="D4947" s="626" t="s">
        <v>6092</v>
      </c>
      <c r="E4947" s="647">
        <v>1600</v>
      </c>
      <c r="F4947" s="626" t="s">
        <v>10045</v>
      </c>
      <c r="G4947" s="626" t="s">
        <v>10046</v>
      </c>
      <c r="H4947" s="626" t="s">
        <v>6092</v>
      </c>
      <c r="I4947" s="626" t="s">
        <v>3768</v>
      </c>
      <c r="J4947" s="638" t="s">
        <v>3523</v>
      </c>
      <c r="K4947" s="745">
        <v>253</v>
      </c>
      <c r="L4947" s="638">
        <v>12</v>
      </c>
      <c r="M4947" s="746">
        <f t="shared" si="58"/>
        <v>19200</v>
      </c>
      <c r="N4947" s="743">
        <v>241</v>
      </c>
      <c r="O4947" s="626">
        <v>12</v>
      </c>
      <c r="P4947" s="744">
        <f t="shared" si="59"/>
        <v>19200</v>
      </c>
    </row>
    <row r="4948" spans="1:16" s="619" customFormat="1" ht="36" x14ac:dyDescent="0.2">
      <c r="A4948" s="626" t="s">
        <v>9498</v>
      </c>
      <c r="B4948" s="626" t="s">
        <v>1908</v>
      </c>
      <c r="C4948" s="638" t="s">
        <v>104</v>
      </c>
      <c r="D4948" s="626" t="s">
        <v>2660</v>
      </c>
      <c r="E4948" s="647">
        <v>930</v>
      </c>
      <c r="F4948" s="626" t="s">
        <v>10047</v>
      </c>
      <c r="G4948" s="626" t="s">
        <v>10048</v>
      </c>
      <c r="H4948" s="626" t="s">
        <v>2660</v>
      </c>
      <c r="I4948" s="626" t="s">
        <v>3768</v>
      </c>
      <c r="J4948" s="638" t="s">
        <v>9501</v>
      </c>
      <c r="K4948" s="745">
        <v>254</v>
      </c>
      <c r="L4948" s="638">
        <v>12</v>
      </c>
      <c r="M4948" s="746">
        <f t="shared" si="58"/>
        <v>11160</v>
      </c>
      <c r="N4948" s="743">
        <v>242</v>
      </c>
      <c r="O4948" s="626">
        <v>12</v>
      </c>
      <c r="P4948" s="744">
        <f t="shared" si="59"/>
        <v>11160</v>
      </c>
    </row>
    <row r="4949" spans="1:16" s="619" customFormat="1" ht="24" x14ac:dyDescent="0.2">
      <c r="A4949" s="626" t="s">
        <v>9498</v>
      </c>
      <c r="B4949" s="626" t="s">
        <v>1908</v>
      </c>
      <c r="C4949" s="638" t="s">
        <v>104</v>
      </c>
      <c r="D4949" s="626" t="s">
        <v>2660</v>
      </c>
      <c r="E4949" s="647">
        <v>930</v>
      </c>
      <c r="F4949" s="626" t="s">
        <v>10049</v>
      </c>
      <c r="G4949" s="626" t="s">
        <v>10050</v>
      </c>
      <c r="H4949" s="626" t="s">
        <v>2660</v>
      </c>
      <c r="I4949" s="626" t="s">
        <v>3768</v>
      </c>
      <c r="J4949" s="638" t="s">
        <v>9501</v>
      </c>
      <c r="K4949" s="745">
        <v>255</v>
      </c>
      <c r="L4949" s="638">
        <v>12</v>
      </c>
      <c r="M4949" s="746">
        <f t="shared" si="58"/>
        <v>11160</v>
      </c>
      <c r="N4949" s="743">
        <v>243</v>
      </c>
      <c r="O4949" s="626">
        <v>12</v>
      </c>
      <c r="P4949" s="744">
        <f t="shared" si="59"/>
        <v>11160</v>
      </c>
    </row>
    <row r="4950" spans="1:16" s="619" customFormat="1" ht="48" x14ac:dyDescent="0.2">
      <c r="A4950" s="626" t="s">
        <v>9498</v>
      </c>
      <c r="B4950" s="626" t="s">
        <v>1908</v>
      </c>
      <c r="C4950" s="638" t="s">
        <v>104</v>
      </c>
      <c r="D4950" s="626" t="s">
        <v>6227</v>
      </c>
      <c r="E4950" s="647">
        <v>2500</v>
      </c>
      <c r="F4950" s="626" t="s">
        <v>10051</v>
      </c>
      <c r="G4950" s="626" t="s">
        <v>10052</v>
      </c>
      <c r="H4950" s="626" t="s">
        <v>6227</v>
      </c>
      <c r="I4950" s="626" t="s">
        <v>3768</v>
      </c>
      <c r="J4950" s="638" t="s">
        <v>3523</v>
      </c>
      <c r="K4950" s="745">
        <v>256</v>
      </c>
      <c r="L4950" s="638">
        <v>12</v>
      </c>
      <c r="M4950" s="746">
        <f t="shared" si="58"/>
        <v>30000</v>
      </c>
      <c r="N4950" s="743">
        <v>244</v>
      </c>
      <c r="O4950" s="626">
        <v>12</v>
      </c>
      <c r="P4950" s="744">
        <f t="shared" si="59"/>
        <v>30000</v>
      </c>
    </row>
    <row r="4951" spans="1:16" s="619" customFormat="1" ht="24" x14ac:dyDescent="0.2">
      <c r="A4951" s="626" t="s">
        <v>9498</v>
      </c>
      <c r="B4951" s="626" t="s">
        <v>1908</v>
      </c>
      <c r="C4951" s="638" t="s">
        <v>104</v>
      </c>
      <c r="D4951" s="626" t="s">
        <v>2660</v>
      </c>
      <c r="E4951" s="647">
        <v>2000</v>
      </c>
      <c r="F4951" s="626" t="s">
        <v>10053</v>
      </c>
      <c r="G4951" s="626" t="s">
        <v>10054</v>
      </c>
      <c r="H4951" s="626" t="s">
        <v>2660</v>
      </c>
      <c r="I4951" s="626" t="s">
        <v>3768</v>
      </c>
      <c r="J4951" s="638" t="s">
        <v>9501</v>
      </c>
      <c r="K4951" s="745">
        <v>257</v>
      </c>
      <c r="L4951" s="638">
        <v>12</v>
      </c>
      <c r="M4951" s="746">
        <f t="shared" si="58"/>
        <v>24000</v>
      </c>
      <c r="N4951" s="743">
        <v>245</v>
      </c>
      <c r="O4951" s="626">
        <v>12</v>
      </c>
      <c r="P4951" s="744">
        <f t="shared" si="59"/>
        <v>24000</v>
      </c>
    </row>
    <row r="4952" spans="1:16" s="619" customFormat="1" ht="24" x14ac:dyDescent="0.2">
      <c r="A4952" s="626" t="s">
        <v>9498</v>
      </c>
      <c r="B4952" s="626" t="s">
        <v>1908</v>
      </c>
      <c r="C4952" s="638" t="s">
        <v>104</v>
      </c>
      <c r="D4952" s="626" t="s">
        <v>6198</v>
      </c>
      <c r="E4952" s="647">
        <v>2000</v>
      </c>
      <c r="F4952" s="626" t="s">
        <v>10055</v>
      </c>
      <c r="G4952" s="626" t="s">
        <v>10056</v>
      </c>
      <c r="H4952" s="626" t="s">
        <v>6198</v>
      </c>
      <c r="I4952" s="626" t="s">
        <v>3768</v>
      </c>
      <c r="J4952" s="638" t="s">
        <v>3523</v>
      </c>
      <c r="K4952" s="745">
        <v>258</v>
      </c>
      <c r="L4952" s="638">
        <v>12</v>
      </c>
      <c r="M4952" s="746">
        <f t="shared" si="58"/>
        <v>24000</v>
      </c>
      <c r="N4952" s="743">
        <v>246</v>
      </c>
      <c r="O4952" s="626">
        <v>12</v>
      </c>
      <c r="P4952" s="744">
        <f t="shared" si="59"/>
        <v>24000</v>
      </c>
    </row>
    <row r="4953" spans="1:16" s="619" customFormat="1" ht="24" x14ac:dyDescent="0.2">
      <c r="A4953" s="626" t="s">
        <v>9498</v>
      </c>
      <c r="B4953" s="626" t="s">
        <v>1908</v>
      </c>
      <c r="C4953" s="638" t="s">
        <v>104</v>
      </c>
      <c r="D4953" s="626" t="s">
        <v>6101</v>
      </c>
      <c r="E4953" s="647">
        <v>1800</v>
      </c>
      <c r="F4953" s="626" t="s">
        <v>10057</v>
      </c>
      <c r="G4953" s="626" t="s">
        <v>10058</v>
      </c>
      <c r="H4953" s="626" t="s">
        <v>6101</v>
      </c>
      <c r="I4953" s="626" t="s">
        <v>3768</v>
      </c>
      <c r="J4953" s="638" t="s">
        <v>3523</v>
      </c>
      <c r="K4953" s="745">
        <v>259</v>
      </c>
      <c r="L4953" s="638">
        <v>12</v>
      </c>
      <c r="M4953" s="746">
        <f t="shared" si="58"/>
        <v>21600</v>
      </c>
      <c r="N4953" s="743">
        <v>247</v>
      </c>
      <c r="O4953" s="626">
        <v>12</v>
      </c>
      <c r="P4953" s="744">
        <f t="shared" si="59"/>
        <v>21600</v>
      </c>
    </row>
    <row r="4954" spans="1:16" s="619" customFormat="1" ht="36" x14ac:dyDescent="0.2">
      <c r="A4954" s="626" t="s">
        <v>9498</v>
      </c>
      <c r="B4954" s="626" t="s">
        <v>1908</v>
      </c>
      <c r="C4954" s="638" t="s">
        <v>104</v>
      </c>
      <c r="D4954" s="626" t="s">
        <v>10059</v>
      </c>
      <c r="E4954" s="647">
        <v>2000</v>
      </c>
      <c r="F4954" s="626" t="s">
        <v>10060</v>
      </c>
      <c r="G4954" s="626" t="s">
        <v>10061</v>
      </c>
      <c r="H4954" s="626" t="s">
        <v>10059</v>
      </c>
      <c r="I4954" s="626" t="s">
        <v>3768</v>
      </c>
      <c r="J4954" s="638" t="s">
        <v>3523</v>
      </c>
      <c r="K4954" s="745">
        <v>26</v>
      </c>
      <c r="L4954" s="638">
        <v>12</v>
      </c>
      <c r="M4954" s="746">
        <f t="shared" si="58"/>
        <v>24000</v>
      </c>
      <c r="N4954" s="743">
        <v>248</v>
      </c>
      <c r="O4954" s="626">
        <v>12</v>
      </c>
      <c r="P4954" s="744">
        <f t="shared" si="59"/>
        <v>24000</v>
      </c>
    </row>
    <row r="4955" spans="1:16" s="619" customFormat="1" ht="36" x14ac:dyDescent="0.2">
      <c r="A4955" s="626" t="s">
        <v>9498</v>
      </c>
      <c r="B4955" s="626" t="s">
        <v>1908</v>
      </c>
      <c r="C4955" s="638" t="s">
        <v>104</v>
      </c>
      <c r="D4955" s="626" t="s">
        <v>6187</v>
      </c>
      <c r="E4955" s="647">
        <v>1000</v>
      </c>
      <c r="F4955" s="626" t="s">
        <v>10062</v>
      </c>
      <c r="G4955" s="626" t="s">
        <v>10063</v>
      </c>
      <c r="H4955" s="626" t="s">
        <v>6120</v>
      </c>
      <c r="I4955" s="626" t="s">
        <v>1931</v>
      </c>
      <c r="J4955" s="638" t="s">
        <v>9501</v>
      </c>
      <c r="K4955" s="745">
        <v>261</v>
      </c>
      <c r="L4955" s="638">
        <v>12</v>
      </c>
      <c r="M4955" s="746">
        <f t="shared" si="58"/>
        <v>12000</v>
      </c>
      <c r="N4955" s="743">
        <v>249</v>
      </c>
      <c r="O4955" s="626">
        <v>12</v>
      </c>
      <c r="P4955" s="744">
        <f t="shared" si="59"/>
        <v>12000</v>
      </c>
    </row>
    <row r="4956" spans="1:16" s="619" customFormat="1" ht="24" x14ac:dyDescent="0.2">
      <c r="A4956" s="626" t="s">
        <v>9498</v>
      </c>
      <c r="B4956" s="626" t="s">
        <v>1908</v>
      </c>
      <c r="C4956" s="638" t="s">
        <v>104</v>
      </c>
      <c r="D4956" s="626" t="s">
        <v>6101</v>
      </c>
      <c r="E4956" s="647">
        <v>1800</v>
      </c>
      <c r="F4956" s="626" t="s">
        <v>10064</v>
      </c>
      <c r="G4956" s="626" t="s">
        <v>10065</v>
      </c>
      <c r="H4956" s="626" t="s">
        <v>6101</v>
      </c>
      <c r="I4956" s="626" t="s">
        <v>3768</v>
      </c>
      <c r="J4956" s="638" t="s">
        <v>3523</v>
      </c>
      <c r="K4956" s="745">
        <v>262</v>
      </c>
      <c r="L4956" s="638">
        <v>12</v>
      </c>
      <c r="M4956" s="746">
        <f t="shared" si="58"/>
        <v>21600</v>
      </c>
      <c r="N4956" s="743">
        <v>250</v>
      </c>
      <c r="O4956" s="626">
        <v>12</v>
      </c>
      <c r="P4956" s="744">
        <f t="shared" si="59"/>
        <v>21600</v>
      </c>
    </row>
    <row r="4957" spans="1:16" s="619" customFormat="1" ht="36" x14ac:dyDescent="0.2">
      <c r="A4957" s="626" t="s">
        <v>9498</v>
      </c>
      <c r="B4957" s="626" t="s">
        <v>1908</v>
      </c>
      <c r="C4957" s="638" t="s">
        <v>104</v>
      </c>
      <c r="D4957" s="626" t="s">
        <v>6120</v>
      </c>
      <c r="E4957" s="647">
        <v>930</v>
      </c>
      <c r="F4957" s="626" t="s">
        <v>10066</v>
      </c>
      <c r="G4957" s="626" t="s">
        <v>10067</v>
      </c>
      <c r="H4957" s="626" t="s">
        <v>6120</v>
      </c>
      <c r="I4957" s="626" t="s">
        <v>1931</v>
      </c>
      <c r="J4957" s="638" t="s">
        <v>9501</v>
      </c>
      <c r="K4957" s="745">
        <v>263</v>
      </c>
      <c r="L4957" s="638">
        <v>12</v>
      </c>
      <c r="M4957" s="746">
        <f t="shared" si="58"/>
        <v>11160</v>
      </c>
      <c r="N4957" s="743">
        <v>251</v>
      </c>
      <c r="O4957" s="626">
        <v>12</v>
      </c>
      <c r="P4957" s="744">
        <f t="shared" si="59"/>
        <v>11160</v>
      </c>
    </row>
    <row r="4958" spans="1:16" s="619" customFormat="1" ht="24" x14ac:dyDescent="0.2">
      <c r="A4958" s="626" t="s">
        <v>9498</v>
      </c>
      <c r="B4958" s="626" t="s">
        <v>1908</v>
      </c>
      <c r="C4958" s="638" t="s">
        <v>104</v>
      </c>
      <c r="D4958" s="626" t="s">
        <v>3569</v>
      </c>
      <c r="E4958" s="647">
        <v>930</v>
      </c>
      <c r="F4958" s="626" t="s">
        <v>10068</v>
      </c>
      <c r="G4958" s="626" t="s">
        <v>10069</v>
      </c>
      <c r="H4958" s="626" t="s">
        <v>3569</v>
      </c>
      <c r="I4958" s="626" t="s">
        <v>3614</v>
      </c>
      <c r="J4958" s="638" t="s">
        <v>8667</v>
      </c>
      <c r="K4958" s="745">
        <v>264</v>
      </c>
      <c r="L4958" s="638">
        <v>12</v>
      </c>
      <c r="M4958" s="746">
        <f t="shared" si="58"/>
        <v>11160</v>
      </c>
      <c r="N4958" s="743">
        <v>252</v>
      </c>
      <c r="O4958" s="626">
        <v>12</v>
      </c>
      <c r="P4958" s="744">
        <f t="shared" si="59"/>
        <v>11160</v>
      </c>
    </row>
    <row r="4959" spans="1:16" s="619" customFormat="1" ht="36" x14ac:dyDescent="0.2">
      <c r="A4959" s="626" t="s">
        <v>9498</v>
      </c>
      <c r="B4959" s="626" t="s">
        <v>1908</v>
      </c>
      <c r="C4959" s="638" t="s">
        <v>104</v>
      </c>
      <c r="D4959" s="626" t="s">
        <v>6092</v>
      </c>
      <c r="E4959" s="647">
        <v>1800</v>
      </c>
      <c r="F4959" s="626" t="s">
        <v>10070</v>
      </c>
      <c r="G4959" s="626" t="s">
        <v>10071</v>
      </c>
      <c r="H4959" s="626" t="s">
        <v>6092</v>
      </c>
      <c r="I4959" s="626" t="s">
        <v>3768</v>
      </c>
      <c r="J4959" s="638" t="s">
        <v>3523</v>
      </c>
      <c r="K4959" s="745">
        <v>265</v>
      </c>
      <c r="L4959" s="638">
        <v>12</v>
      </c>
      <c r="M4959" s="746">
        <f t="shared" si="58"/>
        <v>21600</v>
      </c>
      <c r="N4959" s="743">
        <v>253</v>
      </c>
      <c r="O4959" s="626">
        <v>12</v>
      </c>
      <c r="P4959" s="744">
        <f t="shared" si="59"/>
        <v>21600</v>
      </c>
    </row>
    <row r="4960" spans="1:16" s="619" customFormat="1" ht="24" x14ac:dyDescent="0.2">
      <c r="A4960" s="626" t="s">
        <v>9498</v>
      </c>
      <c r="B4960" s="626" t="s">
        <v>1908</v>
      </c>
      <c r="C4960" s="638" t="s">
        <v>104</v>
      </c>
      <c r="D4960" s="626" t="s">
        <v>6198</v>
      </c>
      <c r="E4960" s="647">
        <v>2000</v>
      </c>
      <c r="F4960" s="626" t="s">
        <v>10072</v>
      </c>
      <c r="G4960" s="626" t="s">
        <v>10073</v>
      </c>
      <c r="H4960" s="626" t="s">
        <v>6198</v>
      </c>
      <c r="I4960" s="626" t="s">
        <v>3768</v>
      </c>
      <c r="J4960" s="638" t="s">
        <v>3523</v>
      </c>
      <c r="K4960" s="745"/>
      <c r="L4960" s="638">
        <v>0</v>
      </c>
      <c r="M4960" s="746">
        <f t="shared" si="58"/>
        <v>0</v>
      </c>
      <c r="N4960" s="638">
        <v>309</v>
      </c>
      <c r="O4960" s="626">
        <v>10</v>
      </c>
      <c r="P4960" s="744">
        <f t="shared" si="59"/>
        <v>20000</v>
      </c>
    </row>
    <row r="4961" spans="1:16" s="619" customFormat="1" ht="36" x14ac:dyDescent="0.2">
      <c r="A4961" s="626" t="s">
        <v>9498</v>
      </c>
      <c r="B4961" s="626" t="s">
        <v>1908</v>
      </c>
      <c r="C4961" s="638" t="s">
        <v>104</v>
      </c>
      <c r="D4961" s="626" t="s">
        <v>3606</v>
      </c>
      <c r="E4961" s="647">
        <v>1000</v>
      </c>
      <c r="F4961" s="626" t="s">
        <v>10074</v>
      </c>
      <c r="G4961" s="626" t="s">
        <v>10075</v>
      </c>
      <c r="H4961" s="626" t="s">
        <v>2055</v>
      </c>
      <c r="I4961" s="626" t="s">
        <v>1931</v>
      </c>
      <c r="J4961" s="638" t="s">
        <v>9501</v>
      </c>
      <c r="K4961" s="745"/>
      <c r="L4961" s="638">
        <v>0</v>
      </c>
      <c r="M4961" s="746">
        <f t="shared" si="58"/>
        <v>0</v>
      </c>
      <c r="N4961" s="638">
        <v>324</v>
      </c>
      <c r="O4961" s="626">
        <v>3</v>
      </c>
      <c r="P4961" s="744">
        <f t="shared" si="59"/>
        <v>3000</v>
      </c>
    </row>
    <row r="4962" spans="1:16" s="619" customFormat="1" ht="36" x14ac:dyDescent="0.2">
      <c r="A4962" s="626" t="s">
        <v>9498</v>
      </c>
      <c r="B4962" s="626" t="s">
        <v>1908</v>
      </c>
      <c r="C4962" s="638" t="s">
        <v>104</v>
      </c>
      <c r="D4962" s="626" t="s">
        <v>2660</v>
      </c>
      <c r="E4962" s="647">
        <v>1000</v>
      </c>
      <c r="F4962" s="626" t="s">
        <v>10076</v>
      </c>
      <c r="G4962" s="626" t="s">
        <v>10077</v>
      </c>
      <c r="H4962" s="626" t="s">
        <v>2660</v>
      </c>
      <c r="I4962" s="626" t="s">
        <v>3768</v>
      </c>
      <c r="J4962" s="638" t="s">
        <v>9501</v>
      </c>
      <c r="K4962" s="745">
        <v>266</v>
      </c>
      <c r="L4962" s="638">
        <v>12</v>
      </c>
      <c r="M4962" s="746">
        <f t="shared" si="58"/>
        <v>12000</v>
      </c>
      <c r="N4962" s="743">
        <v>254</v>
      </c>
      <c r="O4962" s="626">
        <v>12</v>
      </c>
      <c r="P4962" s="744">
        <f t="shared" si="59"/>
        <v>12000</v>
      </c>
    </row>
    <row r="4963" spans="1:16" s="619" customFormat="1" ht="36" x14ac:dyDescent="0.2">
      <c r="A4963" s="626" t="s">
        <v>9498</v>
      </c>
      <c r="B4963" s="626" t="s">
        <v>1908</v>
      </c>
      <c r="C4963" s="638" t="s">
        <v>104</v>
      </c>
      <c r="D4963" s="626" t="s">
        <v>3548</v>
      </c>
      <c r="E4963" s="647">
        <v>1000</v>
      </c>
      <c r="F4963" s="626" t="s">
        <v>10078</v>
      </c>
      <c r="G4963" s="626" t="s">
        <v>10079</v>
      </c>
      <c r="H4963" s="626" t="s">
        <v>3548</v>
      </c>
      <c r="I4963" s="626" t="s">
        <v>3614</v>
      </c>
      <c r="J4963" s="638" t="s">
        <v>8667</v>
      </c>
      <c r="K4963" s="745">
        <v>267</v>
      </c>
      <c r="L4963" s="638">
        <v>12</v>
      </c>
      <c r="M4963" s="746">
        <f t="shared" si="58"/>
        <v>12000</v>
      </c>
      <c r="N4963" s="743">
        <v>255</v>
      </c>
      <c r="O4963" s="626">
        <v>12</v>
      </c>
      <c r="P4963" s="744">
        <f t="shared" si="59"/>
        <v>12000</v>
      </c>
    </row>
    <row r="4964" spans="1:16" s="619" customFormat="1" ht="36" x14ac:dyDescent="0.2">
      <c r="A4964" s="626" t="s">
        <v>9498</v>
      </c>
      <c r="B4964" s="626" t="s">
        <v>1908</v>
      </c>
      <c r="C4964" s="638" t="s">
        <v>104</v>
      </c>
      <c r="D4964" s="626" t="s">
        <v>10080</v>
      </c>
      <c r="E4964" s="647">
        <v>1000</v>
      </c>
      <c r="F4964" s="626" t="s">
        <v>10081</v>
      </c>
      <c r="G4964" s="626" t="s">
        <v>10082</v>
      </c>
      <c r="H4964" s="626" t="s">
        <v>2087</v>
      </c>
      <c r="I4964" s="626" t="s">
        <v>3768</v>
      </c>
      <c r="J4964" s="638" t="s">
        <v>9501</v>
      </c>
      <c r="K4964" s="745"/>
      <c r="L4964" s="638">
        <v>0</v>
      </c>
      <c r="M4964" s="746">
        <f t="shared" si="58"/>
        <v>0</v>
      </c>
      <c r="N4964" s="743">
        <v>256</v>
      </c>
      <c r="O4964" s="626">
        <v>12</v>
      </c>
      <c r="P4964" s="744">
        <f t="shared" si="59"/>
        <v>12000</v>
      </c>
    </row>
    <row r="4965" spans="1:16" s="619" customFormat="1" ht="24" x14ac:dyDescent="0.2">
      <c r="A4965" s="626" t="s">
        <v>9498</v>
      </c>
      <c r="B4965" s="626" t="s">
        <v>1908</v>
      </c>
      <c r="C4965" s="638" t="s">
        <v>104</v>
      </c>
      <c r="D4965" s="626" t="s">
        <v>7740</v>
      </c>
      <c r="E4965" s="647">
        <v>1600</v>
      </c>
      <c r="F4965" s="626" t="s">
        <v>10083</v>
      </c>
      <c r="G4965" s="626" t="s">
        <v>10084</v>
      </c>
      <c r="H4965" s="626" t="s">
        <v>7740</v>
      </c>
      <c r="I4965" s="626" t="s">
        <v>3768</v>
      </c>
      <c r="J4965" s="638" t="s">
        <v>3523</v>
      </c>
      <c r="K4965" s="745">
        <v>268</v>
      </c>
      <c r="L4965" s="638">
        <v>12</v>
      </c>
      <c r="M4965" s="746">
        <f t="shared" si="58"/>
        <v>19200</v>
      </c>
      <c r="N4965" s="743">
        <v>257</v>
      </c>
      <c r="O4965" s="626">
        <v>12</v>
      </c>
      <c r="P4965" s="744">
        <f t="shared" si="59"/>
        <v>19200</v>
      </c>
    </row>
    <row r="4966" spans="1:16" s="619" customFormat="1" ht="36" x14ac:dyDescent="0.2">
      <c r="A4966" s="626" t="s">
        <v>9498</v>
      </c>
      <c r="B4966" s="626" t="s">
        <v>1908</v>
      </c>
      <c r="C4966" s="638" t="s">
        <v>104</v>
      </c>
      <c r="D4966" s="626" t="s">
        <v>6092</v>
      </c>
      <c r="E4966" s="647">
        <v>1800</v>
      </c>
      <c r="F4966" s="626" t="s">
        <v>10085</v>
      </c>
      <c r="G4966" s="626" t="s">
        <v>10086</v>
      </c>
      <c r="H4966" s="626" t="s">
        <v>6092</v>
      </c>
      <c r="I4966" s="626" t="s">
        <v>3768</v>
      </c>
      <c r="J4966" s="638" t="s">
        <v>3523</v>
      </c>
      <c r="K4966" s="745">
        <v>269</v>
      </c>
      <c r="L4966" s="638">
        <v>12</v>
      </c>
      <c r="M4966" s="746">
        <f t="shared" si="58"/>
        <v>21600</v>
      </c>
      <c r="N4966" s="743">
        <v>258</v>
      </c>
      <c r="O4966" s="626">
        <v>12</v>
      </c>
      <c r="P4966" s="744">
        <f t="shared" si="59"/>
        <v>21600</v>
      </c>
    </row>
    <row r="4967" spans="1:16" s="619" customFormat="1" ht="24" x14ac:dyDescent="0.2">
      <c r="A4967" s="626" t="s">
        <v>9498</v>
      </c>
      <c r="B4967" s="626" t="s">
        <v>1908</v>
      </c>
      <c r="C4967" s="638" t="s">
        <v>104</v>
      </c>
      <c r="D4967" s="626" t="s">
        <v>6101</v>
      </c>
      <c r="E4967" s="647">
        <v>1800</v>
      </c>
      <c r="F4967" s="626" t="s">
        <v>10087</v>
      </c>
      <c r="G4967" s="626" t="s">
        <v>10088</v>
      </c>
      <c r="H4967" s="626" t="s">
        <v>6101</v>
      </c>
      <c r="I4967" s="626" t="s">
        <v>3768</v>
      </c>
      <c r="J4967" s="638" t="s">
        <v>3523</v>
      </c>
      <c r="K4967" s="745"/>
      <c r="L4967" s="638">
        <v>0</v>
      </c>
      <c r="M4967" s="746">
        <f t="shared" si="58"/>
        <v>0</v>
      </c>
      <c r="N4967" s="638">
        <v>279</v>
      </c>
      <c r="O4967" s="626">
        <v>11</v>
      </c>
      <c r="P4967" s="744">
        <f t="shared" si="59"/>
        <v>19800</v>
      </c>
    </row>
    <row r="4968" spans="1:16" s="619" customFormat="1" ht="36" x14ac:dyDescent="0.2">
      <c r="A4968" s="626" t="s">
        <v>9498</v>
      </c>
      <c r="B4968" s="626" t="s">
        <v>1908</v>
      </c>
      <c r="C4968" s="638" t="s">
        <v>104</v>
      </c>
      <c r="D4968" s="626" t="s">
        <v>2660</v>
      </c>
      <c r="E4968" s="647">
        <v>930</v>
      </c>
      <c r="F4968" s="626" t="s">
        <v>10089</v>
      </c>
      <c r="G4968" s="626" t="s">
        <v>10090</v>
      </c>
      <c r="H4968" s="626" t="s">
        <v>2660</v>
      </c>
      <c r="I4968" s="626" t="s">
        <v>3768</v>
      </c>
      <c r="J4968" s="638" t="s">
        <v>9501</v>
      </c>
      <c r="K4968" s="745">
        <v>270</v>
      </c>
      <c r="L4968" s="638">
        <v>12</v>
      </c>
      <c r="M4968" s="746">
        <f t="shared" si="58"/>
        <v>11160</v>
      </c>
      <c r="N4968" s="743">
        <v>259</v>
      </c>
      <c r="O4968" s="626">
        <v>12</v>
      </c>
      <c r="P4968" s="744">
        <f t="shared" si="59"/>
        <v>11160</v>
      </c>
    </row>
    <row r="4969" spans="1:16" s="619" customFormat="1" ht="24" x14ac:dyDescent="0.2">
      <c r="A4969" s="626" t="s">
        <v>9498</v>
      </c>
      <c r="B4969" s="626" t="s">
        <v>1908</v>
      </c>
      <c r="C4969" s="638" t="s">
        <v>104</v>
      </c>
      <c r="D4969" s="626" t="s">
        <v>2660</v>
      </c>
      <c r="E4969" s="647">
        <v>930</v>
      </c>
      <c r="F4969" s="626" t="s">
        <v>10091</v>
      </c>
      <c r="G4969" s="626" t="s">
        <v>10092</v>
      </c>
      <c r="H4969" s="626" t="s">
        <v>2660</v>
      </c>
      <c r="I4969" s="626" t="s">
        <v>3768</v>
      </c>
      <c r="J4969" s="638" t="s">
        <v>9501</v>
      </c>
      <c r="K4969" s="745">
        <v>271</v>
      </c>
      <c r="L4969" s="638">
        <v>12</v>
      </c>
      <c r="M4969" s="746">
        <f t="shared" si="58"/>
        <v>11160</v>
      </c>
      <c r="N4969" s="743">
        <v>260</v>
      </c>
      <c r="O4969" s="626">
        <v>12</v>
      </c>
      <c r="P4969" s="744">
        <f t="shared" si="59"/>
        <v>11160</v>
      </c>
    </row>
    <row r="4970" spans="1:16" s="619" customFormat="1" ht="36" x14ac:dyDescent="0.2">
      <c r="A4970" s="626" t="s">
        <v>9498</v>
      </c>
      <c r="B4970" s="626" t="s">
        <v>1908</v>
      </c>
      <c r="C4970" s="638" t="s">
        <v>104</v>
      </c>
      <c r="D4970" s="626" t="s">
        <v>2660</v>
      </c>
      <c r="E4970" s="647">
        <v>1000</v>
      </c>
      <c r="F4970" s="626" t="s">
        <v>10093</v>
      </c>
      <c r="G4970" s="626" t="s">
        <v>10094</v>
      </c>
      <c r="H4970" s="626" t="s">
        <v>2660</v>
      </c>
      <c r="I4970" s="626" t="s">
        <v>3768</v>
      </c>
      <c r="J4970" s="638" t="s">
        <v>9501</v>
      </c>
      <c r="K4970" s="745"/>
      <c r="L4970" s="638">
        <v>0</v>
      </c>
      <c r="M4970" s="746">
        <f t="shared" si="58"/>
        <v>0</v>
      </c>
      <c r="N4970" s="638">
        <v>310</v>
      </c>
      <c r="O4970" s="626">
        <v>10</v>
      </c>
      <c r="P4970" s="744">
        <f t="shared" si="59"/>
        <v>10000</v>
      </c>
    </row>
    <row r="4971" spans="1:16" s="619" customFormat="1" ht="24" x14ac:dyDescent="0.2">
      <c r="A4971" s="626" t="s">
        <v>9498</v>
      </c>
      <c r="B4971" s="626" t="s">
        <v>1908</v>
      </c>
      <c r="C4971" s="638" t="s">
        <v>104</v>
      </c>
      <c r="D4971" s="626" t="s">
        <v>2660</v>
      </c>
      <c r="E4971" s="647">
        <v>1000</v>
      </c>
      <c r="F4971" s="626" t="s">
        <v>10095</v>
      </c>
      <c r="G4971" s="626" t="s">
        <v>10096</v>
      </c>
      <c r="H4971" s="626" t="s">
        <v>2660</v>
      </c>
      <c r="I4971" s="626" t="s">
        <v>3768</v>
      </c>
      <c r="J4971" s="638" t="s">
        <v>9501</v>
      </c>
      <c r="K4971" s="745"/>
      <c r="L4971" s="638">
        <v>0</v>
      </c>
      <c r="M4971" s="746">
        <f t="shared" si="58"/>
        <v>0</v>
      </c>
      <c r="N4971" s="743">
        <v>261</v>
      </c>
      <c r="O4971" s="626">
        <v>12</v>
      </c>
      <c r="P4971" s="744">
        <f t="shared" si="59"/>
        <v>12000</v>
      </c>
    </row>
    <row r="4972" spans="1:16" s="619" customFormat="1" ht="36" x14ac:dyDescent="0.2">
      <c r="A4972" s="626" t="s">
        <v>9498</v>
      </c>
      <c r="B4972" s="626" t="s">
        <v>1908</v>
      </c>
      <c r="C4972" s="638" t="s">
        <v>104</v>
      </c>
      <c r="D4972" s="626" t="s">
        <v>2660</v>
      </c>
      <c r="E4972" s="647">
        <v>1000</v>
      </c>
      <c r="F4972" s="626" t="s">
        <v>10097</v>
      </c>
      <c r="G4972" s="626" t="s">
        <v>10098</v>
      </c>
      <c r="H4972" s="626" t="s">
        <v>2660</v>
      </c>
      <c r="I4972" s="626" t="s">
        <v>3768</v>
      </c>
      <c r="J4972" s="638" t="s">
        <v>9501</v>
      </c>
      <c r="K4972" s="745">
        <v>272</v>
      </c>
      <c r="L4972" s="638">
        <v>12</v>
      </c>
      <c r="M4972" s="746">
        <f t="shared" si="58"/>
        <v>12000</v>
      </c>
      <c r="N4972" s="743">
        <v>262</v>
      </c>
      <c r="O4972" s="626">
        <v>12</v>
      </c>
      <c r="P4972" s="744">
        <f t="shared" si="59"/>
        <v>12000</v>
      </c>
    </row>
    <row r="4973" spans="1:16" s="619" customFormat="1" ht="24" x14ac:dyDescent="0.2">
      <c r="A4973" s="626" t="s">
        <v>9498</v>
      </c>
      <c r="B4973" s="626" t="s">
        <v>1908</v>
      </c>
      <c r="C4973" s="638" t="s">
        <v>104</v>
      </c>
      <c r="D4973" s="626" t="s">
        <v>2087</v>
      </c>
      <c r="E4973" s="647">
        <v>930</v>
      </c>
      <c r="F4973" s="626" t="s">
        <v>10099</v>
      </c>
      <c r="G4973" s="626" t="s">
        <v>10100</v>
      </c>
      <c r="H4973" s="626" t="s">
        <v>2087</v>
      </c>
      <c r="I4973" s="626" t="s">
        <v>3768</v>
      </c>
      <c r="J4973" s="638" t="s">
        <v>9501</v>
      </c>
      <c r="K4973" s="745"/>
      <c r="L4973" s="638">
        <v>0</v>
      </c>
      <c r="M4973" s="746">
        <f t="shared" si="58"/>
        <v>0</v>
      </c>
      <c r="N4973" s="638">
        <v>325</v>
      </c>
      <c r="O4973" s="626">
        <v>3</v>
      </c>
      <c r="P4973" s="744">
        <f t="shared" si="59"/>
        <v>2790</v>
      </c>
    </row>
    <row r="4974" spans="1:16" s="619" customFormat="1" ht="24" x14ac:dyDescent="0.2">
      <c r="A4974" s="626" t="s">
        <v>9498</v>
      </c>
      <c r="B4974" s="626" t="s">
        <v>1908</v>
      </c>
      <c r="C4974" s="638" t="s">
        <v>104</v>
      </c>
      <c r="D4974" s="626" t="s">
        <v>2660</v>
      </c>
      <c r="E4974" s="647">
        <v>930</v>
      </c>
      <c r="F4974" s="626" t="s">
        <v>10101</v>
      </c>
      <c r="G4974" s="626" t="s">
        <v>10102</v>
      </c>
      <c r="H4974" s="626" t="s">
        <v>2660</v>
      </c>
      <c r="I4974" s="626" t="s">
        <v>3768</v>
      </c>
      <c r="J4974" s="638" t="s">
        <v>9501</v>
      </c>
      <c r="K4974" s="745">
        <v>273</v>
      </c>
      <c r="L4974" s="638">
        <v>12</v>
      </c>
      <c r="M4974" s="746">
        <f t="shared" si="58"/>
        <v>11160</v>
      </c>
      <c r="N4974" s="743">
        <v>263</v>
      </c>
      <c r="O4974" s="626">
        <v>12</v>
      </c>
      <c r="P4974" s="744">
        <f t="shared" si="59"/>
        <v>11160</v>
      </c>
    </row>
    <row r="4975" spans="1:16" s="619" customFormat="1" ht="24" x14ac:dyDescent="0.2">
      <c r="A4975" s="626" t="s">
        <v>9498</v>
      </c>
      <c r="B4975" s="626" t="s">
        <v>1908</v>
      </c>
      <c r="C4975" s="638" t="s">
        <v>104</v>
      </c>
      <c r="D4975" s="626" t="s">
        <v>1996</v>
      </c>
      <c r="E4975" s="647">
        <v>930</v>
      </c>
      <c r="F4975" s="626" t="s">
        <v>10103</v>
      </c>
      <c r="G4975" s="626" t="s">
        <v>10104</v>
      </c>
      <c r="H4975" s="626" t="s">
        <v>1996</v>
      </c>
      <c r="I4975" s="626" t="s">
        <v>3614</v>
      </c>
      <c r="J4975" s="638" t="s">
        <v>8667</v>
      </c>
      <c r="K4975" s="745">
        <v>274</v>
      </c>
      <c r="L4975" s="638">
        <v>12</v>
      </c>
      <c r="M4975" s="746">
        <f t="shared" si="58"/>
        <v>11160</v>
      </c>
      <c r="N4975" s="743">
        <v>264</v>
      </c>
      <c r="O4975" s="626">
        <v>12</v>
      </c>
      <c r="P4975" s="744">
        <f t="shared" si="59"/>
        <v>11160</v>
      </c>
    </row>
    <row r="4976" spans="1:16" s="619" customFormat="1" ht="48" x14ac:dyDescent="0.2">
      <c r="A4976" s="626" t="s">
        <v>9498</v>
      </c>
      <c r="B4976" s="626" t="s">
        <v>1908</v>
      </c>
      <c r="C4976" s="638" t="s">
        <v>104</v>
      </c>
      <c r="D4976" s="626" t="s">
        <v>6114</v>
      </c>
      <c r="E4976" s="647">
        <v>1000</v>
      </c>
      <c r="F4976" s="626" t="s">
        <v>10105</v>
      </c>
      <c r="G4976" s="626" t="s">
        <v>10106</v>
      </c>
      <c r="H4976" s="626" t="s">
        <v>6114</v>
      </c>
      <c r="I4976" s="626" t="s">
        <v>1931</v>
      </c>
      <c r="J4976" s="638" t="s">
        <v>9501</v>
      </c>
      <c r="K4976" s="745">
        <v>275</v>
      </c>
      <c r="L4976" s="638">
        <v>12</v>
      </c>
      <c r="M4976" s="746">
        <f t="shared" si="58"/>
        <v>12000</v>
      </c>
      <c r="N4976" s="743">
        <v>265</v>
      </c>
      <c r="O4976" s="626">
        <v>12</v>
      </c>
      <c r="P4976" s="744">
        <f t="shared" si="59"/>
        <v>12000</v>
      </c>
    </row>
    <row r="4977" spans="1:16" s="619" customFormat="1" ht="36" x14ac:dyDescent="0.2">
      <c r="A4977" s="626" t="s">
        <v>9498</v>
      </c>
      <c r="B4977" s="626" t="s">
        <v>1908</v>
      </c>
      <c r="C4977" s="638" t="s">
        <v>104</v>
      </c>
      <c r="D4977" s="626" t="s">
        <v>4503</v>
      </c>
      <c r="E4977" s="647">
        <v>7500</v>
      </c>
      <c r="F4977" s="626" t="s">
        <v>10107</v>
      </c>
      <c r="G4977" s="626" t="s">
        <v>10108</v>
      </c>
      <c r="H4977" s="626" t="s">
        <v>6179</v>
      </c>
      <c r="I4977" s="626" t="s">
        <v>3768</v>
      </c>
      <c r="J4977" s="638" t="s">
        <v>3523</v>
      </c>
      <c r="K4977" s="745">
        <v>276</v>
      </c>
      <c r="L4977" s="638">
        <v>12</v>
      </c>
      <c r="M4977" s="746">
        <f t="shared" si="58"/>
        <v>90000</v>
      </c>
      <c r="N4977" s="743">
        <v>266</v>
      </c>
      <c r="O4977" s="626">
        <v>12</v>
      </c>
      <c r="P4977" s="744">
        <f t="shared" si="59"/>
        <v>90000</v>
      </c>
    </row>
    <row r="4978" spans="1:16" s="619" customFormat="1" ht="24" x14ac:dyDescent="0.2">
      <c r="A4978" s="626" t="s">
        <v>9498</v>
      </c>
      <c r="B4978" s="626" t="s">
        <v>1908</v>
      </c>
      <c r="C4978" s="638" t="s">
        <v>104</v>
      </c>
      <c r="D4978" s="626" t="s">
        <v>2563</v>
      </c>
      <c r="E4978" s="647">
        <v>2300</v>
      </c>
      <c r="F4978" s="626" t="s">
        <v>10109</v>
      </c>
      <c r="G4978" s="626" t="s">
        <v>8625</v>
      </c>
      <c r="H4978" s="626" t="s">
        <v>2563</v>
      </c>
      <c r="I4978" s="626" t="s">
        <v>3768</v>
      </c>
      <c r="J4978" s="638" t="s">
        <v>3523</v>
      </c>
      <c r="K4978" s="745"/>
      <c r="L4978" s="638">
        <v>0</v>
      </c>
      <c r="M4978" s="746">
        <f t="shared" si="58"/>
        <v>0</v>
      </c>
      <c r="N4978" s="743">
        <v>267</v>
      </c>
      <c r="O4978" s="626">
        <v>12</v>
      </c>
      <c r="P4978" s="744">
        <f t="shared" si="59"/>
        <v>27600</v>
      </c>
    </row>
    <row r="4979" spans="1:16" s="619" customFormat="1" ht="36" x14ac:dyDescent="0.2">
      <c r="A4979" s="626" t="s">
        <v>9498</v>
      </c>
      <c r="B4979" s="626" t="s">
        <v>1908</v>
      </c>
      <c r="C4979" s="638" t="s">
        <v>104</v>
      </c>
      <c r="D4979" s="626" t="s">
        <v>6120</v>
      </c>
      <c r="E4979" s="647">
        <v>1000</v>
      </c>
      <c r="F4979" s="626" t="s">
        <v>10110</v>
      </c>
      <c r="G4979" s="626" t="s">
        <v>10111</v>
      </c>
      <c r="H4979" s="626" t="s">
        <v>6120</v>
      </c>
      <c r="I4979" s="626" t="s">
        <v>1931</v>
      </c>
      <c r="J4979" s="638" t="s">
        <v>9501</v>
      </c>
      <c r="K4979" s="745">
        <v>277</v>
      </c>
      <c r="L4979" s="638">
        <v>12</v>
      </c>
      <c r="M4979" s="746">
        <f t="shared" si="58"/>
        <v>12000</v>
      </c>
      <c r="N4979" s="743">
        <v>268</v>
      </c>
      <c r="O4979" s="626">
        <v>12</v>
      </c>
      <c r="P4979" s="744">
        <f t="shared" si="59"/>
        <v>12000</v>
      </c>
    </row>
    <row r="4980" spans="1:16" s="619" customFormat="1" ht="24" x14ac:dyDescent="0.2">
      <c r="A4980" s="626" t="s">
        <v>9498</v>
      </c>
      <c r="B4980" s="626" t="s">
        <v>1908</v>
      </c>
      <c r="C4980" s="638" t="s">
        <v>104</v>
      </c>
      <c r="D4980" s="626" t="s">
        <v>2660</v>
      </c>
      <c r="E4980" s="647">
        <v>1000</v>
      </c>
      <c r="F4980" s="626" t="s">
        <v>10112</v>
      </c>
      <c r="G4980" s="626" t="s">
        <v>10113</v>
      </c>
      <c r="H4980" s="626" t="s">
        <v>2660</v>
      </c>
      <c r="I4980" s="626" t="s">
        <v>3768</v>
      </c>
      <c r="J4980" s="638" t="s">
        <v>9501</v>
      </c>
      <c r="K4980" s="745">
        <v>278</v>
      </c>
      <c r="L4980" s="638">
        <v>12</v>
      </c>
      <c r="M4980" s="746">
        <f t="shared" si="58"/>
        <v>12000</v>
      </c>
      <c r="N4980" s="743">
        <v>269</v>
      </c>
      <c r="O4980" s="626">
        <v>12</v>
      </c>
      <c r="P4980" s="744">
        <f t="shared" si="59"/>
        <v>12000</v>
      </c>
    </row>
    <row r="4981" spans="1:16" s="619" customFormat="1" ht="36" x14ac:dyDescent="0.2">
      <c r="A4981" s="626" t="s">
        <v>9498</v>
      </c>
      <c r="B4981" s="626" t="s">
        <v>1908</v>
      </c>
      <c r="C4981" s="638" t="s">
        <v>104</v>
      </c>
      <c r="D4981" s="626" t="s">
        <v>2660</v>
      </c>
      <c r="E4981" s="647">
        <v>1000</v>
      </c>
      <c r="F4981" s="626" t="s">
        <v>10114</v>
      </c>
      <c r="G4981" s="626" t="s">
        <v>10115</v>
      </c>
      <c r="H4981" s="626" t="s">
        <v>2660</v>
      </c>
      <c r="I4981" s="626" t="s">
        <v>3768</v>
      </c>
      <c r="J4981" s="638" t="s">
        <v>9501</v>
      </c>
      <c r="K4981" s="745"/>
      <c r="L4981" s="638">
        <v>0</v>
      </c>
      <c r="M4981" s="746">
        <f t="shared" si="58"/>
        <v>0</v>
      </c>
      <c r="N4981" s="638">
        <v>311</v>
      </c>
      <c r="O4981" s="626">
        <v>10</v>
      </c>
      <c r="P4981" s="744">
        <f t="shared" si="59"/>
        <v>10000</v>
      </c>
    </row>
    <row r="4982" spans="1:16" s="619" customFormat="1" ht="24" x14ac:dyDescent="0.2">
      <c r="A4982" s="626" t="s">
        <v>9498</v>
      </c>
      <c r="B4982" s="626" t="s">
        <v>1908</v>
      </c>
      <c r="C4982" s="638" t="s">
        <v>104</v>
      </c>
      <c r="D4982" s="626" t="s">
        <v>6158</v>
      </c>
      <c r="E4982" s="647">
        <v>930</v>
      </c>
      <c r="F4982" s="626" t="s">
        <v>10116</v>
      </c>
      <c r="G4982" s="626" t="s">
        <v>10117</v>
      </c>
      <c r="H4982" s="626" t="s">
        <v>6158</v>
      </c>
      <c r="I4982" s="626" t="s">
        <v>3614</v>
      </c>
      <c r="J4982" s="638" t="s">
        <v>8667</v>
      </c>
      <c r="K4982" s="745">
        <v>279</v>
      </c>
      <c r="L4982" s="638">
        <v>12</v>
      </c>
      <c r="M4982" s="746">
        <f t="shared" si="58"/>
        <v>11160</v>
      </c>
      <c r="N4982" s="743">
        <v>270</v>
      </c>
      <c r="O4982" s="626">
        <v>12</v>
      </c>
      <c r="P4982" s="744">
        <f t="shared" si="59"/>
        <v>11160</v>
      </c>
    </row>
    <row r="4983" spans="1:16" s="619" customFormat="1" ht="24" x14ac:dyDescent="0.2">
      <c r="A4983" s="626" t="s">
        <v>9498</v>
      </c>
      <c r="B4983" s="626" t="s">
        <v>1908</v>
      </c>
      <c r="C4983" s="638" t="s">
        <v>104</v>
      </c>
      <c r="D4983" s="626" t="s">
        <v>3548</v>
      </c>
      <c r="E4983" s="647">
        <v>1000</v>
      </c>
      <c r="F4983" s="626" t="s">
        <v>10118</v>
      </c>
      <c r="G4983" s="626" t="s">
        <v>10119</v>
      </c>
      <c r="H4983" s="626" t="s">
        <v>3548</v>
      </c>
      <c r="I4983" s="626" t="s">
        <v>3614</v>
      </c>
      <c r="J4983" s="638" t="s">
        <v>8667</v>
      </c>
      <c r="K4983" s="745">
        <v>280</v>
      </c>
      <c r="L4983" s="638">
        <v>12</v>
      </c>
      <c r="M4983" s="746">
        <f t="shared" si="58"/>
        <v>12000</v>
      </c>
      <c r="N4983" s="743">
        <v>271</v>
      </c>
      <c r="O4983" s="626">
        <v>12</v>
      </c>
      <c r="P4983" s="744">
        <f t="shared" si="59"/>
        <v>12000</v>
      </c>
    </row>
    <row r="4984" spans="1:16" s="619" customFormat="1" ht="36" x14ac:dyDescent="0.2">
      <c r="A4984" s="626" t="s">
        <v>9498</v>
      </c>
      <c r="B4984" s="626" t="s">
        <v>1908</v>
      </c>
      <c r="C4984" s="638" t="s">
        <v>104</v>
      </c>
      <c r="D4984" s="626" t="s">
        <v>8662</v>
      </c>
      <c r="E4984" s="647">
        <v>2500</v>
      </c>
      <c r="F4984" s="626" t="s">
        <v>10120</v>
      </c>
      <c r="G4984" s="626" t="s">
        <v>10121</v>
      </c>
      <c r="H4984" s="626" t="s">
        <v>8662</v>
      </c>
      <c r="I4984" s="626" t="s">
        <v>3768</v>
      </c>
      <c r="J4984" s="638" t="s">
        <v>3523</v>
      </c>
      <c r="K4984" s="745"/>
      <c r="L4984" s="638">
        <v>0</v>
      </c>
      <c r="M4984" s="746">
        <f t="shared" si="58"/>
        <v>0</v>
      </c>
      <c r="N4984" s="743">
        <v>272</v>
      </c>
      <c r="O4984" s="626">
        <v>12</v>
      </c>
      <c r="P4984" s="744">
        <f t="shared" si="59"/>
        <v>30000</v>
      </c>
    </row>
    <row r="4985" spans="1:16" s="619" customFormat="1" ht="36" x14ac:dyDescent="0.2">
      <c r="A4985" s="626" t="s">
        <v>9498</v>
      </c>
      <c r="B4985" s="626" t="s">
        <v>1908</v>
      </c>
      <c r="C4985" s="638" t="s">
        <v>104</v>
      </c>
      <c r="D4985" s="626" t="s">
        <v>6120</v>
      </c>
      <c r="E4985" s="647">
        <v>1000</v>
      </c>
      <c r="F4985" s="626" t="s">
        <v>10122</v>
      </c>
      <c r="G4985" s="626" t="s">
        <v>10123</v>
      </c>
      <c r="H4985" s="626" t="s">
        <v>6120</v>
      </c>
      <c r="I4985" s="626" t="s">
        <v>1931</v>
      </c>
      <c r="J4985" s="638" t="s">
        <v>9501</v>
      </c>
      <c r="K4985" s="745">
        <v>281</v>
      </c>
      <c r="L4985" s="638">
        <v>12</v>
      </c>
      <c r="M4985" s="746">
        <f t="shared" si="58"/>
        <v>12000</v>
      </c>
      <c r="N4985" s="743">
        <v>273</v>
      </c>
      <c r="O4985" s="626">
        <v>12</v>
      </c>
      <c r="P4985" s="744">
        <f t="shared" si="59"/>
        <v>12000</v>
      </c>
    </row>
    <row r="4986" spans="1:16" s="619" customFormat="1" ht="36" x14ac:dyDescent="0.2">
      <c r="A4986" s="626" t="s">
        <v>9498</v>
      </c>
      <c r="B4986" s="626" t="s">
        <v>1908</v>
      </c>
      <c r="C4986" s="638" t="s">
        <v>104</v>
      </c>
      <c r="D4986" s="626" t="s">
        <v>6114</v>
      </c>
      <c r="E4986" s="647">
        <v>1000</v>
      </c>
      <c r="F4986" s="626" t="s">
        <v>10124</v>
      </c>
      <c r="G4986" s="626" t="s">
        <v>10125</v>
      </c>
      <c r="H4986" s="626" t="s">
        <v>6114</v>
      </c>
      <c r="I4986" s="626" t="s">
        <v>1931</v>
      </c>
      <c r="J4986" s="638" t="s">
        <v>9501</v>
      </c>
      <c r="K4986" s="745">
        <v>282</v>
      </c>
      <c r="L4986" s="638">
        <v>12</v>
      </c>
      <c r="M4986" s="746">
        <f t="shared" si="58"/>
        <v>12000</v>
      </c>
      <c r="N4986" s="743">
        <v>274</v>
      </c>
      <c r="O4986" s="626">
        <v>12</v>
      </c>
      <c r="P4986" s="744">
        <f t="shared" si="59"/>
        <v>12000</v>
      </c>
    </row>
    <row r="4987" spans="1:16" s="619" customFormat="1" ht="24" x14ac:dyDescent="0.2">
      <c r="A4987" s="626" t="s">
        <v>9498</v>
      </c>
      <c r="B4987" s="626" t="s">
        <v>1908</v>
      </c>
      <c r="C4987" s="638" t="s">
        <v>104</v>
      </c>
      <c r="D4987" s="626" t="s">
        <v>6158</v>
      </c>
      <c r="E4987" s="647">
        <v>930</v>
      </c>
      <c r="F4987" s="626" t="s">
        <v>10126</v>
      </c>
      <c r="G4987" s="626" t="s">
        <v>10127</v>
      </c>
      <c r="H4987" s="626" t="s">
        <v>6158</v>
      </c>
      <c r="I4987" s="626" t="s">
        <v>3614</v>
      </c>
      <c r="J4987" s="638" t="s">
        <v>8667</v>
      </c>
      <c r="K4987" s="745">
        <v>283</v>
      </c>
      <c r="L4987" s="638">
        <v>12</v>
      </c>
      <c r="M4987" s="746">
        <f t="shared" si="58"/>
        <v>11160</v>
      </c>
      <c r="N4987" s="743">
        <v>275</v>
      </c>
      <c r="O4987" s="626">
        <v>12</v>
      </c>
      <c r="P4987" s="744">
        <f t="shared" si="59"/>
        <v>11160</v>
      </c>
    </row>
    <row r="4988" spans="1:16" s="619" customFormat="1" ht="24" x14ac:dyDescent="0.2">
      <c r="A4988" s="626" t="s">
        <v>9498</v>
      </c>
      <c r="B4988" s="626" t="s">
        <v>1908</v>
      </c>
      <c r="C4988" s="638" t="s">
        <v>104</v>
      </c>
      <c r="D4988" s="626" t="s">
        <v>2660</v>
      </c>
      <c r="E4988" s="647">
        <v>1000</v>
      </c>
      <c r="F4988" s="626" t="s">
        <v>10128</v>
      </c>
      <c r="G4988" s="626" t="s">
        <v>10129</v>
      </c>
      <c r="H4988" s="626" t="s">
        <v>2660</v>
      </c>
      <c r="I4988" s="626" t="s">
        <v>3768</v>
      </c>
      <c r="J4988" s="638" t="s">
        <v>9501</v>
      </c>
      <c r="K4988" s="640">
        <v>284</v>
      </c>
      <c r="L4988" s="638">
        <v>12</v>
      </c>
      <c r="M4988" s="746">
        <f t="shared" si="58"/>
        <v>12000</v>
      </c>
      <c r="N4988" s="743">
        <v>276</v>
      </c>
      <c r="O4988" s="626">
        <v>12</v>
      </c>
      <c r="P4988" s="744">
        <f t="shared" si="59"/>
        <v>12000</v>
      </c>
    </row>
    <row r="4989" spans="1:16" s="619" customFormat="1" ht="24" x14ac:dyDescent="0.2">
      <c r="A4989" s="626" t="s">
        <v>9498</v>
      </c>
      <c r="B4989" s="626" t="s">
        <v>1908</v>
      </c>
      <c r="C4989" s="638" t="s">
        <v>104</v>
      </c>
      <c r="D4989" s="626" t="s">
        <v>2660</v>
      </c>
      <c r="E4989" s="647">
        <v>1000</v>
      </c>
      <c r="F4989" s="626" t="s">
        <v>10130</v>
      </c>
      <c r="G4989" s="626" t="s">
        <v>10131</v>
      </c>
      <c r="H4989" s="626" t="s">
        <v>2660</v>
      </c>
      <c r="I4989" s="626" t="s">
        <v>3768</v>
      </c>
      <c r="J4989" s="638" t="s">
        <v>9501</v>
      </c>
      <c r="K4989" s="640">
        <v>285</v>
      </c>
      <c r="L4989" s="638">
        <v>12</v>
      </c>
      <c r="M4989" s="746">
        <f t="shared" si="58"/>
        <v>12000</v>
      </c>
      <c r="N4989" s="743">
        <v>277</v>
      </c>
      <c r="O4989" s="626">
        <v>12</v>
      </c>
      <c r="P4989" s="744">
        <f t="shared" si="59"/>
        <v>12000</v>
      </c>
    </row>
    <row r="4990" spans="1:16" s="619" customFormat="1" ht="36.75" thickBot="1" x14ac:dyDescent="0.25">
      <c r="A4990" s="626" t="s">
        <v>9498</v>
      </c>
      <c r="B4990" s="626" t="s">
        <v>1861</v>
      </c>
      <c r="C4990" s="638" t="s">
        <v>10132</v>
      </c>
      <c r="D4990" s="626" t="s">
        <v>2087</v>
      </c>
      <c r="E4990" s="647">
        <v>1000</v>
      </c>
      <c r="F4990" s="626">
        <v>44765826</v>
      </c>
      <c r="G4990" s="626" t="s">
        <v>10133</v>
      </c>
      <c r="H4990" s="626" t="s">
        <v>2087</v>
      </c>
      <c r="I4990" s="626" t="s">
        <v>1931</v>
      </c>
      <c r="J4990" s="638" t="s">
        <v>8572</v>
      </c>
      <c r="K4990" s="747">
        <v>1</v>
      </c>
      <c r="L4990" s="638">
        <v>12</v>
      </c>
      <c r="M4990" s="748">
        <f t="shared" si="58"/>
        <v>12000</v>
      </c>
      <c r="N4990" s="743">
        <v>1</v>
      </c>
      <c r="O4990" s="657">
        <v>12</v>
      </c>
      <c r="P4990" s="744">
        <f t="shared" si="59"/>
        <v>12000</v>
      </c>
    </row>
    <row r="4991" spans="1:16" s="619" customFormat="1" ht="13.5" customHeight="1" thickBot="1" x14ac:dyDescent="0.25">
      <c r="A4991" s="1149" t="s">
        <v>1899</v>
      </c>
      <c r="B4991" s="1150"/>
      <c r="C4991" s="1150"/>
      <c r="D4991" s="1151"/>
      <c r="E4991" s="610">
        <f>SUM(E4676:E4990)</f>
        <v>420690</v>
      </c>
      <c r="F4991" s="623"/>
      <c r="G4991" s="109"/>
      <c r="H4991" s="175"/>
      <c r="I4991" s="109"/>
      <c r="J4991" s="109"/>
      <c r="K4991" s="623"/>
      <c r="L4991" s="109"/>
      <c r="M4991" s="610">
        <f>SUM(M4676:M4990)</f>
        <v>3736200</v>
      </c>
      <c r="N4991" s="623"/>
      <c r="O4991" s="623"/>
      <c r="P4991" s="610">
        <f>SUM(P4676:P4990)</f>
        <v>4841460</v>
      </c>
    </row>
    <row r="4992" spans="1:16" s="619" customFormat="1" ht="36" x14ac:dyDescent="0.2">
      <c r="A4992" s="630" t="s">
        <v>10134</v>
      </c>
      <c r="B4992" s="626" t="s">
        <v>1908</v>
      </c>
      <c r="C4992" s="638" t="s">
        <v>104</v>
      </c>
      <c r="D4992" s="626" t="s">
        <v>3681</v>
      </c>
      <c r="E4992" s="636">
        <v>1100</v>
      </c>
      <c r="F4992" s="749" t="s">
        <v>10135</v>
      </c>
      <c r="G4992" s="626" t="s">
        <v>10136</v>
      </c>
      <c r="H4992" s="630" t="s">
        <v>3551</v>
      </c>
      <c r="I4992" s="638" t="s">
        <v>1919</v>
      </c>
      <c r="J4992" s="630" t="s">
        <v>10137</v>
      </c>
      <c r="K4992" s="750">
        <v>3</v>
      </c>
      <c r="L4992" s="751">
        <v>8</v>
      </c>
      <c r="M4992" s="636">
        <f>E4992*L4992</f>
        <v>8800</v>
      </c>
      <c r="N4992" s="751">
        <v>1</v>
      </c>
      <c r="O4992" s="750">
        <v>6</v>
      </c>
      <c r="P4992" s="635">
        <f>E4992*O4992</f>
        <v>6600</v>
      </c>
    </row>
    <row r="4993" spans="1:16" s="619" customFormat="1" ht="36" x14ac:dyDescent="0.2">
      <c r="A4993" s="626" t="s">
        <v>10134</v>
      </c>
      <c r="B4993" s="626" t="s">
        <v>1908</v>
      </c>
      <c r="C4993" s="638" t="s">
        <v>104</v>
      </c>
      <c r="D4993" s="626" t="s">
        <v>6198</v>
      </c>
      <c r="E4993" s="636">
        <v>2800</v>
      </c>
      <c r="F4993" s="749" t="s">
        <v>10138</v>
      </c>
      <c r="G4993" s="626" t="s">
        <v>10139</v>
      </c>
      <c r="H4993" s="626" t="s">
        <v>6198</v>
      </c>
      <c r="I4993" s="638" t="s">
        <v>8398</v>
      </c>
      <c r="J4993" s="626" t="s">
        <v>1913</v>
      </c>
      <c r="K4993" s="750">
        <v>4</v>
      </c>
      <c r="L4993" s="752">
        <v>12</v>
      </c>
      <c r="M4993" s="636">
        <f t="shared" ref="M4993:M5058" si="60">E4993*L4993</f>
        <v>33600</v>
      </c>
      <c r="N4993" s="752">
        <v>1</v>
      </c>
      <c r="O4993" s="750">
        <v>6</v>
      </c>
      <c r="P4993" s="643">
        <f t="shared" ref="P4993:P5058" si="61">E4993*O4993</f>
        <v>16800</v>
      </c>
    </row>
    <row r="4994" spans="1:16" s="619" customFormat="1" ht="24" x14ac:dyDescent="0.2">
      <c r="A4994" s="626" t="s">
        <v>10134</v>
      </c>
      <c r="B4994" s="626" t="s">
        <v>1908</v>
      </c>
      <c r="C4994" s="638" t="s">
        <v>104</v>
      </c>
      <c r="D4994" s="626" t="s">
        <v>1949</v>
      </c>
      <c r="E4994" s="636">
        <v>1700</v>
      </c>
      <c r="F4994" s="749">
        <v>16484806</v>
      </c>
      <c r="G4994" s="626" t="s">
        <v>10140</v>
      </c>
      <c r="H4994" s="626" t="s">
        <v>3545</v>
      </c>
      <c r="I4994" s="638" t="s">
        <v>4589</v>
      </c>
      <c r="J4994" s="626" t="s">
        <v>1913</v>
      </c>
      <c r="K4994" s="750">
        <v>4</v>
      </c>
      <c r="L4994" s="752">
        <v>12</v>
      </c>
      <c r="M4994" s="636">
        <f t="shared" si="60"/>
        <v>20400</v>
      </c>
      <c r="N4994" s="752">
        <v>1</v>
      </c>
      <c r="O4994" s="750">
        <v>6</v>
      </c>
      <c r="P4994" s="643">
        <f t="shared" si="61"/>
        <v>10200</v>
      </c>
    </row>
    <row r="4995" spans="1:16" s="619" customFormat="1" ht="24" x14ac:dyDescent="0.2">
      <c r="A4995" s="626" t="s">
        <v>10134</v>
      </c>
      <c r="B4995" s="626" t="s">
        <v>1908</v>
      </c>
      <c r="C4995" s="638" t="s">
        <v>104</v>
      </c>
      <c r="D4995" s="626" t="s">
        <v>10141</v>
      </c>
      <c r="E4995" s="636">
        <v>1500</v>
      </c>
      <c r="F4995" s="749" t="s">
        <v>10142</v>
      </c>
      <c r="G4995" s="626" t="s">
        <v>10143</v>
      </c>
      <c r="H4995" s="626" t="s">
        <v>10144</v>
      </c>
      <c r="I4995" s="638" t="s">
        <v>10144</v>
      </c>
      <c r="J4995" s="626" t="s">
        <v>3125</v>
      </c>
      <c r="K4995" s="750">
        <v>3</v>
      </c>
      <c r="L4995" s="752">
        <v>8</v>
      </c>
      <c r="M4995" s="636">
        <f t="shared" si="60"/>
        <v>12000</v>
      </c>
      <c r="N4995" s="752">
        <v>1</v>
      </c>
      <c r="O4995" s="750">
        <v>6</v>
      </c>
      <c r="P4995" s="643">
        <f t="shared" si="61"/>
        <v>9000</v>
      </c>
    </row>
    <row r="4996" spans="1:16" s="619" customFormat="1" ht="24" x14ac:dyDescent="0.2">
      <c r="A4996" s="626" t="s">
        <v>10134</v>
      </c>
      <c r="B4996" s="626" t="s">
        <v>1908</v>
      </c>
      <c r="C4996" s="638" t="s">
        <v>104</v>
      </c>
      <c r="D4996" s="626" t="s">
        <v>10145</v>
      </c>
      <c r="E4996" s="636">
        <v>3500</v>
      </c>
      <c r="F4996" s="749" t="s">
        <v>10146</v>
      </c>
      <c r="G4996" s="626" t="s">
        <v>10147</v>
      </c>
      <c r="H4996" s="626" t="s">
        <v>1911</v>
      </c>
      <c r="I4996" s="638" t="s">
        <v>1911</v>
      </c>
      <c r="J4996" s="626" t="s">
        <v>1913</v>
      </c>
      <c r="K4996" s="750">
        <v>2</v>
      </c>
      <c r="L4996" s="752">
        <v>4</v>
      </c>
      <c r="M4996" s="636">
        <f t="shared" si="60"/>
        <v>14000</v>
      </c>
      <c r="N4996" s="752">
        <v>1</v>
      </c>
      <c r="O4996" s="750">
        <v>6</v>
      </c>
      <c r="P4996" s="643">
        <f t="shared" si="61"/>
        <v>21000</v>
      </c>
    </row>
    <row r="4997" spans="1:16" s="619" customFormat="1" ht="36" x14ac:dyDescent="0.2">
      <c r="A4997" s="626" t="s">
        <v>10134</v>
      </c>
      <c r="B4997" s="626" t="s">
        <v>1908</v>
      </c>
      <c r="C4997" s="638" t="s">
        <v>104</v>
      </c>
      <c r="D4997" s="626" t="s">
        <v>10148</v>
      </c>
      <c r="E4997" s="636">
        <v>2800</v>
      </c>
      <c r="F4997" s="749" t="s">
        <v>10149</v>
      </c>
      <c r="G4997" s="626" t="s">
        <v>10150</v>
      </c>
      <c r="H4997" s="626" t="s">
        <v>7716</v>
      </c>
      <c r="I4997" s="638" t="s">
        <v>1993</v>
      </c>
      <c r="J4997" s="626" t="s">
        <v>1913</v>
      </c>
      <c r="K4997" s="750">
        <v>0</v>
      </c>
      <c r="L4997" s="752">
        <v>0</v>
      </c>
      <c r="M4997" s="636">
        <f t="shared" si="60"/>
        <v>0</v>
      </c>
      <c r="N4997" s="752">
        <v>1</v>
      </c>
      <c r="O4997" s="750">
        <v>9</v>
      </c>
      <c r="P4997" s="643">
        <f t="shared" si="61"/>
        <v>25200</v>
      </c>
    </row>
    <row r="4998" spans="1:16" s="619" customFormat="1" ht="24" x14ac:dyDescent="0.2">
      <c r="A4998" s="626" t="s">
        <v>10134</v>
      </c>
      <c r="B4998" s="626" t="s">
        <v>1908</v>
      </c>
      <c r="C4998" s="638" t="s">
        <v>104</v>
      </c>
      <c r="D4998" s="626" t="s">
        <v>10141</v>
      </c>
      <c r="E4998" s="636">
        <v>1500</v>
      </c>
      <c r="F4998" s="749">
        <v>48227801</v>
      </c>
      <c r="G4998" s="626" t="s">
        <v>10151</v>
      </c>
      <c r="H4998" s="626" t="s">
        <v>10144</v>
      </c>
      <c r="I4998" s="638" t="s">
        <v>10144</v>
      </c>
      <c r="J4998" s="626" t="s">
        <v>3125</v>
      </c>
      <c r="K4998" s="750">
        <v>0</v>
      </c>
      <c r="L4998" s="752">
        <v>0</v>
      </c>
      <c r="M4998" s="636">
        <f t="shared" si="60"/>
        <v>0</v>
      </c>
      <c r="N4998" s="752">
        <v>1</v>
      </c>
      <c r="O4998" s="750">
        <v>6</v>
      </c>
      <c r="P4998" s="643">
        <f t="shared" si="61"/>
        <v>9000</v>
      </c>
    </row>
    <row r="4999" spans="1:16" s="619" customFormat="1" ht="36" x14ac:dyDescent="0.2">
      <c r="A4999" s="626" t="s">
        <v>10134</v>
      </c>
      <c r="B4999" s="626" t="s">
        <v>1908</v>
      </c>
      <c r="C4999" s="638" t="s">
        <v>104</v>
      </c>
      <c r="D4999" s="626" t="s">
        <v>10152</v>
      </c>
      <c r="E4999" s="636">
        <v>1400</v>
      </c>
      <c r="F4999" s="749" t="s">
        <v>10153</v>
      </c>
      <c r="G4999" s="626" t="s">
        <v>10154</v>
      </c>
      <c r="H4999" s="626" t="s">
        <v>10155</v>
      </c>
      <c r="I4999" s="638"/>
      <c r="J4999" s="626" t="s">
        <v>10137</v>
      </c>
      <c r="K4999" s="750">
        <v>4</v>
      </c>
      <c r="L4999" s="752">
        <v>12</v>
      </c>
      <c r="M4999" s="636">
        <f t="shared" si="60"/>
        <v>16800</v>
      </c>
      <c r="N4999" s="752">
        <v>1</v>
      </c>
      <c r="O4999" s="750">
        <v>6</v>
      </c>
      <c r="P4999" s="643">
        <f t="shared" si="61"/>
        <v>8400</v>
      </c>
    </row>
    <row r="5000" spans="1:16" s="619" customFormat="1" ht="36" x14ac:dyDescent="0.2">
      <c r="A5000" s="626" t="s">
        <v>10134</v>
      </c>
      <c r="B5000" s="626" t="s">
        <v>1908</v>
      </c>
      <c r="C5000" s="638" t="s">
        <v>104</v>
      </c>
      <c r="D5000" s="626" t="s">
        <v>3681</v>
      </c>
      <c r="E5000" s="636">
        <v>1100</v>
      </c>
      <c r="F5000" s="749" t="s">
        <v>10156</v>
      </c>
      <c r="G5000" s="626" t="s">
        <v>10157</v>
      </c>
      <c r="H5000" s="626" t="s">
        <v>3551</v>
      </c>
      <c r="I5000" s="638" t="s">
        <v>1919</v>
      </c>
      <c r="J5000" s="626" t="s">
        <v>10137</v>
      </c>
      <c r="K5000" s="750">
        <v>2</v>
      </c>
      <c r="L5000" s="752">
        <v>4</v>
      </c>
      <c r="M5000" s="636">
        <f t="shared" si="60"/>
        <v>4400</v>
      </c>
      <c r="N5000" s="752">
        <v>1</v>
      </c>
      <c r="O5000" s="750">
        <v>6</v>
      </c>
      <c r="P5000" s="643">
        <f t="shared" si="61"/>
        <v>6600</v>
      </c>
    </row>
    <row r="5001" spans="1:16" s="619" customFormat="1" ht="36" x14ac:dyDescent="0.2">
      <c r="A5001" s="626" t="s">
        <v>10134</v>
      </c>
      <c r="B5001" s="626" t="s">
        <v>1908</v>
      </c>
      <c r="C5001" s="638" t="s">
        <v>104</v>
      </c>
      <c r="D5001" s="626" t="s">
        <v>10158</v>
      </c>
      <c r="E5001" s="636">
        <v>3100</v>
      </c>
      <c r="F5001" s="749" t="s">
        <v>10159</v>
      </c>
      <c r="G5001" s="626" t="s">
        <v>10160</v>
      </c>
      <c r="H5001" s="626" t="s">
        <v>2764</v>
      </c>
      <c r="I5001" s="638"/>
      <c r="J5001" s="626"/>
      <c r="K5001" s="662">
        <v>2</v>
      </c>
      <c r="L5001" s="637">
        <v>6</v>
      </c>
      <c r="M5001" s="636">
        <f t="shared" si="60"/>
        <v>18600</v>
      </c>
      <c r="N5001" s="637">
        <v>0</v>
      </c>
      <c r="O5001" s="662">
        <v>0</v>
      </c>
      <c r="P5001" s="643">
        <f t="shared" si="61"/>
        <v>0</v>
      </c>
    </row>
    <row r="5002" spans="1:16" s="619" customFormat="1" ht="36" x14ac:dyDescent="0.2">
      <c r="A5002" s="626" t="s">
        <v>10134</v>
      </c>
      <c r="B5002" s="626" t="s">
        <v>1908</v>
      </c>
      <c r="C5002" s="638" t="s">
        <v>104</v>
      </c>
      <c r="D5002" s="626" t="s">
        <v>2072</v>
      </c>
      <c r="E5002" s="636">
        <v>1500</v>
      </c>
      <c r="F5002" s="749" t="s">
        <v>10161</v>
      </c>
      <c r="G5002" s="626" t="s">
        <v>10162</v>
      </c>
      <c r="H5002" s="626" t="s">
        <v>10144</v>
      </c>
      <c r="I5002" s="638" t="s">
        <v>10144</v>
      </c>
      <c r="J5002" s="626" t="s">
        <v>3125</v>
      </c>
      <c r="K5002" s="750">
        <v>4</v>
      </c>
      <c r="L5002" s="752">
        <v>12</v>
      </c>
      <c r="M5002" s="636">
        <f t="shared" si="60"/>
        <v>18000</v>
      </c>
      <c r="N5002" s="752">
        <v>1</v>
      </c>
      <c r="O5002" s="750">
        <v>6</v>
      </c>
      <c r="P5002" s="643">
        <f t="shared" si="61"/>
        <v>9000</v>
      </c>
    </row>
    <row r="5003" spans="1:16" s="619" customFormat="1" ht="24" x14ac:dyDescent="0.2">
      <c r="A5003" s="626" t="s">
        <v>10134</v>
      </c>
      <c r="B5003" s="626" t="s">
        <v>1908</v>
      </c>
      <c r="C5003" s="638" t="s">
        <v>104</v>
      </c>
      <c r="D5003" s="626" t="s">
        <v>10163</v>
      </c>
      <c r="E5003" s="636">
        <v>1500</v>
      </c>
      <c r="F5003" s="749" t="s">
        <v>10164</v>
      </c>
      <c r="G5003" s="626" t="s">
        <v>10165</v>
      </c>
      <c r="H5003" s="626" t="s">
        <v>10144</v>
      </c>
      <c r="I5003" s="638" t="s">
        <v>10144</v>
      </c>
      <c r="J5003" s="626" t="s">
        <v>3125</v>
      </c>
      <c r="K5003" s="750">
        <v>4</v>
      </c>
      <c r="L5003" s="752">
        <v>12</v>
      </c>
      <c r="M5003" s="636">
        <f t="shared" si="60"/>
        <v>18000</v>
      </c>
      <c r="N5003" s="752">
        <v>1</v>
      </c>
      <c r="O5003" s="750">
        <v>6</v>
      </c>
      <c r="P5003" s="643">
        <f t="shared" si="61"/>
        <v>9000</v>
      </c>
    </row>
    <row r="5004" spans="1:16" s="619" customFormat="1" ht="36" x14ac:dyDescent="0.2">
      <c r="A5004" s="626" t="s">
        <v>10134</v>
      </c>
      <c r="B5004" s="626" t="s">
        <v>1908</v>
      </c>
      <c r="C5004" s="638" t="s">
        <v>104</v>
      </c>
      <c r="D5004" s="626" t="s">
        <v>6198</v>
      </c>
      <c r="E5004" s="636">
        <v>2800</v>
      </c>
      <c r="F5004" s="749" t="s">
        <v>10166</v>
      </c>
      <c r="G5004" s="626" t="s">
        <v>10167</v>
      </c>
      <c r="H5004" s="626" t="s">
        <v>6198</v>
      </c>
      <c r="I5004" s="638" t="s">
        <v>10168</v>
      </c>
      <c r="J5004" s="626" t="s">
        <v>1913</v>
      </c>
      <c r="K5004" s="750">
        <v>4</v>
      </c>
      <c r="L5004" s="752">
        <v>12</v>
      </c>
      <c r="M5004" s="636">
        <f t="shared" si="60"/>
        <v>33600</v>
      </c>
      <c r="N5004" s="752">
        <v>1</v>
      </c>
      <c r="O5004" s="750">
        <v>6</v>
      </c>
      <c r="P5004" s="643">
        <f t="shared" si="61"/>
        <v>16800</v>
      </c>
    </row>
    <row r="5005" spans="1:16" s="619" customFormat="1" ht="24" x14ac:dyDescent="0.2">
      <c r="A5005" s="626" t="s">
        <v>10134</v>
      </c>
      <c r="B5005" s="626" t="s">
        <v>1908</v>
      </c>
      <c r="C5005" s="638" t="s">
        <v>104</v>
      </c>
      <c r="D5005" s="626" t="s">
        <v>7716</v>
      </c>
      <c r="E5005" s="636">
        <v>2800</v>
      </c>
      <c r="F5005" s="749" t="s">
        <v>10169</v>
      </c>
      <c r="G5005" s="626" t="s">
        <v>10170</v>
      </c>
      <c r="H5005" s="626" t="s">
        <v>7716</v>
      </c>
      <c r="I5005" s="638" t="s">
        <v>1993</v>
      </c>
      <c r="J5005" s="626" t="s">
        <v>1913</v>
      </c>
      <c r="K5005" s="750">
        <v>4</v>
      </c>
      <c r="L5005" s="752">
        <v>12</v>
      </c>
      <c r="M5005" s="636">
        <f t="shared" si="60"/>
        <v>33600</v>
      </c>
      <c r="N5005" s="752">
        <v>1</v>
      </c>
      <c r="O5005" s="750">
        <v>6</v>
      </c>
      <c r="P5005" s="643">
        <f t="shared" si="61"/>
        <v>16800</v>
      </c>
    </row>
    <row r="5006" spans="1:16" s="619" customFormat="1" ht="36" x14ac:dyDescent="0.2">
      <c r="A5006" s="626" t="s">
        <v>10134</v>
      </c>
      <c r="B5006" s="626" t="s">
        <v>1908</v>
      </c>
      <c r="C5006" s="638" t="s">
        <v>104</v>
      </c>
      <c r="D5006" s="626" t="s">
        <v>10171</v>
      </c>
      <c r="E5006" s="636">
        <v>1400</v>
      </c>
      <c r="F5006" s="749" t="s">
        <v>10172</v>
      </c>
      <c r="G5006" s="626" t="s">
        <v>10173</v>
      </c>
      <c r="H5006" s="626" t="s">
        <v>3551</v>
      </c>
      <c r="I5006" s="638" t="s">
        <v>1919</v>
      </c>
      <c r="J5006" s="626" t="s">
        <v>10137</v>
      </c>
      <c r="K5006" s="750">
        <v>0</v>
      </c>
      <c r="L5006" s="752">
        <v>0</v>
      </c>
      <c r="M5006" s="636">
        <f t="shared" si="60"/>
        <v>0</v>
      </c>
      <c r="N5006" s="752">
        <v>1</v>
      </c>
      <c r="O5006" s="750">
        <v>3</v>
      </c>
      <c r="P5006" s="643">
        <f t="shared" si="61"/>
        <v>4200</v>
      </c>
    </row>
    <row r="5007" spans="1:16" s="619" customFormat="1" ht="36" x14ac:dyDescent="0.2">
      <c r="A5007" s="626" t="s">
        <v>10134</v>
      </c>
      <c r="B5007" s="626" t="s">
        <v>1908</v>
      </c>
      <c r="C5007" s="638" t="s">
        <v>104</v>
      </c>
      <c r="D5007" s="626" t="s">
        <v>10174</v>
      </c>
      <c r="E5007" s="636">
        <v>2800</v>
      </c>
      <c r="F5007" s="749" t="s">
        <v>10175</v>
      </c>
      <c r="G5007" s="626" t="s">
        <v>10176</v>
      </c>
      <c r="H5007" s="626" t="s">
        <v>10174</v>
      </c>
      <c r="I5007" s="638" t="s">
        <v>10174</v>
      </c>
      <c r="J5007" s="626" t="s">
        <v>1913</v>
      </c>
      <c r="K5007" s="750">
        <v>1</v>
      </c>
      <c r="L5007" s="752">
        <v>3</v>
      </c>
      <c r="M5007" s="636">
        <f t="shared" si="60"/>
        <v>8400</v>
      </c>
      <c r="N5007" s="752">
        <v>1</v>
      </c>
      <c r="O5007" s="750">
        <v>6</v>
      </c>
      <c r="P5007" s="643">
        <f t="shared" si="61"/>
        <v>16800</v>
      </c>
    </row>
    <row r="5008" spans="1:16" s="619" customFormat="1" ht="36" x14ac:dyDescent="0.2">
      <c r="A5008" s="626" t="s">
        <v>10134</v>
      </c>
      <c r="B5008" s="626" t="s">
        <v>1908</v>
      </c>
      <c r="C5008" s="638" t="s">
        <v>104</v>
      </c>
      <c r="D5008" s="626" t="s">
        <v>6152</v>
      </c>
      <c r="E5008" s="636">
        <v>2800</v>
      </c>
      <c r="F5008" s="749" t="s">
        <v>10177</v>
      </c>
      <c r="G5008" s="626" t="s">
        <v>10178</v>
      </c>
      <c r="H5008" s="626" t="s">
        <v>6152</v>
      </c>
      <c r="I5008" s="638" t="s">
        <v>6152</v>
      </c>
      <c r="J5008" s="626" t="s">
        <v>1913</v>
      </c>
      <c r="K5008" s="750">
        <v>1</v>
      </c>
      <c r="L5008" s="752">
        <v>4</v>
      </c>
      <c r="M5008" s="636">
        <f t="shared" si="60"/>
        <v>11200</v>
      </c>
      <c r="N5008" s="752"/>
      <c r="O5008" s="750"/>
      <c r="P5008" s="643"/>
    </row>
    <row r="5009" spans="1:16" s="619" customFormat="1" ht="36" x14ac:dyDescent="0.2">
      <c r="A5009" s="626" t="s">
        <v>10134</v>
      </c>
      <c r="B5009" s="626" t="s">
        <v>1908</v>
      </c>
      <c r="C5009" s="638" t="s">
        <v>104</v>
      </c>
      <c r="D5009" s="626" t="s">
        <v>2072</v>
      </c>
      <c r="E5009" s="636">
        <v>1500</v>
      </c>
      <c r="F5009" s="749" t="s">
        <v>10179</v>
      </c>
      <c r="G5009" s="626" t="s">
        <v>10180</v>
      </c>
      <c r="H5009" s="626" t="s">
        <v>10181</v>
      </c>
      <c r="I5009" s="638" t="s">
        <v>2072</v>
      </c>
      <c r="J5009" s="626" t="s">
        <v>3125</v>
      </c>
      <c r="K5009" s="750">
        <v>0</v>
      </c>
      <c r="L5009" s="752">
        <v>0</v>
      </c>
      <c r="M5009" s="636">
        <f t="shared" si="60"/>
        <v>0</v>
      </c>
      <c r="N5009" s="752">
        <v>1</v>
      </c>
      <c r="O5009" s="750">
        <v>5</v>
      </c>
      <c r="P5009" s="643">
        <f t="shared" si="61"/>
        <v>7500</v>
      </c>
    </row>
    <row r="5010" spans="1:16" s="619" customFormat="1" ht="36" x14ac:dyDescent="0.2">
      <c r="A5010" s="626" t="s">
        <v>10134</v>
      </c>
      <c r="B5010" s="626" t="s">
        <v>1908</v>
      </c>
      <c r="C5010" s="638" t="s">
        <v>104</v>
      </c>
      <c r="D5010" s="626" t="s">
        <v>2072</v>
      </c>
      <c r="E5010" s="636">
        <v>1500</v>
      </c>
      <c r="F5010" s="749">
        <v>77143569</v>
      </c>
      <c r="G5010" s="626" t="s">
        <v>10182</v>
      </c>
      <c r="H5010" s="626" t="s">
        <v>10183</v>
      </c>
      <c r="I5010" s="638" t="s">
        <v>2072</v>
      </c>
      <c r="J5010" s="626" t="s">
        <v>3125</v>
      </c>
      <c r="K5010" s="750">
        <v>0</v>
      </c>
      <c r="L5010" s="752">
        <v>0</v>
      </c>
      <c r="M5010" s="636">
        <f t="shared" si="60"/>
        <v>0</v>
      </c>
      <c r="N5010" s="752">
        <v>1</v>
      </c>
      <c r="O5010" s="750">
        <v>5</v>
      </c>
      <c r="P5010" s="643">
        <f t="shared" si="61"/>
        <v>7500</v>
      </c>
    </row>
    <row r="5011" spans="1:16" s="619" customFormat="1" ht="24" x14ac:dyDescent="0.2">
      <c r="A5011" s="626" t="s">
        <v>10134</v>
      </c>
      <c r="B5011" s="626" t="s">
        <v>1908</v>
      </c>
      <c r="C5011" s="638" t="s">
        <v>104</v>
      </c>
      <c r="D5011" s="626" t="s">
        <v>2072</v>
      </c>
      <c r="E5011" s="636">
        <v>1500</v>
      </c>
      <c r="F5011" s="749" t="s">
        <v>10184</v>
      </c>
      <c r="G5011" s="626" t="s">
        <v>10185</v>
      </c>
      <c r="H5011" s="626" t="s">
        <v>2072</v>
      </c>
      <c r="I5011" s="638" t="s">
        <v>2072</v>
      </c>
      <c r="J5011" s="626" t="s">
        <v>3125</v>
      </c>
      <c r="K5011" s="750">
        <v>2</v>
      </c>
      <c r="L5011" s="752">
        <v>7</v>
      </c>
      <c r="M5011" s="636">
        <f>E5011*L5011</f>
        <v>10500</v>
      </c>
      <c r="N5011" s="752">
        <v>1</v>
      </c>
      <c r="O5011" s="750">
        <v>6</v>
      </c>
      <c r="P5011" s="643">
        <f t="shared" si="61"/>
        <v>9000</v>
      </c>
    </row>
    <row r="5012" spans="1:16" s="619" customFormat="1" ht="36" x14ac:dyDescent="0.2">
      <c r="A5012" s="626" t="s">
        <v>10134</v>
      </c>
      <c r="B5012" s="626" t="s">
        <v>1908</v>
      </c>
      <c r="C5012" s="638" t="s">
        <v>104</v>
      </c>
      <c r="D5012" s="626" t="s">
        <v>2072</v>
      </c>
      <c r="E5012" s="636">
        <v>1500</v>
      </c>
      <c r="F5012" s="749" t="s">
        <v>10186</v>
      </c>
      <c r="G5012" s="626" t="s">
        <v>10187</v>
      </c>
      <c r="H5012" s="626" t="s">
        <v>2072</v>
      </c>
      <c r="I5012" s="638" t="s">
        <v>2072</v>
      </c>
      <c r="J5012" s="626" t="s">
        <v>3125</v>
      </c>
      <c r="K5012" s="750">
        <v>0</v>
      </c>
      <c r="L5012" s="752">
        <v>0</v>
      </c>
      <c r="M5012" s="636">
        <f t="shared" ref="M5012:M5028" si="62">E5012*L5012</f>
        <v>0</v>
      </c>
      <c r="N5012" s="752">
        <v>1</v>
      </c>
      <c r="O5012" s="750">
        <v>5</v>
      </c>
      <c r="P5012" s="643">
        <f t="shared" si="61"/>
        <v>7500</v>
      </c>
    </row>
    <row r="5013" spans="1:16" s="619" customFormat="1" ht="24" x14ac:dyDescent="0.2">
      <c r="A5013" s="626" t="s">
        <v>10134</v>
      </c>
      <c r="B5013" s="626" t="s">
        <v>1908</v>
      </c>
      <c r="C5013" s="638" t="s">
        <v>104</v>
      </c>
      <c r="D5013" s="626" t="s">
        <v>2072</v>
      </c>
      <c r="E5013" s="636">
        <v>1500</v>
      </c>
      <c r="F5013" s="749" t="s">
        <v>10188</v>
      </c>
      <c r="G5013" s="626" t="s">
        <v>10189</v>
      </c>
      <c r="H5013" s="626" t="s">
        <v>2072</v>
      </c>
      <c r="I5013" s="638" t="s">
        <v>2072</v>
      </c>
      <c r="J5013" s="626" t="s">
        <v>3125</v>
      </c>
      <c r="K5013" s="750">
        <v>0</v>
      </c>
      <c r="L5013" s="752">
        <v>0</v>
      </c>
      <c r="M5013" s="636">
        <f t="shared" si="62"/>
        <v>0</v>
      </c>
      <c r="N5013" s="752">
        <v>1</v>
      </c>
      <c r="O5013" s="750">
        <v>5</v>
      </c>
      <c r="P5013" s="643">
        <f t="shared" si="61"/>
        <v>7500</v>
      </c>
    </row>
    <row r="5014" spans="1:16" s="619" customFormat="1" ht="36" x14ac:dyDescent="0.2">
      <c r="A5014" s="626" t="s">
        <v>10134</v>
      </c>
      <c r="B5014" s="626" t="s">
        <v>1908</v>
      </c>
      <c r="C5014" s="638" t="s">
        <v>104</v>
      </c>
      <c r="D5014" s="626" t="s">
        <v>3677</v>
      </c>
      <c r="E5014" s="636">
        <v>1100</v>
      </c>
      <c r="F5014" s="749" t="s">
        <v>10190</v>
      </c>
      <c r="G5014" s="626" t="s">
        <v>10191</v>
      </c>
      <c r="H5014" s="626" t="s">
        <v>3551</v>
      </c>
      <c r="I5014" s="638" t="s">
        <v>1919</v>
      </c>
      <c r="J5014" s="626" t="s">
        <v>10192</v>
      </c>
      <c r="K5014" s="750">
        <v>2</v>
      </c>
      <c r="L5014" s="752">
        <v>5</v>
      </c>
      <c r="M5014" s="636">
        <f t="shared" si="62"/>
        <v>5500</v>
      </c>
      <c r="N5014" s="752">
        <v>1</v>
      </c>
      <c r="O5014" s="750">
        <v>6</v>
      </c>
      <c r="P5014" s="643">
        <f t="shared" si="61"/>
        <v>6600</v>
      </c>
    </row>
    <row r="5015" spans="1:16" s="619" customFormat="1" ht="48" x14ac:dyDescent="0.2">
      <c r="A5015" s="626" t="s">
        <v>10134</v>
      </c>
      <c r="B5015" s="626" t="s">
        <v>1908</v>
      </c>
      <c r="C5015" s="638" t="s">
        <v>104</v>
      </c>
      <c r="D5015" s="626" t="s">
        <v>10193</v>
      </c>
      <c r="E5015" s="636">
        <v>1400</v>
      </c>
      <c r="F5015" s="749" t="s">
        <v>10194</v>
      </c>
      <c r="G5015" s="626" t="s">
        <v>10195</v>
      </c>
      <c r="H5015" s="626" t="s">
        <v>3551</v>
      </c>
      <c r="I5015" s="638" t="s">
        <v>1919</v>
      </c>
      <c r="J5015" s="626" t="s">
        <v>10192</v>
      </c>
      <c r="K5015" s="750">
        <v>0</v>
      </c>
      <c r="L5015" s="752">
        <v>0</v>
      </c>
      <c r="M5015" s="636">
        <f t="shared" si="62"/>
        <v>0</v>
      </c>
      <c r="N5015" s="752">
        <v>1</v>
      </c>
      <c r="O5015" s="750">
        <v>4</v>
      </c>
      <c r="P5015" s="643">
        <f t="shared" si="61"/>
        <v>5600</v>
      </c>
    </row>
    <row r="5016" spans="1:16" s="619" customFormat="1" ht="24" x14ac:dyDescent="0.2">
      <c r="A5016" s="626" t="s">
        <v>10134</v>
      </c>
      <c r="B5016" s="626" t="s">
        <v>1908</v>
      </c>
      <c r="C5016" s="638" t="s">
        <v>104</v>
      </c>
      <c r="D5016" s="626" t="s">
        <v>2072</v>
      </c>
      <c r="E5016" s="636">
        <v>1500</v>
      </c>
      <c r="F5016" s="749" t="s">
        <v>10196</v>
      </c>
      <c r="G5016" s="626" t="s">
        <v>10197</v>
      </c>
      <c r="H5016" s="626" t="s">
        <v>2072</v>
      </c>
      <c r="I5016" s="638" t="s">
        <v>2072</v>
      </c>
      <c r="J5016" s="626" t="s">
        <v>3125</v>
      </c>
      <c r="K5016" s="750">
        <v>2</v>
      </c>
      <c r="L5016" s="752">
        <v>7</v>
      </c>
      <c r="M5016" s="636">
        <f t="shared" si="62"/>
        <v>10500</v>
      </c>
      <c r="N5016" s="752">
        <v>1</v>
      </c>
      <c r="O5016" s="750">
        <v>3</v>
      </c>
      <c r="P5016" s="643">
        <f t="shared" si="61"/>
        <v>4500</v>
      </c>
    </row>
    <row r="5017" spans="1:16" s="619" customFormat="1" ht="36" x14ac:dyDescent="0.2">
      <c r="A5017" s="626" t="s">
        <v>10134</v>
      </c>
      <c r="B5017" s="626" t="s">
        <v>1908</v>
      </c>
      <c r="C5017" s="638" t="s">
        <v>104</v>
      </c>
      <c r="D5017" s="626" t="s">
        <v>10198</v>
      </c>
      <c r="E5017" s="636">
        <v>1100</v>
      </c>
      <c r="F5017" s="749" t="s">
        <v>10199</v>
      </c>
      <c r="G5017" s="626" t="s">
        <v>10200</v>
      </c>
      <c r="H5017" s="626" t="s">
        <v>3551</v>
      </c>
      <c r="I5017" s="638" t="s">
        <v>1919</v>
      </c>
      <c r="J5017" s="626" t="s">
        <v>10192</v>
      </c>
      <c r="K5017" s="750">
        <v>4</v>
      </c>
      <c r="L5017" s="752">
        <v>12</v>
      </c>
      <c r="M5017" s="636">
        <f t="shared" si="62"/>
        <v>13200</v>
      </c>
      <c r="N5017" s="752">
        <v>1</v>
      </c>
      <c r="O5017" s="750">
        <v>6</v>
      </c>
      <c r="P5017" s="643">
        <f t="shared" si="61"/>
        <v>6600</v>
      </c>
    </row>
    <row r="5018" spans="1:16" s="619" customFormat="1" ht="24" x14ac:dyDescent="0.2">
      <c r="A5018" s="626" t="s">
        <v>10134</v>
      </c>
      <c r="B5018" s="626" t="s">
        <v>1908</v>
      </c>
      <c r="C5018" s="638" t="s">
        <v>104</v>
      </c>
      <c r="D5018" s="626" t="s">
        <v>10198</v>
      </c>
      <c r="E5018" s="636">
        <v>1100</v>
      </c>
      <c r="F5018" s="749" t="s">
        <v>10201</v>
      </c>
      <c r="G5018" s="626" t="s">
        <v>10202</v>
      </c>
      <c r="H5018" s="626" t="s">
        <v>3551</v>
      </c>
      <c r="I5018" s="638" t="s">
        <v>1919</v>
      </c>
      <c r="J5018" s="626" t="s">
        <v>10192</v>
      </c>
      <c r="K5018" s="750">
        <v>4</v>
      </c>
      <c r="L5018" s="752">
        <v>12</v>
      </c>
      <c r="M5018" s="636">
        <f t="shared" si="62"/>
        <v>13200</v>
      </c>
      <c r="N5018" s="752">
        <v>1</v>
      </c>
      <c r="O5018" s="750">
        <v>6</v>
      </c>
      <c r="P5018" s="643">
        <f t="shared" si="61"/>
        <v>6600</v>
      </c>
    </row>
    <row r="5019" spans="1:16" s="619" customFormat="1" ht="36" x14ac:dyDescent="0.2">
      <c r="A5019" s="626" t="s">
        <v>10134</v>
      </c>
      <c r="B5019" s="626" t="s">
        <v>1908</v>
      </c>
      <c r="C5019" s="638" t="s">
        <v>104</v>
      </c>
      <c r="D5019" s="626" t="s">
        <v>7716</v>
      </c>
      <c r="E5019" s="636">
        <v>2800</v>
      </c>
      <c r="F5019" s="749" t="s">
        <v>10203</v>
      </c>
      <c r="G5019" s="626" t="s">
        <v>10204</v>
      </c>
      <c r="H5019" s="626" t="s">
        <v>7716</v>
      </c>
      <c r="I5019" s="638" t="s">
        <v>1993</v>
      </c>
      <c r="J5019" s="626" t="s">
        <v>1913</v>
      </c>
      <c r="K5019" s="750">
        <v>4</v>
      </c>
      <c r="L5019" s="752">
        <v>12</v>
      </c>
      <c r="M5019" s="636">
        <f t="shared" si="62"/>
        <v>33600</v>
      </c>
      <c r="N5019" s="752">
        <v>1</v>
      </c>
      <c r="O5019" s="750">
        <v>3</v>
      </c>
      <c r="P5019" s="643">
        <f t="shared" si="61"/>
        <v>8400</v>
      </c>
    </row>
    <row r="5020" spans="1:16" s="619" customFormat="1" ht="24" x14ac:dyDescent="0.2">
      <c r="A5020" s="626" t="s">
        <v>10134</v>
      </c>
      <c r="B5020" s="626" t="s">
        <v>1908</v>
      </c>
      <c r="C5020" s="638" t="s">
        <v>104</v>
      </c>
      <c r="D5020" s="626" t="s">
        <v>3681</v>
      </c>
      <c r="E5020" s="636">
        <v>1100</v>
      </c>
      <c r="F5020" s="749" t="s">
        <v>10205</v>
      </c>
      <c r="G5020" s="626" t="s">
        <v>10206</v>
      </c>
      <c r="H5020" s="626" t="s">
        <v>3551</v>
      </c>
      <c r="I5020" s="638" t="s">
        <v>1919</v>
      </c>
      <c r="J5020" s="626" t="s">
        <v>10192</v>
      </c>
      <c r="K5020" s="750">
        <v>2</v>
      </c>
      <c r="L5020" s="752">
        <v>11</v>
      </c>
      <c r="M5020" s="636">
        <f t="shared" si="62"/>
        <v>12100</v>
      </c>
      <c r="N5020" s="752">
        <v>1</v>
      </c>
      <c r="O5020" s="750">
        <v>6</v>
      </c>
      <c r="P5020" s="643">
        <f t="shared" si="61"/>
        <v>6600</v>
      </c>
    </row>
    <row r="5021" spans="1:16" s="619" customFormat="1" ht="36" x14ac:dyDescent="0.2">
      <c r="A5021" s="626" t="s">
        <v>10134</v>
      </c>
      <c r="B5021" s="626" t="s">
        <v>1908</v>
      </c>
      <c r="C5021" s="638" t="s">
        <v>104</v>
      </c>
      <c r="D5021" s="626" t="s">
        <v>3681</v>
      </c>
      <c r="E5021" s="636">
        <v>1100</v>
      </c>
      <c r="F5021" s="749" t="s">
        <v>10207</v>
      </c>
      <c r="G5021" s="626" t="s">
        <v>10208</v>
      </c>
      <c r="H5021" s="626" t="s">
        <v>3551</v>
      </c>
      <c r="I5021" s="638" t="s">
        <v>1919</v>
      </c>
      <c r="J5021" s="626" t="s">
        <v>10192</v>
      </c>
      <c r="K5021" s="750">
        <v>4</v>
      </c>
      <c r="L5021" s="752">
        <v>12</v>
      </c>
      <c r="M5021" s="636">
        <f t="shared" si="62"/>
        <v>13200</v>
      </c>
      <c r="N5021" s="752">
        <v>1</v>
      </c>
      <c r="O5021" s="750">
        <v>6</v>
      </c>
      <c r="P5021" s="643">
        <f t="shared" si="61"/>
        <v>6600</v>
      </c>
    </row>
    <row r="5022" spans="1:16" s="619" customFormat="1" ht="36" x14ac:dyDescent="0.2">
      <c r="A5022" s="626" t="s">
        <v>10134</v>
      </c>
      <c r="B5022" s="626" t="s">
        <v>1908</v>
      </c>
      <c r="C5022" s="638" t="s">
        <v>104</v>
      </c>
      <c r="D5022" s="626" t="s">
        <v>10198</v>
      </c>
      <c r="E5022" s="636">
        <v>1100</v>
      </c>
      <c r="F5022" s="749" t="s">
        <v>10209</v>
      </c>
      <c r="G5022" s="626" t="s">
        <v>10210</v>
      </c>
      <c r="H5022" s="626" t="s">
        <v>3551</v>
      </c>
      <c r="I5022" s="638" t="s">
        <v>1919</v>
      </c>
      <c r="J5022" s="626" t="s">
        <v>10192</v>
      </c>
      <c r="K5022" s="750">
        <v>4</v>
      </c>
      <c r="L5022" s="752">
        <v>12</v>
      </c>
      <c r="M5022" s="636">
        <f t="shared" si="62"/>
        <v>13200</v>
      </c>
      <c r="N5022" s="752">
        <v>1</v>
      </c>
      <c r="O5022" s="750">
        <v>6</v>
      </c>
      <c r="P5022" s="643">
        <f t="shared" si="61"/>
        <v>6600</v>
      </c>
    </row>
    <row r="5023" spans="1:16" s="619" customFormat="1" ht="24" x14ac:dyDescent="0.2">
      <c r="A5023" s="626" t="s">
        <v>10134</v>
      </c>
      <c r="B5023" s="626" t="s">
        <v>1908</v>
      </c>
      <c r="C5023" s="638" t="s">
        <v>104</v>
      </c>
      <c r="D5023" s="626" t="s">
        <v>3681</v>
      </c>
      <c r="E5023" s="636">
        <v>1100</v>
      </c>
      <c r="F5023" s="749" t="s">
        <v>10211</v>
      </c>
      <c r="G5023" s="626" t="s">
        <v>10212</v>
      </c>
      <c r="H5023" s="626" t="s">
        <v>3551</v>
      </c>
      <c r="I5023" s="638" t="s">
        <v>1919</v>
      </c>
      <c r="J5023" s="626" t="s">
        <v>10192</v>
      </c>
      <c r="K5023" s="750">
        <v>4</v>
      </c>
      <c r="L5023" s="752">
        <v>12</v>
      </c>
      <c r="M5023" s="636">
        <f t="shared" si="62"/>
        <v>13200</v>
      </c>
      <c r="N5023" s="752">
        <v>1</v>
      </c>
      <c r="O5023" s="750">
        <v>6</v>
      </c>
      <c r="P5023" s="643">
        <f t="shared" si="61"/>
        <v>6600</v>
      </c>
    </row>
    <row r="5024" spans="1:16" s="619" customFormat="1" ht="24" x14ac:dyDescent="0.2">
      <c r="A5024" s="626" t="s">
        <v>10134</v>
      </c>
      <c r="B5024" s="626" t="s">
        <v>1908</v>
      </c>
      <c r="C5024" s="638" t="s">
        <v>104</v>
      </c>
      <c r="D5024" s="626" t="s">
        <v>10213</v>
      </c>
      <c r="E5024" s="636">
        <v>1400</v>
      </c>
      <c r="F5024" s="749" t="s">
        <v>10214</v>
      </c>
      <c r="G5024" s="626" t="s">
        <v>10215</v>
      </c>
      <c r="H5024" s="626" t="s">
        <v>3551</v>
      </c>
      <c r="I5024" s="638" t="s">
        <v>1919</v>
      </c>
      <c r="J5024" s="626" t="s">
        <v>10192</v>
      </c>
      <c r="K5024" s="750">
        <v>4</v>
      </c>
      <c r="L5024" s="752">
        <v>12</v>
      </c>
      <c r="M5024" s="636">
        <f t="shared" si="62"/>
        <v>16800</v>
      </c>
      <c r="N5024" s="752">
        <v>1</v>
      </c>
      <c r="O5024" s="750">
        <v>6</v>
      </c>
      <c r="P5024" s="643">
        <f t="shared" si="61"/>
        <v>8400</v>
      </c>
    </row>
    <row r="5025" spans="1:16" s="619" customFormat="1" ht="24" x14ac:dyDescent="0.2">
      <c r="A5025" s="626" t="s">
        <v>10134</v>
      </c>
      <c r="B5025" s="626" t="s">
        <v>1908</v>
      </c>
      <c r="C5025" s="638" t="s">
        <v>104</v>
      </c>
      <c r="D5025" s="626" t="s">
        <v>7716</v>
      </c>
      <c r="E5025" s="636">
        <v>2800</v>
      </c>
      <c r="F5025" s="749" t="s">
        <v>10216</v>
      </c>
      <c r="G5025" s="626" t="s">
        <v>10217</v>
      </c>
      <c r="H5025" s="626" t="s">
        <v>7716</v>
      </c>
      <c r="I5025" s="638" t="s">
        <v>3149</v>
      </c>
      <c r="J5025" s="626" t="s">
        <v>1913</v>
      </c>
      <c r="K5025" s="750">
        <v>4</v>
      </c>
      <c r="L5025" s="752">
        <v>12</v>
      </c>
      <c r="M5025" s="636">
        <f t="shared" si="62"/>
        <v>33600</v>
      </c>
      <c r="N5025" s="752">
        <v>1</v>
      </c>
      <c r="O5025" s="750">
        <v>6</v>
      </c>
      <c r="P5025" s="643">
        <f t="shared" si="61"/>
        <v>16800</v>
      </c>
    </row>
    <row r="5026" spans="1:16" s="619" customFormat="1" ht="36" x14ac:dyDescent="0.2">
      <c r="A5026" s="626" t="s">
        <v>10134</v>
      </c>
      <c r="B5026" s="626" t="s">
        <v>1908</v>
      </c>
      <c r="C5026" s="638" t="s">
        <v>104</v>
      </c>
      <c r="D5026" s="626" t="s">
        <v>3178</v>
      </c>
      <c r="E5026" s="636">
        <v>2800</v>
      </c>
      <c r="F5026" s="749" t="s">
        <v>10218</v>
      </c>
      <c r="G5026" s="626" t="s">
        <v>10219</v>
      </c>
      <c r="H5026" s="626" t="s">
        <v>3178</v>
      </c>
      <c r="I5026" s="638" t="s">
        <v>10220</v>
      </c>
      <c r="J5026" s="626" t="s">
        <v>1913</v>
      </c>
      <c r="K5026" s="750">
        <v>1</v>
      </c>
      <c r="L5026" s="752">
        <v>4</v>
      </c>
      <c r="M5026" s="636">
        <f t="shared" si="62"/>
        <v>11200</v>
      </c>
      <c r="N5026" s="752">
        <v>1</v>
      </c>
      <c r="O5026" s="750">
        <v>6</v>
      </c>
      <c r="P5026" s="643">
        <f t="shared" si="61"/>
        <v>16800</v>
      </c>
    </row>
    <row r="5027" spans="1:16" s="619" customFormat="1" ht="24" x14ac:dyDescent="0.2">
      <c r="A5027" s="626" t="s">
        <v>10134</v>
      </c>
      <c r="B5027" s="626" t="s">
        <v>1908</v>
      </c>
      <c r="C5027" s="638" t="s">
        <v>104</v>
      </c>
      <c r="D5027" s="626" t="s">
        <v>10221</v>
      </c>
      <c r="E5027" s="636">
        <v>1400</v>
      </c>
      <c r="F5027" s="749" t="s">
        <v>10222</v>
      </c>
      <c r="G5027" s="626" t="s">
        <v>10223</v>
      </c>
      <c r="H5027" s="626" t="s">
        <v>3551</v>
      </c>
      <c r="I5027" s="638" t="s">
        <v>1919</v>
      </c>
      <c r="J5027" s="626" t="s">
        <v>10192</v>
      </c>
      <c r="K5027" s="750">
        <v>1</v>
      </c>
      <c r="L5027" s="752">
        <v>3</v>
      </c>
      <c r="M5027" s="636">
        <f t="shared" si="62"/>
        <v>4200</v>
      </c>
      <c r="N5027" s="752">
        <v>1</v>
      </c>
      <c r="O5027" s="750">
        <v>6</v>
      </c>
      <c r="P5027" s="643">
        <f t="shared" si="61"/>
        <v>8400</v>
      </c>
    </row>
    <row r="5028" spans="1:16" s="619" customFormat="1" ht="36" x14ac:dyDescent="0.2">
      <c r="A5028" s="626" t="s">
        <v>10134</v>
      </c>
      <c r="B5028" s="626" t="s">
        <v>1908</v>
      </c>
      <c r="C5028" s="638" t="s">
        <v>104</v>
      </c>
      <c r="D5028" s="626" t="s">
        <v>10144</v>
      </c>
      <c r="E5028" s="636">
        <v>1500</v>
      </c>
      <c r="F5028" s="749" t="s">
        <v>10224</v>
      </c>
      <c r="G5028" s="626" t="s">
        <v>10225</v>
      </c>
      <c r="H5028" s="626" t="s">
        <v>10144</v>
      </c>
      <c r="I5028" s="638" t="s">
        <v>10144</v>
      </c>
      <c r="J5028" s="626" t="s">
        <v>1931</v>
      </c>
      <c r="K5028" s="750">
        <v>0</v>
      </c>
      <c r="L5028" s="752">
        <v>0</v>
      </c>
      <c r="M5028" s="636">
        <f t="shared" si="62"/>
        <v>0</v>
      </c>
      <c r="N5028" s="752">
        <v>1</v>
      </c>
      <c r="O5028" s="750">
        <v>4</v>
      </c>
      <c r="P5028" s="643">
        <f t="shared" si="61"/>
        <v>6000</v>
      </c>
    </row>
    <row r="5029" spans="1:16" s="619" customFormat="1" ht="36" x14ac:dyDescent="0.2">
      <c r="A5029" s="626" t="s">
        <v>10134</v>
      </c>
      <c r="B5029" s="626" t="s">
        <v>1908</v>
      </c>
      <c r="C5029" s="638" t="s">
        <v>104</v>
      </c>
      <c r="D5029" s="626" t="s">
        <v>10144</v>
      </c>
      <c r="E5029" s="636">
        <v>1500</v>
      </c>
      <c r="F5029" s="749" t="s">
        <v>10226</v>
      </c>
      <c r="G5029" s="626" t="s">
        <v>10227</v>
      </c>
      <c r="H5029" s="626" t="s">
        <v>10144</v>
      </c>
      <c r="I5029" s="638" t="s">
        <v>10144</v>
      </c>
      <c r="J5029" s="626" t="s">
        <v>1931</v>
      </c>
      <c r="K5029" s="750">
        <v>4</v>
      </c>
      <c r="L5029" s="752">
        <v>12</v>
      </c>
      <c r="M5029" s="636">
        <f t="shared" si="60"/>
        <v>18000</v>
      </c>
      <c r="N5029" s="752">
        <v>1</v>
      </c>
      <c r="O5029" s="750">
        <v>6</v>
      </c>
      <c r="P5029" s="643">
        <f t="shared" si="61"/>
        <v>9000</v>
      </c>
    </row>
    <row r="5030" spans="1:16" s="619" customFormat="1" ht="24" x14ac:dyDescent="0.2">
      <c r="A5030" s="626" t="s">
        <v>10134</v>
      </c>
      <c r="B5030" s="626" t="s">
        <v>1908</v>
      </c>
      <c r="C5030" s="638" t="s">
        <v>104</v>
      </c>
      <c r="D5030" s="626" t="s">
        <v>6876</v>
      </c>
      <c r="E5030" s="636">
        <v>1400</v>
      </c>
      <c r="F5030" s="749" t="s">
        <v>10228</v>
      </c>
      <c r="G5030" s="626" t="s">
        <v>10229</v>
      </c>
      <c r="H5030" s="626" t="s">
        <v>10230</v>
      </c>
      <c r="I5030" s="638" t="s">
        <v>1919</v>
      </c>
      <c r="J5030" s="626" t="s">
        <v>10192</v>
      </c>
      <c r="K5030" s="750">
        <v>2</v>
      </c>
      <c r="L5030" s="752">
        <v>8</v>
      </c>
      <c r="M5030" s="636">
        <f t="shared" si="60"/>
        <v>11200</v>
      </c>
      <c r="N5030" s="752"/>
      <c r="O5030" s="750"/>
      <c r="P5030" s="643"/>
    </row>
    <row r="5031" spans="1:16" s="619" customFormat="1" ht="24" x14ac:dyDescent="0.2">
      <c r="A5031" s="626" t="s">
        <v>10134</v>
      </c>
      <c r="B5031" s="626" t="s">
        <v>1908</v>
      </c>
      <c r="C5031" s="638" t="s">
        <v>104</v>
      </c>
      <c r="D5031" s="626" t="s">
        <v>3677</v>
      </c>
      <c r="E5031" s="636">
        <v>1100</v>
      </c>
      <c r="F5031" s="749" t="s">
        <v>10231</v>
      </c>
      <c r="G5031" s="626" t="s">
        <v>10232</v>
      </c>
      <c r="H5031" s="626" t="s">
        <v>3551</v>
      </c>
      <c r="I5031" s="638" t="s">
        <v>1919</v>
      </c>
      <c r="J5031" s="626" t="s">
        <v>10192</v>
      </c>
      <c r="K5031" s="750">
        <v>1</v>
      </c>
      <c r="L5031" s="752">
        <v>4</v>
      </c>
      <c r="M5031" s="636">
        <f t="shared" si="60"/>
        <v>4400</v>
      </c>
      <c r="N5031" s="752">
        <v>1</v>
      </c>
      <c r="O5031" s="750">
        <v>6</v>
      </c>
      <c r="P5031" s="643">
        <f t="shared" si="61"/>
        <v>6600</v>
      </c>
    </row>
    <row r="5032" spans="1:16" s="619" customFormat="1" ht="24" x14ac:dyDescent="0.2">
      <c r="A5032" s="626" t="s">
        <v>10134</v>
      </c>
      <c r="B5032" s="626" t="s">
        <v>1908</v>
      </c>
      <c r="C5032" s="638" t="s">
        <v>104</v>
      </c>
      <c r="D5032" s="626" t="s">
        <v>10233</v>
      </c>
      <c r="E5032" s="636">
        <v>1400</v>
      </c>
      <c r="F5032" s="749" t="s">
        <v>10234</v>
      </c>
      <c r="G5032" s="626" t="s">
        <v>10235</v>
      </c>
      <c r="H5032" s="626" t="s">
        <v>3551</v>
      </c>
      <c r="I5032" s="638" t="s">
        <v>1919</v>
      </c>
      <c r="J5032" s="626" t="s">
        <v>10192</v>
      </c>
      <c r="K5032" s="750">
        <v>0</v>
      </c>
      <c r="L5032" s="752">
        <v>0</v>
      </c>
      <c r="M5032" s="636">
        <f t="shared" si="60"/>
        <v>0</v>
      </c>
      <c r="N5032" s="752">
        <v>1</v>
      </c>
      <c r="O5032" s="750">
        <v>3</v>
      </c>
      <c r="P5032" s="643">
        <f t="shared" si="61"/>
        <v>4200</v>
      </c>
    </row>
    <row r="5033" spans="1:16" s="619" customFormat="1" ht="24" x14ac:dyDescent="0.2">
      <c r="A5033" s="626" t="s">
        <v>10134</v>
      </c>
      <c r="B5033" s="626" t="s">
        <v>1908</v>
      </c>
      <c r="C5033" s="638" t="s">
        <v>104</v>
      </c>
      <c r="D5033" s="626" t="s">
        <v>10233</v>
      </c>
      <c r="E5033" s="636">
        <v>1400</v>
      </c>
      <c r="F5033" s="749" t="s">
        <v>10236</v>
      </c>
      <c r="G5033" s="626" t="s">
        <v>10237</v>
      </c>
      <c r="H5033" s="626" t="s">
        <v>3551</v>
      </c>
      <c r="I5033" s="638" t="s">
        <v>1919</v>
      </c>
      <c r="J5033" s="626" t="s">
        <v>10192</v>
      </c>
      <c r="K5033" s="750">
        <v>4</v>
      </c>
      <c r="L5033" s="752">
        <v>12</v>
      </c>
      <c r="M5033" s="636">
        <f t="shared" si="60"/>
        <v>16800</v>
      </c>
      <c r="N5033" s="752">
        <v>1</v>
      </c>
      <c r="O5033" s="750">
        <v>6</v>
      </c>
      <c r="P5033" s="643">
        <f t="shared" si="61"/>
        <v>8400</v>
      </c>
    </row>
    <row r="5034" spans="1:16" s="619" customFormat="1" ht="36" x14ac:dyDescent="0.2">
      <c r="A5034" s="626" t="s">
        <v>10134</v>
      </c>
      <c r="B5034" s="626" t="s">
        <v>1908</v>
      </c>
      <c r="C5034" s="638" t="s">
        <v>104</v>
      </c>
      <c r="D5034" s="626" t="s">
        <v>6198</v>
      </c>
      <c r="E5034" s="636">
        <v>2800</v>
      </c>
      <c r="F5034" s="749" t="s">
        <v>10238</v>
      </c>
      <c r="G5034" s="626" t="s">
        <v>10239</v>
      </c>
      <c r="H5034" s="626" t="s">
        <v>6198</v>
      </c>
      <c r="I5034" s="638" t="s">
        <v>8398</v>
      </c>
      <c r="J5034" s="626" t="s">
        <v>1913</v>
      </c>
      <c r="K5034" s="750">
        <v>3</v>
      </c>
      <c r="L5034" s="752">
        <v>6</v>
      </c>
      <c r="M5034" s="636">
        <f t="shared" si="60"/>
        <v>16800</v>
      </c>
      <c r="N5034" s="752">
        <v>1</v>
      </c>
      <c r="O5034" s="750">
        <v>6</v>
      </c>
      <c r="P5034" s="643">
        <f t="shared" si="61"/>
        <v>16800</v>
      </c>
    </row>
    <row r="5035" spans="1:16" s="619" customFormat="1" ht="24" x14ac:dyDescent="0.2">
      <c r="A5035" s="626" t="s">
        <v>10134</v>
      </c>
      <c r="B5035" s="626" t="s">
        <v>1908</v>
      </c>
      <c r="C5035" s="638" t="s">
        <v>104</v>
      </c>
      <c r="D5035" s="626" t="s">
        <v>10144</v>
      </c>
      <c r="E5035" s="636">
        <v>1500</v>
      </c>
      <c r="F5035" s="749" t="s">
        <v>10240</v>
      </c>
      <c r="G5035" s="626" t="s">
        <v>10241</v>
      </c>
      <c r="H5035" s="626" t="s">
        <v>10144</v>
      </c>
      <c r="I5035" s="638" t="s">
        <v>10144</v>
      </c>
      <c r="J5035" s="626" t="s">
        <v>3125</v>
      </c>
      <c r="K5035" s="750"/>
      <c r="L5035" s="752"/>
      <c r="M5035" s="636">
        <f t="shared" si="60"/>
        <v>0</v>
      </c>
      <c r="N5035" s="752">
        <v>0</v>
      </c>
      <c r="O5035" s="750"/>
      <c r="P5035" s="643">
        <f t="shared" si="61"/>
        <v>0</v>
      </c>
    </row>
    <row r="5036" spans="1:16" s="619" customFormat="1" ht="24" x14ac:dyDescent="0.2">
      <c r="A5036" s="626" t="s">
        <v>10134</v>
      </c>
      <c r="B5036" s="626" t="s">
        <v>1908</v>
      </c>
      <c r="C5036" s="638" t="s">
        <v>104</v>
      </c>
      <c r="D5036" s="626" t="s">
        <v>10242</v>
      </c>
      <c r="E5036" s="636">
        <v>1100</v>
      </c>
      <c r="F5036" s="749" t="s">
        <v>10243</v>
      </c>
      <c r="G5036" s="626" t="s">
        <v>10244</v>
      </c>
      <c r="H5036" s="626" t="s">
        <v>10245</v>
      </c>
      <c r="I5036" s="638" t="s">
        <v>10246</v>
      </c>
      <c r="J5036" s="626" t="s">
        <v>10247</v>
      </c>
      <c r="K5036" s="750"/>
      <c r="L5036" s="752"/>
      <c r="M5036" s="636">
        <f t="shared" si="60"/>
        <v>0</v>
      </c>
      <c r="N5036" s="752">
        <v>1</v>
      </c>
      <c r="O5036" s="750">
        <v>2</v>
      </c>
      <c r="P5036" s="643">
        <f t="shared" si="61"/>
        <v>2200</v>
      </c>
    </row>
    <row r="5037" spans="1:16" s="619" customFormat="1" ht="36" x14ac:dyDescent="0.2">
      <c r="A5037" s="626" t="s">
        <v>10134</v>
      </c>
      <c r="B5037" s="626" t="s">
        <v>1908</v>
      </c>
      <c r="C5037" s="638" t="s">
        <v>104</v>
      </c>
      <c r="D5037" s="626" t="s">
        <v>10248</v>
      </c>
      <c r="E5037" s="636">
        <v>3100</v>
      </c>
      <c r="F5037" s="749" t="s">
        <v>10249</v>
      </c>
      <c r="G5037" s="626" t="s">
        <v>10250</v>
      </c>
      <c r="H5037" s="626" t="s">
        <v>6101</v>
      </c>
      <c r="I5037" s="638" t="s">
        <v>6101</v>
      </c>
      <c r="J5037" s="626" t="s">
        <v>1913</v>
      </c>
      <c r="K5037" s="750">
        <v>4</v>
      </c>
      <c r="L5037" s="752">
        <v>12</v>
      </c>
      <c r="M5037" s="636">
        <f t="shared" si="60"/>
        <v>37200</v>
      </c>
      <c r="N5037" s="752">
        <v>1</v>
      </c>
      <c r="O5037" s="750">
        <v>6</v>
      </c>
      <c r="P5037" s="643">
        <f t="shared" si="61"/>
        <v>18600</v>
      </c>
    </row>
    <row r="5038" spans="1:16" s="619" customFormat="1" ht="36" x14ac:dyDescent="0.2">
      <c r="A5038" s="626" t="s">
        <v>10134</v>
      </c>
      <c r="B5038" s="626" t="s">
        <v>1908</v>
      </c>
      <c r="C5038" s="638" t="s">
        <v>104</v>
      </c>
      <c r="D5038" s="626" t="s">
        <v>6198</v>
      </c>
      <c r="E5038" s="636">
        <v>2800</v>
      </c>
      <c r="F5038" s="749" t="s">
        <v>6481</v>
      </c>
      <c r="G5038" s="626" t="s">
        <v>6482</v>
      </c>
      <c r="H5038" s="626" t="s">
        <v>6198</v>
      </c>
      <c r="I5038" s="638" t="s">
        <v>8398</v>
      </c>
      <c r="J5038" s="626" t="s">
        <v>1913</v>
      </c>
      <c r="K5038" s="750"/>
      <c r="L5038" s="752"/>
      <c r="M5038" s="636">
        <f t="shared" si="60"/>
        <v>0</v>
      </c>
      <c r="N5038" s="752">
        <v>1</v>
      </c>
      <c r="O5038" s="750">
        <v>4</v>
      </c>
      <c r="P5038" s="643">
        <f t="shared" si="61"/>
        <v>11200</v>
      </c>
    </row>
    <row r="5039" spans="1:16" s="619" customFormat="1" ht="24" x14ac:dyDescent="0.2">
      <c r="A5039" s="626" t="s">
        <v>10134</v>
      </c>
      <c r="B5039" s="626" t="s">
        <v>1908</v>
      </c>
      <c r="C5039" s="638" t="s">
        <v>104</v>
      </c>
      <c r="D5039" s="626" t="s">
        <v>10198</v>
      </c>
      <c r="E5039" s="636">
        <v>1100</v>
      </c>
      <c r="F5039" s="749" t="s">
        <v>10251</v>
      </c>
      <c r="G5039" s="626" t="s">
        <v>10252</v>
      </c>
      <c r="H5039" s="626" t="s">
        <v>1919</v>
      </c>
      <c r="I5039" s="638" t="s">
        <v>10192</v>
      </c>
      <c r="J5039" s="626" t="s">
        <v>10192</v>
      </c>
      <c r="K5039" s="750"/>
      <c r="L5039" s="752"/>
      <c r="M5039" s="636">
        <f t="shared" si="60"/>
        <v>0</v>
      </c>
      <c r="N5039" s="752">
        <v>1</v>
      </c>
      <c r="O5039" s="750">
        <v>3</v>
      </c>
      <c r="P5039" s="643">
        <f t="shared" si="61"/>
        <v>3300</v>
      </c>
    </row>
    <row r="5040" spans="1:16" s="619" customFormat="1" ht="36" x14ac:dyDescent="0.2">
      <c r="A5040" s="626" t="s">
        <v>10134</v>
      </c>
      <c r="B5040" s="626" t="s">
        <v>1908</v>
      </c>
      <c r="C5040" s="638" t="s">
        <v>104</v>
      </c>
      <c r="D5040" s="626" t="s">
        <v>2072</v>
      </c>
      <c r="E5040" s="636">
        <v>1500</v>
      </c>
      <c r="F5040" s="749" t="s">
        <v>10253</v>
      </c>
      <c r="G5040" s="626" t="s">
        <v>10254</v>
      </c>
      <c r="H5040" s="626" t="s">
        <v>2072</v>
      </c>
      <c r="I5040" s="638" t="s">
        <v>2072</v>
      </c>
      <c r="J5040" s="626" t="s">
        <v>1931</v>
      </c>
      <c r="K5040" s="750">
        <v>1</v>
      </c>
      <c r="L5040" s="752">
        <v>2</v>
      </c>
      <c r="M5040" s="636">
        <f t="shared" si="60"/>
        <v>3000</v>
      </c>
      <c r="N5040" s="752">
        <v>1</v>
      </c>
      <c r="O5040" s="750">
        <v>6</v>
      </c>
      <c r="P5040" s="643">
        <f t="shared" si="61"/>
        <v>9000</v>
      </c>
    </row>
    <row r="5041" spans="1:16" s="619" customFormat="1" ht="36" x14ac:dyDescent="0.2">
      <c r="A5041" s="626" t="s">
        <v>10134</v>
      </c>
      <c r="B5041" s="626" t="s">
        <v>1908</v>
      </c>
      <c r="C5041" s="638" t="s">
        <v>104</v>
      </c>
      <c r="D5041" s="626" t="s">
        <v>1919</v>
      </c>
      <c r="E5041" s="636">
        <v>1200</v>
      </c>
      <c r="F5041" s="749">
        <v>44798376</v>
      </c>
      <c r="G5041" s="626" t="s">
        <v>10255</v>
      </c>
      <c r="H5041" s="626" t="s">
        <v>1919</v>
      </c>
      <c r="I5041" s="638" t="s">
        <v>1919</v>
      </c>
      <c r="J5041" s="626" t="s">
        <v>10192</v>
      </c>
      <c r="K5041" s="750">
        <v>4</v>
      </c>
      <c r="L5041" s="752">
        <v>12</v>
      </c>
      <c r="M5041" s="636">
        <f t="shared" si="60"/>
        <v>14400</v>
      </c>
      <c r="N5041" s="752">
        <v>1</v>
      </c>
      <c r="O5041" s="750">
        <v>6</v>
      </c>
      <c r="P5041" s="643">
        <f t="shared" si="61"/>
        <v>7200</v>
      </c>
    </row>
    <row r="5042" spans="1:16" s="619" customFormat="1" ht="36" x14ac:dyDescent="0.2">
      <c r="A5042" s="626" t="s">
        <v>10134</v>
      </c>
      <c r="B5042" s="626" t="s">
        <v>1908</v>
      </c>
      <c r="C5042" s="638" t="s">
        <v>104</v>
      </c>
      <c r="D5042" s="626" t="s">
        <v>10256</v>
      </c>
      <c r="E5042" s="636">
        <v>3100</v>
      </c>
      <c r="F5042" s="749" t="s">
        <v>10257</v>
      </c>
      <c r="G5042" s="626" t="s">
        <v>10258</v>
      </c>
      <c r="H5042" s="626" t="s">
        <v>10256</v>
      </c>
      <c r="I5042" s="638" t="s">
        <v>10256</v>
      </c>
      <c r="J5042" s="626" t="s">
        <v>1913</v>
      </c>
      <c r="K5042" s="750">
        <v>4</v>
      </c>
      <c r="L5042" s="752">
        <v>12</v>
      </c>
      <c r="M5042" s="636">
        <f t="shared" si="60"/>
        <v>37200</v>
      </c>
      <c r="N5042" s="752">
        <v>1</v>
      </c>
      <c r="O5042" s="750">
        <v>6</v>
      </c>
      <c r="P5042" s="643">
        <f t="shared" si="61"/>
        <v>18600</v>
      </c>
    </row>
    <row r="5043" spans="1:16" s="619" customFormat="1" ht="24" x14ac:dyDescent="0.2">
      <c r="A5043" s="626" t="s">
        <v>10134</v>
      </c>
      <c r="B5043" s="626" t="s">
        <v>1908</v>
      </c>
      <c r="C5043" s="638" t="s">
        <v>104</v>
      </c>
      <c r="D5043" s="626" t="s">
        <v>6240</v>
      </c>
      <c r="E5043" s="636">
        <v>1500</v>
      </c>
      <c r="F5043" s="749" t="s">
        <v>10259</v>
      </c>
      <c r="G5043" s="626" t="s">
        <v>10260</v>
      </c>
      <c r="H5043" s="626" t="s">
        <v>6240</v>
      </c>
      <c r="I5043" s="638" t="s">
        <v>6240</v>
      </c>
      <c r="J5043" s="626" t="s">
        <v>1931</v>
      </c>
      <c r="K5043" s="750">
        <v>4</v>
      </c>
      <c r="L5043" s="752">
        <v>12</v>
      </c>
      <c r="M5043" s="636">
        <f t="shared" si="60"/>
        <v>18000</v>
      </c>
      <c r="N5043" s="752">
        <v>1</v>
      </c>
      <c r="O5043" s="750">
        <v>6</v>
      </c>
      <c r="P5043" s="643">
        <f t="shared" si="61"/>
        <v>9000</v>
      </c>
    </row>
    <row r="5044" spans="1:16" s="619" customFormat="1" ht="36" x14ac:dyDescent="0.2">
      <c r="A5044" s="626" t="s">
        <v>10134</v>
      </c>
      <c r="B5044" s="626" t="s">
        <v>1908</v>
      </c>
      <c r="C5044" s="638" t="s">
        <v>104</v>
      </c>
      <c r="D5044" s="626" t="s">
        <v>10261</v>
      </c>
      <c r="E5044" s="636">
        <v>1800</v>
      </c>
      <c r="F5044" s="749" t="s">
        <v>10262</v>
      </c>
      <c r="G5044" s="626" t="s">
        <v>10263</v>
      </c>
      <c r="H5044" s="626" t="s">
        <v>10261</v>
      </c>
      <c r="I5044" s="638" t="s">
        <v>10261</v>
      </c>
      <c r="J5044" s="626" t="s">
        <v>1931</v>
      </c>
      <c r="K5044" s="750">
        <v>4</v>
      </c>
      <c r="L5044" s="752">
        <v>12</v>
      </c>
      <c r="M5044" s="636">
        <f t="shared" si="60"/>
        <v>21600</v>
      </c>
      <c r="N5044" s="752">
        <v>1</v>
      </c>
      <c r="O5044" s="750">
        <v>6</v>
      </c>
      <c r="P5044" s="643">
        <f t="shared" si="61"/>
        <v>10800</v>
      </c>
    </row>
    <row r="5045" spans="1:16" s="619" customFormat="1" ht="36" x14ac:dyDescent="0.2">
      <c r="A5045" s="626" t="s">
        <v>10134</v>
      </c>
      <c r="B5045" s="626" t="s">
        <v>1908</v>
      </c>
      <c r="C5045" s="638" t="s">
        <v>104</v>
      </c>
      <c r="D5045" s="626" t="s">
        <v>1919</v>
      </c>
      <c r="E5045" s="636">
        <v>1400</v>
      </c>
      <c r="F5045" s="749" t="s">
        <v>10264</v>
      </c>
      <c r="G5045" s="626" t="s">
        <v>10265</v>
      </c>
      <c r="H5045" s="626" t="s">
        <v>1919</v>
      </c>
      <c r="I5045" s="638" t="s">
        <v>1919</v>
      </c>
      <c r="J5045" s="626" t="s">
        <v>10192</v>
      </c>
      <c r="K5045" s="750">
        <v>3</v>
      </c>
      <c r="L5045" s="752">
        <v>10</v>
      </c>
      <c r="M5045" s="636">
        <f t="shared" si="60"/>
        <v>14000</v>
      </c>
      <c r="N5045" s="752">
        <v>1</v>
      </c>
      <c r="O5045" s="750">
        <v>6</v>
      </c>
      <c r="P5045" s="643">
        <f t="shared" si="61"/>
        <v>8400</v>
      </c>
    </row>
    <row r="5046" spans="1:16" s="619" customFormat="1" ht="36" x14ac:dyDescent="0.2">
      <c r="A5046" s="626" t="s">
        <v>10134</v>
      </c>
      <c r="B5046" s="626" t="s">
        <v>1908</v>
      </c>
      <c r="C5046" s="638" t="s">
        <v>104</v>
      </c>
      <c r="D5046" s="626" t="s">
        <v>10261</v>
      </c>
      <c r="E5046" s="636">
        <v>2000</v>
      </c>
      <c r="F5046" s="749" t="s">
        <v>10266</v>
      </c>
      <c r="G5046" s="626" t="s">
        <v>10267</v>
      </c>
      <c r="H5046" s="626" t="s">
        <v>10261</v>
      </c>
      <c r="I5046" s="638" t="s">
        <v>10261</v>
      </c>
      <c r="J5046" s="626" t="s">
        <v>1931</v>
      </c>
      <c r="K5046" s="750">
        <v>4</v>
      </c>
      <c r="L5046" s="752">
        <v>12</v>
      </c>
      <c r="M5046" s="636">
        <f t="shared" si="60"/>
        <v>24000</v>
      </c>
      <c r="N5046" s="752">
        <v>1</v>
      </c>
      <c r="O5046" s="750">
        <v>6</v>
      </c>
      <c r="P5046" s="643">
        <f t="shared" si="61"/>
        <v>12000</v>
      </c>
    </row>
    <row r="5047" spans="1:16" s="619" customFormat="1" ht="24" x14ac:dyDescent="0.2">
      <c r="A5047" s="626" t="s">
        <v>10134</v>
      </c>
      <c r="B5047" s="626" t="s">
        <v>1908</v>
      </c>
      <c r="C5047" s="638" t="s">
        <v>104</v>
      </c>
      <c r="D5047" s="626" t="s">
        <v>2660</v>
      </c>
      <c r="E5047" s="636">
        <v>1500</v>
      </c>
      <c r="F5047" s="749" t="s">
        <v>10268</v>
      </c>
      <c r="G5047" s="626" t="s">
        <v>10269</v>
      </c>
      <c r="H5047" s="626" t="s">
        <v>2660</v>
      </c>
      <c r="I5047" s="638" t="s">
        <v>2660</v>
      </c>
      <c r="J5047" s="626" t="s">
        <v>1931</v>
      </c>
      <c r="K5047" s="750">
        <v>2</v>
      </c>
      <c r="L5047" s="752">
        <v>7</v>
      </c>
      <c r="M5047" s="636">
        <f t="shared" si="60"/>
        <v>10500</v>
      </c>
      <c r="N5047" s="752">
        <v>1</v>
      </c>
      <c r="O5047" s="750">
        <v>6</v>
      </c>
      <c r="P5047" s="643">
        <f t="shared" si="61"/>
        <v>9000</v>
      </c>
    </row>
    <row r="5048" spans="1:16" s="619" customFormat="1" ht="24" x14ac:dyDescent="0.2">
      <c r="A5048" s="626" t="s">
        <v>10134</v>
      </c>
      <c r="B5048" s="626" t="s">
        <v>1908</v>
      </c>
      <c r="C5048" s="638" t="s">
        <v>104</v>
      </c>
      <c r="D5048" s="626" t="s">
        <v>6240</v>
      </c>
      <c r="E5048" s="636">
        <v>1500</v>
      </c>
      <c r="F5048" s="749" t="s">
        <v>10270</v>
      </c>
      <c r="G5048" s="626" t="s">
        <v>10271</v>
      </c>
      <c r="H5048" s="626" t="s">
        <v>6240</v>
      </c>
      <c r="I5048" s="638" t="s">
        <v>6240</v>
      </c>
      <c r="J5048" s="626" t="s">
        <v>1931</v>
      </c>
      <c r="K5048" s="750">
        <v>3</v>
      </c>
      <c r="L5048" s="752">
        <v>10</v>
      </c>
      <c r="M5048" s="636">
        <f t="shared" si="60"/>
        <v>15000</v>
      </c>
      <c r="N5048" s="752">
        <v>1</v>
      </c>
      <c r="O5048" s="750">
        <v>6</v>
      </c>
      <c r="P5048" s="643">
        <f t="shared" si="61"/>
        <v>9000</v>
      </c>
    </row>
    <row r="5049" spans="1:16" s="619" customFormat="1" ht="36" x14ac:dyDescent="0.2">
      <c r="A5049" s="626" t="s">
        <v>10134</v>
      </c>
      <c r="B5049" s="626" t="s">
        <v>1908</v>
      </c>
      <c r="C5049" s="638" t="s">
        <v>104</v>
      </c>
      <c r="D5049" s="626" t="s">
        <v>10261</v>
      </c>
      <c r="E5049" s="636">
        <v>1800</v>
      </c>
      <c r="F5049" s="749" t="s">
        <v>10272</v>
      </c>
      <c r="G5049" s="626" t="s">
        <v>10273</v>
      </c>
      <c r="H5049" s="626" t="s">
        <v>10261</v>
      </c>
      <c r="I5049" s="638" t="s">
        <v>10261</v>
      </c>
      <c r="J5049" s="626" t="s">
        <v>1931</v>
      </c>
      <c r="K5049" s="750">
        <v>4</v>
      </c>
      <c r="L5049" s="752">
        <v>12</v>
      </c>
      <c r="M5049" s="636">
        <f t="shared" si="60"/>
        <v>21600</v>
      </c>
      <c r="N5049" s="752">
        <v>1</v>
      </c>
      <c r="O5049" s="750">
        <v>6</v>
      </c>
      <c r="P5049" s="643">
        <f t="shared" si="61"/>
        <v>10800</v>
      </c>
    </row>
    <row r="5050" spans="1:16" s="619" customFormat="1" ht="24" x14ac:dyDescent="0.2">
      <c r="A5050" s="626" t="s">
        <v>10134</v>
      </c>
      <c r="B5050" s="626" t="s">
        <v>1908</v>
      </c>
      <c r="C5050" s="638" t="s">
        <v>104</v>
      </c>
      <c r="D5050" s="626" t="s">
        <v>10274</v>
      </c>
      <c r="E5050" s="636">
        <v>1500</v>
      </c>
      <c r="F5050" s="749">
        <v>73447333</v>
      </c>
      <c r="G5050" s="626" t="s">
        <v>10275</v>
      </c>
      <c r="H5050" s="626" t="s">
        <v>10274</v>
      </c>
      <c r="I5050" s="638" t="s">
        <v>10274</v>
      </c>
      <c r="J5050" s="626" t="s">
        <v>1931</v>
      </c>
      <c r="K5050" s="750"/>
      <c r="L5050" s="752"/>
      <c r="M5050" s="636">
        <f t="shared" si="60"/>
        <v>0</v>
      </c>
      <c r="N5050" s="752">
        <v>1</v>
      </c>
      <c r="O5050" s="750">
        <v>6</v>
      </c>
      <c r="P5050" s="643">
        <f t="shared" si="61"/>
        <v>9000</v>
      </c>
    </row>
    <row r="5051" spans="1:16" s="619" customFormat="1" ht="24" x14ac:dyDescent="0.2">
      <c r="A5051" s="626" t="s">
        <v>10134</v>
      </c>
      <c r="B5051" s="626" t="s">
        <v>1908</v>
      </c>
      <c r="C5051" s="638" t="s">
        <v>104</v>
      </c>
      <c r="D5051" s="626" t="s">
        <v>2764</v>
      </c>
      <c r="E5051" s="636">
        <v>3100</v>
      </c>
      <c r="F5051" s="749" t="s">
        <v>10276</v>
      </c>
      <c r="G5051" s="626" t="s">
        <v>10277</v>
      </c>
      <c r="H5051" s="626" t="s">
        <v>2764</v>
      </c>
      <c r="I5051" s="638" t="s">
        <v>2764</v>
      </c>
      <c r="J5051" s="626" t="s">
        <v>1913</v>
      </c>
      <c r="K5051" s="750">
        <v>4</v>
      </c>
      <c r="L5051" s="752">
        <v>12</v>
      </c>
      <c r="M5051" s="636">
        <f t="shared" si="60"/>
        <v>37200</v>
      </c>
      <c r="N5051" s="752">
        <v>1</v>
      </c>
      <c r="O5051" s="750">
        <v>6</v>
      </c>
      <c r="P5051" s="643">
        <f t="shared" si="61"/>
        <v>18600</v>
      </c>
    </row>
    <row r="5052" spans="1:16" s="619" customFormat="1" ht="24" x14ac:dyDescent="0.2">
      <c r="A5052" s="626" t="s">
        <v>10134</v>
      </c>
      <c r="B5052" s="626" t="s">
        <v>1908</v>
      </c>
      <c r="C5052" s="638" t="s">
        <v>104</v>
      </c>
      <c r="D5052" s="626" t="s">
        <v>2660</v>
      </c>
      <c r="E5052" s="636">
        <v>1500</v>
      </c>
      <c r="F5052" s="749" t="s">
        <v>10278</v>
      </c>
      <c r="G5052" s="626" t="s">
        <v>10279</v>
      </c>
      <c r="H5052" s="626" t="s">
        <v>2660</v>
      </c>
      <c r="I5052" s="638" t="s">
        <v>2660</v>
      </c>
      <c r="J5052" s="626" t="s">
        <v>1931</v>
      </c>
      <c r="K5052" s="750"/>
      <c r="L5052" s="752"/>
      <c r="M5052" s="636">
        <f t="shared" si="60"/>
        <v>0</v>
      </c>
      <c r="N5052" s="752">
        <v>1</v>
      </c>
      <c r="O5052" s="750">
        <v>3</v>
      </c>
      <c r="P5052" s="643">
        <f t="shared" si="61"/>
        <v>4500</v>
      </c>
    </row>
    <row r="5053" spans="1:16" s="619" customFormat="1" ht="24" x14ac:dyDescent="0.2">
      <c r="A5053" s="626" t="s">
        <v>10134</v>
      </c>
      <c r="B5053" s="626" t="s">
        <v>1908</v>
      </c>
      <c r="C5053" s="638" t="s">
        <v>104</v>
      </c>
      <c r="D5053" s="626" t="s">
        <v>2660</v>
      </c>
      <c r="E5053" s="636">
        <v>1500</v>
      </c>
      <c r="F5053" s="749" t="s">
        <v>10280</v>
      </c>
      <c r="G5053" s="626" t="s">
        <v>10281</v>
      </c>
      <c r="H5053" s="626" t="s">
        <v>2660</v>
      </c>
      <c r="I5053" s="638" t="s">
        <v>2660</v>
      </c>
      <c r="J5053" s="626" t="s">
        <v>1931</v>
      </c>
      <c r="K5053" s="750">
        <v>4</v>
      </c>
      <c r="L5053" s="752">
        <v>12</v>
      </c>
      <c r="M5053" s="636">
        <f t="shared" si="60"/>
        <v>18000</v>
      </c>
      <c r="N5053" s="752">
        <v>1</v>
      </c>
      <c r="O5053" s="750">
        <v>6</v>
      </c>
      <c r="P5053" s="643">
        <f t="shared" si="61"/>
        <v>9000</v>
      </c>
    </row>
    <row r="5054" spans="1:16" s="619" customFormat="1" ht="24" x14ac:dyDescent="0.2">
      <c r="A5054" s="626" t="s">
        <v>10134</v>
      </c>
      <c r="B5054" s="626" t="s">
        <v>1908</v>
      </c>
      <c r="C5054" s="638" t="s">
        <v>104</v>
      </c>
      <c r="D5054" s="626" t="s">
        <v>2660</v>
      </c>
      <c r="E5054" s="636">
        <v>1300</v>
      </c>
      <c r="F5054" s="749" t="s">
        <v>10282</v>
      </c>
      <c r="G5054" s="626" t="s">
        <v>10283</v>
      </c>
      <c r="H5054" s="626" t="s">
        <v>2660</v>
      </c>
      <c r="I5054" s="638" t="s">
        <v>2660</v>
      </c>
      <c r="J5054" s="626" t="s">
        <v>1931</v>
      </c>
      <c r="K5054" s="750">
        <v>1</v>
      </c>
      <c r="L5054" s="752">
        <v>3</v>
      </c>
      <c r="M5054" s="636">
        <f t="shared" si="60"/>
        <v>3900</v>
      </c>
      <c r="N5054" s="752">
        <v>1</v>
      </c>
      <c r="O5054" s="750">
        <v>2</v>
      </c>
      <c r="P5054" s="643">
        <f t="shared" si="61"/>
        <v>2600</v>
      </c>
    </row>
    <row r="5055" spans="1:16" s="619" customFormat="1" ht="24" x14ac:dyDescent="0.2">
      <c r="A5055" s="626" t="s">
        <v>10134</v>
      </c>
      <c r="B5055" s="626" t="s">
        <v>1908</v>
      </c>
      <c r="C5055" s="638" t="s">
        <v>104</v>
      </c>
      <c r="D5055" s="626" t="s">
        <v>10256</v>
      </c>
      <c r="E5055" s="636">
        <v>3100</v>
      </c>
      <c r="F5055" s="749" t="s">
        <v>10284</v>
      </c>
      <c r="G5055" s="626" t="s">
        <v>10285</v>
      </c>
      <c r="H5055" s="626" t="s">
        <v>10256</v>
      </c>
      <c r="I5055" s="638" t="s">
        <v>10256</v>
      </c>
      <c r="J5055" s="626" t="s">
        <v>1913</v>
      </c>
      <c r="K5055" s="750">
        <v>4</v>
      </c>
      <c r="L5055" s="752">
        <v>12</v>
      </c>
      <c r="M5055" s="636">
        <f t="shared" si="60"/>
        <v>37200</v>
      </c>
      <c r="N5055" s="752">
        <v>1</v>
      </c>
      <c r="O5055" s="750">
        <v>6</v>
      </c>
      <c r="P5055" s="643">
        <f t="shared" si="61"/>
        <v>18600</v>
      </c>
    </row>
    <row r="5056" spans="1:16" s="619" customFormat="1" ht="36" x14ac:dyDescent="0.2">
      <c r="A5056" s="626" t="s">
        <v>10134</v>
      </c>
      <c r="B5056" s="626" t="s">
        <v>1908</v>
      </c>
      <c r="C5056" s="638" t="s">
        <v>104</v>
      </c>
      <c r="D5056" s="626" t="s">
        <v>2764</v>
      </c>
      <c r="E5056" s="636">
        <v>3100</v>
      </c>
      <c r="F5056" s="749" t="s">
        <v>10286</v>
      </c>
      <c r="G5056" s="626" t="s">
        <v>10287</v>
      </c>
      <c r="H5056" s="626" t="s">
        <v>2764</v>
      </c>
      <c r="I5056" s="638" t="s">
        <v>2764</v>
      </c>
      <c r="J5056" s="626" t="s">
        <v>1913</v>
      </c>
      <c r="K5056" s="750">
        <v>4</v>
      </c>
      <c r="L5056" s="752">
        <v>12</v>
      </c>
      <c r="M5056" s="636">
        <f t="shared" si="60"/>
        <v>37200</v>
      </c>
      <c r="N5056" s="752">
        <v>1</v>
      </c>
      <c r="O5056" s="750">
        <v>6</v>
      </c>
      <c r="P5056" s="643">
        <f t="shared" si="61"/>
        <v>18600</v>
      </c>
    </row>
    <row r="5057" spans="1:16" s="619" customFormat="1" ht="24" x14ac:dyDescent="0.2">
      <c r="A5057" s="626" t="s">
        <v>10134</v>
      </c>
      <c r="B5057" s="626" t="s">
        <v>1908</v>
      </c>
      <c r="C5057" s="638" t="s">
        <v>104</v>
      </c>
      <c r="D5057" s="626" t="s">
        <v>2072</v>
      </c>
      <c r="E5057" s="636">
        <v>1500</v>
      </c>
      <c r="F5057" s="749" t="s">
        <v>10288</v>
      </c>
      <c r="G5057" s="626" t="s">
        <v>10289</v>
      </c>
      <c r="H5057" s="626" t="s">
        <v>2072</v>
      </c>
      <c r="I5057" s="638" t="s">
        <v>2072</v>
      </c>
      <c r="J5057" s="626" t="s">
        <v>1931</v>
      </c>
      <c r="K5057" s="750">
        <v>4</v>
      </c>
      <c r="L5057" s="752">
        <v>12</v>
      </c>
      <c r="M5057" s="636">
        <f t="shared" si="60"/>
        <v>18000</v>
      </c>
      <c r="N5057" s="752">
        <v>1</v>
      </c>
      <c r="O5057" s="750">
        <v>6</v>
      </c>
      <c r="P5057" s="643">
        <f t="shared" si="61"/>
        <v>9000</v>
      </c>
    </row>
    <row r="5058" spans="1:16" s="619" customFormat="1" ht="24" x14ac:dyDescent="0.2">
      <c r="A5058" s="626" t="s">
        <v>10134</v>
      </c>
      <c r="B5058" s="626" t="s">
        <v>1908</v>
      </c>
      <c r="C5058" s="638" t="s">
        <v>104</v>
      </c>
      <c r="D5058" s="626" t="s">
        <v>6299</v>
      </c>
      <c r="E5058" s="636">
        <v>1500</v>
      </c>
      <c r="F5058" s="749" t="s">
        <v>10290</v>
      </c>
      <c r="G5058" s="626" t="s">
        <v>10291</v>
      </c>
      <c r="H5058" s="626" t="s">
        <v>6299</v>
      </c>
      <c r="I5058" s="638" t="s">
        <v>6299</v>
      </c>
      <c r="J5058" s="626" t="s">
        <v>1931</v>
      </c>
      <c r="K5058" s="750">
        <v>4</v>
      </c>
      <c r="L5058" s="752">
        <v>12</v>
      </c>
      <c r="M5058" s="636">
        <f t="shared" si="60"/>
        <v>18000</v>
      </c>
      <c r="N5058" s="752">
        <v>1</v>
      </c>
      <c r="O5058" s="750">
        <v>6</v>
      </c>
      <c r="P5058" s="643">
        <f t="shared" si="61"/>
        <v>9000</v>
      </c>
    </row>
    <row r="5059" spans="1:16" s="619" customFormat="1" ht="24" x14ac:dyDescent="0.2">
      <c r="A5059" s="626" t="s">
        <v>10134</v>
      </c>
      <c r="B5059" s="626" t="s">
        <v>1908</v>
      </c>
      <c r="C5059" s="638" t="s">
        <v>104</v>
      </c>
      <c r="D5059" s="626" t="s">
        <v>6101</v>
      </c>
      <c r="E5059" s="636">
        <v>3100</v>
      </c>
      <c r="F5059" s="749" t="s">
        <v>10292</v>
      </c>
      <c r="G5059" s="626" t="s">
        <v>10293</v>
      </c>
      <c r="H5059" s="626" t="s">
        <v>6101</v>
      </c>
      <c r="I5059" s="638" t="s">
        <v>6101</v>
      </c>
      <c r="J5059" s="626" t="s">
        <v>1913</v>
      </c>
      <c r="K5059" s="750">
        <v>3</v>
      </c>
      <c r="L5059" s="752">
        <v>8</v>
      </c>
      <c r="M5059" s="636">
        <f t="shared" ref="M5059:M5124" si="63">E5059*L5059</f>
        <v>24800</v>
      </c>
      <c r="N5059" s="752">
        <v>1</v>
      </c>
      <c r="O5059" s="750">
        <v>6</v>
      </c>
      <c r="P5059" s="643">
        <f t="shared" ref="P5059:P5124" si="64">E5059*O5059</f>
        <v>18600</v>
      </c>
    </row>
    <row r="5060" spans="1:16" s="619" customFormat="1" ht="48" x14ac:dyDescent="0.2">
      <c r="A5060" s="626" t="s">
        <v>10134</v>
      </c>
      <c r="B5060" s="626" t="s">
        <v>1908</v>
      </c>
      <c r="C5060" s="638" t="s">
        <v>104</v>
      </c>
      <c r="D5060" s="626" t="s">
        <v>1919</v>
      </c>
      <c r="E5060" s="636">
        <v>1400</v>
      </c>
      <c r="F5060" s="749" t="s">
        <v>10294</v>
      </c>
      <c r="G5060" s="626" t="s">
        <v>10295</v>
      </c>
      <c r="H5060" s="626" t="s">
        <v>1919</v>
      </c>
      <c r="I5060" s="638" t="s">
        <v>1919</v>
      </c>
      <c r="J5060" s="626" t="s">
        <v>10192</v>
      </c>
      <c r="K5060" s="750">
        <v>4</v>
      </c>
      <c r="L5060" s="752">
        <v>12</v>
      </c>
      <c r="M5060" s="636">
        <f t="shared" si="63"/>
        <v>16800</v>
      </c>
      <c r="N5060" s="752">
        <v>1</v>
      </c>
      <c r="O5060" s="750">
        <v>6</v>
      </c>
      <c r="P5060" s="643">
        <f t="shared" si="64"/>
        <v>8400</v>
      </c>
    </row>
    <row r="5061" spans="1:16" s="619" customFormat="1" ht="36" x14ac:dyDescent="0.2">
      <c r="A5061" s="626" t="s">
        <v>10134</v>
      </c>
      <c r="B5061" s="626" t="s">
        <v>1908</v>
      </c>
      <c r="C5061" s="638" t="s">
        <v>104</v>
      </c>
      <c r="D5061" s="626" t="s">
        <v>2660</v>
      </c>
      <c r="E5061" s="636">
        <v>1500</v>
      </c>
      <c r="F5061" s="749" t="s">
        <v>10296</v>
      </c>
      <c r="G5061" s="626" t="s">
        <v>10297</v>
      </c>
      <c r="H5061" s="626" t="s">
        <v>2660</v>
      </c>
      <c r="I5061" s="638" t="s">
        <v>2660</v>
      </c>
      <c r="J5061" s="626" t="s">
        <v>1931</v>
      </c>
      <c r="K5061" s="750">
        <v>4</v>
      </c>
      <c r="L5061" s="752">
        <v>12</v>
      </c>
      <c r="M5061" s="636">
        <f t="shared" si="63"/>
        <v>18000</v>
      </c>
      <c r="N5061" s="752">
        <v>1</v>
      </c>
      <c r="O5061" s="750">
        <v>6</v>
      </c>
      <c r="P5061" s="643">
        <f t="shared" si="64"/>
        <v>9000</v>
      </c>
    </row>
    <row r="5062" spans="1:16" s="619" customFormat="1" ht="24" x14ac:dyDescent="0.2">
      <c r="A5062" s="626" t="s">
        <v>10134</v>
      </c>
      <c r="B5062" s="626" t="s">
        <v>1908</v>
      </c>
      <c r="C5062" s="638" t="s">
        <v>104</v>
      </c>
      <c r="D5062" s="626" t="s">
        <v>2660</v>
      </c>
      <c r="E5062" s="636">
        <v>1500</v>
      </c>
      <c r="F5062" s="749" t="s">
        <v>10298</v>
      </c>
      <c r="G5062" s="626" t="s">
        <v>10299</v>
      </c>
      <c r="H5062" s="626" t="s">
        <v>2660</v>
      </c>
      <c r="I5062" s="638" t="s">
        <v>2660</v>
      </c>
      <c r="J5062" s="626" t="s">
        <v>1931</v>
      </c>
      <c r="K5062" s="750">
        <v>4</v>
      </c>
      <c r="L5062" s="752">
        <v>12</v>
      </c>
      <c r="M5062" s="636">
        <f t="shared" si="63"/>
        <v>18000</v>
      </c>
      <c r="N5062" s="752">
        <v>1</v>
      </c>
      <c r="O5062" s="750">
        <v>6</v>
      </c>
      <c r="P5062" s="643">
        <f t="shared" si="64"/>
        <v>9000</v>
      </c>
    </row>
    <row r="5063" spans="1:16" s="619" customFormat="1" ht="24" x14ac:dyDescent="0.2">
      <c r="A5063" s="626" t="s">
        <v>10134</v>
      </c>
      <c r="B5063" s="626" t="s">
        <v>1908</v>
      </c>
      <c r="C5063" s="638" t="s">
        <v>104</v>
      </c>
      <c r="D5063" s="626" t="s">
        <v>6240</v>
      </c>
      <c r="E5063" s="636">
        <v>1500</v>
      </c>
      <c r="F5063" s="749" t="s">
        <v>10300</v>
      </c>
      <c r="G5063" s="626" t="s">
        <v>10301</v>
      </c>
      <c r="H5063" s="626" t="s">
        <v>6240</v>
      </c>
      <c r="I5063" s="638" t="s">
        <v>6240</v>
      </c>
      <c r="J5063" s="626" t="s">
        <v>1931</v>
      </c>
      <c r="K5063" s="750">
        <v>4</v>
      </c>
      <c r="L5063" s="752">
        <v>12</v>
      </c>
      <c r="M5063" s="636">
        <f t="shared" si="63"/>
        <v>18000</v>
      </c>
      <c r="N5063" s="752">
        <v>1</v>
      </c>
      <c r="O5063" s="750">
        <v>6</v>
      </c>
      <c r="P5063" s="643">
        <f t="shared" si="64"/>
        <v>9000</v>
      </c>
    </row>
    <row r="5064" spans="1:16" s="619" customFormat="1" ht="24" x14ac:dyDescent="0.2">
      <c r="A5064" s="626" t="s">
        <v>10134</v>
      </c>
      <c r="B5064" s="626" t="s">
        <v>1908</v>
      </c>
      <c r="C5064" s="638" t="s">
        <v>104</v>
      </c>
      <c r="D5064" s="626" t="s">
        <v>10302</v>
      </c>
      <c r="E5064" s="636">
        <v>1500</v>
      </c>
      <c r="F5064" s="749" t="s">
        <v>10303</v>
      </c>
      <c r="G5064" s="626" t="s">
        <v>10304</v>
      </c>
      <c r="H5064" s="626" t="s">
        <v>10302</v>
      </c>
      <c r="I5064" s="638" t="s">
        <v>10302</v>
      </c>
      <c r="J5064" s="626" t="s">
        <v>1931</v>
      </c>
      <c r="K5064" s="750">
        <v>4</v>
      </c>
      <c r="L5064" s="752">
        <v>12</v>
      </c>
      <c r="M5064" s="636">
        <f t="shared" si="63"/>
        <v>18000</v>
      </c>
      <c r="N5064" s="752">
        <v>1</v>
      </c>
      <c r="O5064" s="750">
        <v>6</v>
      </c>
      <c r="P5064" s="643">
        <f t="shared" si="64"/>
        <v>9000</v>
      </c>
    </row>
    <row r="5065" spans="1:16" s="619" customFormat="1" ht="36" x14ac:dyDescent="0.2">
      <c r="A5065" s="626" t="s">
        <v>10134</v>
      </c>
      <c r="B5065" s="626" t="s">
        <v>1908</v>
      </c>
      <c r="C5065" s="638" t="s">
        <v>104</v>
      </c>
      <c r="D5065" s="626" t="s">
        <v>10302</v>
      </c>
      <c r="E5065" s="636">
        <v>1500</v>
      </c>
      <c r="F5065" s="749" t="s">
        <v>10305</v>
      </c>
      <c r="G5065" s="626" t="s">
        <v>10306</v>
      </c>
      <c r="H5065" s="626" t="s">
        <v>10302</v>
      </c>
      <c r="I5065" s="638" t="s">
        <v>10302</v>
      </c>
      <c r="J5065" s="626" t="s">
        <v>1931</v>
      </c>
      <c r="K5065" s="750">
        <v>4</v>
      </c>
      <c r="L5065" s="752">
        <v>12</v>
      </c>
      <c r="M5065" s="636">
        <f t="shared" si="63"/>
        <v>18000</v>
      </c>
      <c r="N5065" s="752">
        <v>1</v>
      </c>
      <c r="O5065" s="750">
        <v>6</v>
      </c>
      <c r="P5065" s="643">
        <f t="shared" si="64"/>
        <v>9000</v>
      </c>
    </row>
    <row r="5066" spans="1:16" s="619" customFormat="1" ht="24" x14ac:dyDescent="0.2">
      <c r="A5066" s="626" t="s">
        <v>10134</v>
      </c>
      <c r="B5066" s="626" t="s">
        <v>1908</v>
      </c>
      <c r="C5066" s="638" t="s">
        <v>104</v>
      </c>
      <c r="D5066" s="626" t="s">
        <v>1919</v>
      </c>
      <c r="E5066" s="636">
        <v>1100</v>
      </c>
      <c r="F5066" s="749" t="s">
        <v>10307</v>
      </c>
      <c r="G5066" s="626" t="s">
        <v>10308</v>
      </c>
      <c r="H5066" s="626" t="s">
        <v>1919</v>
      </c>
      <c r="I5066" s="638" t="s">
        <v>1919</v>
      </c>
      <c r="J5066" s="626" t="s">
        <v>10192</v>
      </c>
      <c r="K5066" s="750">
        <v>4</v>
      </c>
      <c r="L5066" s="752">
        <v>12</v>
      </c>
      <c r="M5066" s="636">
        <f t="shared" si="63"/>
        <v>13200</v>
      </c>
      <c r="N5066" s="752">
        <v>1</v>
      </c>
      <c r="O5066" s="750">
        <v>6</v>
      </c>
      <c r="P5066" s="643">
        <f t="shared" si="64"/>
        <v>6600</v>
      </c>
    </row>
    <row r="5067" spans="1:16" s="619" customFormat="1" ht="48" x14ac:dyDescent="0.2">
      <c r="A5067" s="626" t="s">
        <v>10134</v>
      </c>
      <c r="B5067" s="626" t="s">
        <v>1908</v>
      </c>
      <c r="C5067" s="638" t="s">
        <v>104</v>
      </c>
      <c r="D5067" s="626" t="s">
        <v>6101</v>
      </c>
      <c r="E5067" s="636">
        <v>3100</v>
      </c>
      <c r="F5067" s="749" t="s">
        <v>10309</v>
      </c>
      <c r="G5067" s="626" t="s">
        <v>10310</v>
      </c>
      <c r="H5067" s="626" t="s">
        <v>6101</v>
      </c>
      <c r="I5067" s="638" t="s">
        <v>6101</v>
      </c>
      <c r="J5067" s="626" t="s">
        <v>1913</v>
      </c>
      <c r="K5067" s="750">
        <v>4</v>
      </c>
      <c r="L5067" s="752">
        <v>12</v>
      </c>
      <c r="M5067" s="636">
        <f t="shared" si="63"/>
        <v>37200</v>
      </c>
      <c r="N5067" s="752">
        <v>1</v>
      </c>
      <c r="O5067" s="750">
        <v>6</v>
      </c>
      <c r="P5067" s="643">
        <f t="shared" si="64"/>
        <v>18600</v>
      </c>
    </row>
    <row r="5068" spans="1:16" s="619" customFormat="1" ht="36" x14ac:dyDescent="0.2">
      <c r="A5068" s="626" t="s">
        <v>10134</v>
      </c>
      <c r="B5068" s="626" t="s">
        <v>1908</v>
      </c>
      <c r="C5068" s="638" t="s">
        <v>104</v>
      </c>
      <c r="D5068" s="626" t="s">
        <v>8377</v>
      </c>
      <c r="E5068" s="636">
        <v>1200</v>
      </c>
      <c r="F5068" s="749" t="s">
        <v>10311</v>
      </c>
      <c r="G5068" s="626" t="s">
        <v>10312</v>
      </c>
      <c r="H5068" s="626" t="s">
        <v>8377</v>
      </c>
      <c r="I5068" s="638" t="s">
        <v>8377</v>
      </c>
      <c r="J5068" s="626" t="s">
        <v>10247</v>
      </c>
      <c r="K5068" s="750">
        <v>4</v>
      </c>
      <c r="L5068" s="752">
        <v>12</v>
      </c>
      <c r="M5068" s="636">
        <f t="shared" si="63"/>
        <v>14400</v>
      </c>
      <c r="N5068" s="752">
        <v>1</v>
      </c>
      <c r="O5068" s="750">
        <v>6</v>
      </c>
      <c r="P5068" s="643">
        <f t="shared" si="64"/>
        <v>7200</v>
      </c>
    </row>
    <row r="5069" spans="1:16" s="619" customFormat="1" ht="24" x14ac:dyDescent="0.2">
      <c r="A5069" s="626" t="s">
        <v>10134</v>
      </c>
      <c r="B5069" s="626" t="s">
        <v>1908</v>
      </c>
      <c r="C5069" s="638" t="s">
        <v>104</v>
      </c>
      <c r="D5069" s="626" t="s">
        <v>1919</v>
      </c>
      <c r="E5069" s="636">
        <v>1100</v>
      </c>
      <c r="F5069" s="749" t="s">
        <v>10313</v>
      </c>
      <c r="G5069" s="626" t="s">
        <v>10314</v>
      </c>
      <c r="H5069" s="626" t="s">
        <v>1919</v>
      </c>
      <c r="I5069" s="638" t="s">
        <v>1919</v>
      </c>
      <c r="J5069" s="626" t="s">
        <v>10192</v>
      </c>
      <c r="K5069" s="750">
        <v>4</v>
      </c>
      <c r="L5069" s="752">
        <v>12</v>
      </c>
      <c r="M5069" s="636">
        <f t="shared" si="63"/>
        <v>13200</v>
      </c>
      <c r="N5069" s="752">
        <v>1</v>
      </c>
      <c r="O5069" s="750">
        <v>6</v>
      </c>
      <c r="P5069" s="643">
        <f t="shared" si="64"/>
        <v>6600</v>
      </c>
    </row>
    <row r="5070" spans="1:16" s="619" customFormat="1" ht="24" x14ac:dyDescent="0.2">
      <c r="A5070" s="626" t="s">
        <v>10134</v>
      </c>
      <c r="B5070" s="626" t="s">
        <v>1908</v>
      </c>
      <c r="C5070" s="638" t="s">
        <v>104</v>
      </c>
      <c r="D5070" s="626" t="s">
        <v>1919</v>
      </c>
      <c r="E5070" s="636">
        <v>1100</v>
      </c>
      <c r="F5070" s="749" t="s">
        <v>10315</v>
      </c>
      <c r="G5070" s="626" t="s">
        <v>10316</v>
      </c>
      <c r="H5070" s="626" t="s">
        <v>1919</v>
      </c>
      <c r="I5070" s="638" t="s">
        <v>1919</v>
      </c>
      <c r="J5070" s="626" t="s">
        <v>10192</v>
      </c>
      <c r="K5070" s="750">
        <v>4</v>
      </c>
      <c r="L5070" s="752">
        <v>12</v>
      </c>
      <c r="M5070" s="636">
        <f t="shared" si="63"/>
        <v>13200</v>
      </c>
      <c r="N5070" s="752">
        <v>1</v>
      </c>
      <c r="O5070" s="750">
        <v>6</v>
      </c>
      <c r="P5070" s="643">
        <f t="shared" si="64"/>
        <v>6600</v>
      </c>
    </row>
    <row r="5071" spans="1:16" s="619" customFormat="1" ht="24" x14ac:dyDescent="0.2">
      <c r="A5071" s="626" t="s">
        <v>10134</v>
      </c>
      <c r="B5071" s="626" t="s">
        <v>1908</v>
      </c>
      <c r="C5071" s="638" t="s">
        <v>104</v>
      </c>
      <c r="D5071" s="626" t="s">
        <v>2660</v>
      </c>
      <c r="E5071" s="636">
        <v>1500</v>
      </c>
      <c r="F5071" s="749" t="s">
        <v>10317</v>
      </c>
      <c r="G5071" s="626" t="s">
        <v>10318</v>
      </c>
      <c r="H5071" s="626" t="s">
        <v>2660</v>
      </c>
      <c r="I5071" s="638" t="s">
        <v>2660</v>
      </c>
      <c r="J5071" s="626" t="s">
        <v>1931</v>
      </c>
      <c r="K5071" s="750">
        <v>4</v>
      </c>
      <c r="L5071" s="752">
        <v>12</v>
      </c>
      <c r="M5071" s="636">
        <f t="shared" si="63"/>
        <v>18000</v>
      </c>
      <c r="N5071" s="752">
        <v>1</v>
      </c>
      <c r="O5071" s="750">
        <v>6</v>
      </c>
      <c r="P5071" s="643">
        <f t="shared" si="64"/>
        <v>9000</v>
      </c>
    </row>
    <row r="5072" spans="1:16" s="619" customFormat="1" ht="24" x14ac:dyDescent="0.2">
      <c r="A5072" s="626" t="s">
        <v>10134</v>
      </c>
      <c r="B5072" s="626" t="s">
        <v>1908</v>
      </c>
      <c r="C5072" s="638" t="s">
        <v>104</v>
      </c>
      <c r="D5072" s="626" t="s">
        <v>2660</v>
      </c>
      <c r="E5072" s="636">
        <v>1500</v>
      </c>
      <c r="F5072" s="749" t="s">
        <v>10319</v>
      </c>
      <c r="G5072" s="626" t="s">
        <v>10320</v>
      </c>
      <c r="H5072" s="626" t="s">
        <v>2660</v>
      </c>
      <c r="I5072" s="638" t="s">
        <v>2660</v>
      </c>
      <c r="J5072" s="626" t="s">
        <v>1931</v>
      </c>
      <c r="K5072" s="750">
        <v>4</v>
      </c>
      <c r="L5072" s="752">
        <v>12</v>
      </c>
      <c r="M5072" s="636">
        <f t="shared" si="63"/>
        <v>18000</v>
      </c>
      <c r="N5072" s="752">
        <v>1</v>
      </c>
      <c r="O5072" s="750">
        <v>6</v>
      </c>
      <c r="P5072" s="643">
        <f t="shared" si="64"/>
        <v>9000</v>
      </c>
    </row>
    <row r="5073" spans="1:16" s="619" customFormat="1" ht="24" x14ac:dyDescent="0.2">
      <c r="A5073" s="626" t="s">
        <v>10134</v>
      </c>
      <c r="B5073" s="626" t="s">
        <v>1908</v>
      </c>
      <c r="C5073" s="638" t="s">
        <v>104</v>
      </c>
      <c r="D5073" s="626" t="s">
        <v>2660</v>
      </c>
      <c r="E5073" s="636">
        <v>1500</v>
      </c>
      <c r="F5073" s="749" t="s">
        <v>10321</v>
      </c>
      <c r="G5073" s="626" t="s">
        <v>10322</v>
      </c>
      <c r="H5073" s="626" t="s">
        <v>2660</v>
      </c>
      <c r="I5073" s="638" t="s">
        <v>2660</v>
      </c>
      <c r="J5073" s="626" t="s">
        <v>1931</v>
      </c>
      <c r="K5073" s="750">
        <v>4</v>
      </c>
      <c r="L5073" s="752">
        <v>12</v>
      </c>
      <c r="M5073" s="636">
        <f t="shared" si="63"/>
        <v>18000</v>
      </c>
      <c r="N5073" s="752">
        <v>1</v>
      </c>
      <c r="O5073" s="750">
        <v>6</v>
      </c>
      <c r="P5073" s="643">
        <f t="shared" si="64"/>
        <v>9000</v>
      </c>
    </row>
    <row r="5074" spans="1:16" s="619" customFormat="1" ht="36" x14ac:dyDescent="0.2">
      <c r="A5074" s="626" t="s">
        <v>10134</v>
      </c>
      <c r="B5074" s="626" t="s">
        <v>1908</v>
      </c>
      <c r="C5074" s="638" t="s">
        <v>104</v>
      </c>
      <c r="D5074" s="626" t="s">
        <v>2660</v>
      </c>
      <c r="E5074" s="636">
        <v>1500</v>
      </c>
      <c r="F5074" s="749" t="s">
        <v>10323</v>
      </c>
      <c r="G5074" s="626" t="s">
        <v>10324</v>
      </c>
      <c r="H5074" s="626" t="s">
        <v>2660</v>
      </c>
      <c r="I5074" s="638" t="s">
        <v>2660</v>
      </c>
      <c r="J5074" s="626" t="s">
        <v>1931</v>
      </c>
      <c r="K5074" s="750">
        <v>2</v>
      </c>
      <c r="L5074" s="752">
        <v>5</v>
      </c>
      <c r="M5074" s="636">
        <f t="shared" si="63"/>
        <v>7500</v>
      </c>
      <c r="N5074" s="752">
        <v>1</v>
      </c>
      <c r="O5074" s="750">
        <v>6</v>
      </c>
      <c r="P5074" s="643">
        <f t="shared" si="64"/>
        <v>9000</v>
      </c>
    </row>
    <row r="5075" spans="1:16" s="619" customFormat="1" ht="24" x14ac:dyDescent="0.2">
      <c r="A5075" s="626" t="s">
        <v>10134</v>
      </c>
      <c r="B5075" s="626" t="s">
        <v>1908</v>
      </c>
      <c r="C5075" s="638" t="s">
        <v>104</v>
      </c>
      <c r="D5075" s="626" t="s">
        <v>2072</v>
      </c>
      <c r="E5075" s="636">
        <v>1600</v>
      </c>
      <c r="F5075" s="749" t="s">
        <v>10325</v>
      </c>
      <c r="G5075" s="626" t="s">
        <v>10326</v>
      </c>
      <c r="H5075" s="626" t="s">
        <v>2072</v>
      </c>
      <c r="I5075" s="638" t="s">
        <v>2072</v>
      </c>
      <c r="J5075" s="626" t="s">
        <v>1931</v>
      </c>
      <c r="K5075" s="750">
        <v>4</v>
      </c>
      <c r="L5075" s="752">
        <v>12</v>
      </c>
      <c r="M5075" s="636">
        <f t="shared" si="63"/>
        <v>19200</v>
      </c>
      <c r="N5075" s="752">
        <v>1</v>
      </c>
      <c r="O5075" s="750">
        <v>6</v>
      </c>
      <c r="P5075" s="643">
        <f t="shared" si="64"/>
        <v>9600</v>
      </c>
    </row>
    <row r="5076" spans="1:16" s="619" customFormat="1" ht="24" x14ac:dyDescent="0.2">
      <c r="A5076" s="626" t="s">
        <v>10134</v>
      </c>
      <c r="B5076" s="626" t="s">
        <v>1908</v>
      </c>
      <c r="C5076" s="638" t="s">
        <v>104</v>
      </c>
      <c r="D5076" s="626" t="s">
        <v>10274</v>
      </c>
      <c r="E5076" s="636">
        <v>1900</v>
      </c>
      <c r="F5076" s="749" t="s">
        <v>10327</v>
      </c>
      <c r="G5076" s="626" t="s">
        <v>10328</v>
      </c>
      <c r="H5076" s="626" t="s">
        <v>10274</v>
      </c>
      <c r="I5076" s="638" t="s">
        <v>10274</v>
      </c>
      <c r="J5076" s="626" t="s">
        <v>1931</v>
      </c>
      <c r="K5076" s="750"/>
      <c r="L5076" s="752"/>
      <c r="M5076" s="636">
        <f t="shared" si="63"/>
        <v>0</v>
      </c>
      <c r="N5076" s="752">
        <v>1</v>
      </c>
      <c r="O5076" s="750">
        <v>4</v>
      </c>
      <c r="P5076" s="643">
        <f t="shared" si="64"/>
        <v>7600</v>
      </c>
    </row>
    <row r="5077" spans="1:16" s="619" customFormat="1" ht="24" x14ac:dyDescent="0.2">
      <c r="A5077" s="626" t="s">
        <v>10134</v>
      </c>
      <c r="B5077" s="626" t="s">
        <v>1908</v>
      </c>
      <c r="C5077" s="638" t="s">
        <v>104</v>
      </c>
      <c r="D5077" s="626" t="s">
        <v>1919</v>
      </c>
      <c r="E5077" s="636">
        <v>1100</v>
      </c>
      <c r="F5077" s="749">
        <v>33767416</v>
      </c>
      <c r="G5077" s="626" t="s">
        <v>10329</v>
      </c>
      <c r="H5077" s="626" t="s">
        <v>1919</v>
      </c>
      <c r="I5077" s="638" t="s">
        <v>1919</v>
      </c>
      <c r="J5077" s="626" t="s">
        <v>10192</v>
      </c>
      <c r="K5077" s="750"/>
      <c r="L5077" s="752"/>
      <c r="M5077" s="636">
        <f t="shared" si="63"/>
        <v>0</v>
      </c>
      <c r="N5077" s="752">
        <v>1</v>
      </c>
      <c r="O5077" s="750">
        <v>3</v>
      </c>
      <c r="P5077" s="643">
        <f t="shared" si="64"/>
        <v>3300</v>
      </c>
    </row>
    <row r="5078" spans="1:16" s="619" customFormat="1" ht="36" x14ac:dyDescent="0.2">
      <c r="A5078" s="626" t="s">
        <v>10134</v>
      </c>
      <c r="B5078" s="626" t="s">
        <v>1908</v>
      </c>
      <c r="C5078" s="638" t="s">
        <v>104</v>
      </c>
      <c r="D5078" s="626" t="s">
        <v>8398</v>
      </c>
      <c r="E5078" s="636">
        <v>4000</v>
      </c>
      <c r="F5078" s="749">
        <v>44086864</v>
      </c>
      <c r="G5078" s="626" t="s">
        <v>7863</v>
      </c>
      <c r="H5078" s="626" t="s">
        <v>6198</v>
      </c>
      <c r="I5078" s="638" t="s">
        <v>6198</v>
      </c>
      <c r="J5078" s="626" t="s">
        <v>1913</v>
      </c>
      <c r="K5078" s="750">
        <v>3</v>
      </c>
      <c r="L5078" s="752">
        <v>9</v>
      </c>
      <c r="M5078" s="636">
        <f t="shared" si="63"/>
        <v>36000</v>
      </c>
      <c r="N5078" s="752"/>
      <c r="O5078" s="750"/>
      <c r="P5078" s="643"/>
    </row>
    <row r="5079" spans="1:16" s="619" customFormat="1" ht="24" x14ac:dyDescent="0.2">
      <c r="A5079" s="626" t="s">
        <v>10134</v>
      </c>
      <c r="B5079" s="626" t="s">
        <v>1908</v>
      </c>
      <c r="C5079" s="638" t="s">
        <v>104</v>
      </c>
      <c r="D5079" s="626" t="s">
        <v>10330</v>
      </c>
      <c r="E5079" s="636">
        <v>1500</v>
      </c>
      <c r="F5079" s="749">
        <v>43444041</v>
      </c>
      <c r="G5079" s="626" t="s">
        <v>10331</v>
      </c>
      <c r="H5079" s="626" t="s">
        <v>10330</v>
      </c>
      <c r="I5079" s="638" t="s">
        <v>10330</v>
      </c>
      <c r="J5079" s="626" t="s">
        <v>1931</v>
      </c>
      <c r="K5079" s="750">
        <v>2</v>
      </c>
      <c r="L5079" s="752">
        <v>6</v>
      </c>
      <c r="M5079" s="636">
        <f t="shared" si="63"/>
        <v>9000</v>
      </c>
      <c r="N5079" s="752">
        <v>1</v>
      </c>
      <c r="O5079" s="750">
        <v>4</v>
      </c>
      <c r="P5079" s="643">
        <f t="shared" si="64"/>
        <v>6000</v>
      </c>
    </row>
    <row r="5080" spans="1:16" s="619" customFormat="1" ht="48" x14ac:dyDescent="0.2">
      <c r="A5080" s="626" t="s">
        <v>10134</v>
      </c>
      <c r="B5080" s="626" t="s">
        <v>1908</v>
      </c>
      <c r="C5080" s="638" t="s">
        <v>104</v>
      </c>
      <c r="D5080" s="626" t="s">
        <v>10332</v>
      </c>
      <c r="E5080" s="636">
        <v>1500</v>
      </c>
      <c r="F5080" s="749" t="s">
        <v>10333</v>
      </c>
      <c r="G5080" s="626" t="s">
        <v>10334</v>
      </c>
      <c r="H5080" s="626" t="s">
        <v>10332</v>
      </c>
      <c r="I5080" s="638" t="s">
        <v>10332</v>
      </c>
      <c r="J5080" s="626" t="s">
        <v>1931</v>
      </c>
      <c r="K5080" s="750">
        <v>2</v>
      </c>
      <c r="L5080" s="752">
        <v>4</v>
      </c>
      <c r="M5080" s="636">
        <f t="shared" si="63"/>
        <v>6000</v>
      </c>
      <c r="N5080" s="752">
        <v>1</v>
      </c>
      <c r="O5080" s="750">
        <v>2</v>
      </c>
      <c r="P5080" s="643">
        <f t="shared" si="64"/>
        <v>3000</v>
      </c>
    </row>
    <row r="5081" spans="1:16" s="619" customFormat="1" ht="24" x14ac:dyDescent="0.2">
      <c r="A5081" s="626" t="s">
        <v>10134</v>
      </c>
      <c r="B5081" s="626" t="s">
        <v>1908</v>
      </c>
      <c r="C5081" s="638" t="s">
        <v>104</v>
      </c>
      <c r="D5081" s="626" t="s">
        <v>2660</v>
      </c>
      <c r="E5081" s="636">
        <v>1500</v>
      </c>
      <c r="F5081" s="749" t="s">
        <v>10335</v>
      </c>
      <c r="G5081" s="626" t="s">
        <v>10336</v>
      </c>
      <c r="H5081" s="626" t="s">
        <v>2660</v>
      </c>
      <c r="I5081" s="638" t="s">
        <v>2660</v>
      </c>
      <c r="J5081" s="626" t="s">
        <v>1931</v>
      </c>
      <c r="K5081" s="750"/>
      <c r="L5081" s="752"/>
      <c r="M5081" s="636">
        <f t="shared" si="63"/>
        <v>0</v>
      </c>
      <c r="N5081" s="752">
        <v>1</v>
      </c>
      <c r="O5081" s="750">
        <v>3</v>
      </c>
      <c r="P5081" s="643">
        <f t="shared" si="64"/>
        <v>4500</v>
      </c>
    </row>
    <row r="5082" spans="1:16" s="619" customFormat="1" ht="24" x14ac:dyDescent="0.2">
      <c r="A5082" s="626" t="s">
        <v>10134</v>
      </c>
      <c r="B5082" s="626" t="s">
        <v>1908</v>
      </c>
      <c r="C5082" s="638" t="s">
        <v>104</v>
      </c>
      <c r="D5082" s="626" t="s">
        <v>2660</v>
      </c>
      <c r="E5082" s="636">
        <v>1500</v>
      </c>
      <c r="F5082" s="749" t="s">
        <v>10337</v>
      </c>
      <c r="G5082" s="626" t="s">
        <v>10338</v>
      </c>
      <c r="H5082" s="626" t="s">
        <v>2660</v>
      </c>
      <c r="I5082" s="638" t="s">
        <v>2660</v>
      </c>
      <c r="J5082" s="626" t="s">
        <v>1931</v>
      </c>
      <c r="K5082" s="750"/>
      <c r="L5082" s="752"/>
      <c r="M5082" s="636">
        <f t="shared" si="63"/>
        <v>0</v>
      </c>
      <c r="N5082" s="752">
        <v>1</v>
      </c>
      <c r="O5082" s="750">
        <v>1</v>
      </c>
      <c r="P5082" s="643">
        <f t="shared" si="64"/>
        <v>1500</v>
      </c>
    </row>
    <row r="5083" spans="1:16" s="619" customFormat="1" ht="36" x14ac:dyDescent="0.2">
      <c r="A5083" s="626" t="s">
        <v>10134</v>
      </c>
      <c r="B5083" s="626" t="s">
        <v>1908</v>
      </c>
      <c r="C5083" s="638" t="s">
        <v>104</v>
      </c>
      <c r="D5083" s="626" t="s">
        <v>2660</v>
      </c>
      <c r="E5083" s="636">
        <v>1500</v>
      </c>
      <c r="F5083" s="749">
        <v>48289790</v>
      </c>
      <c r="G5083" s="626" t="s">
        <v>10339</v>
      </c>
      <c r="H5083" s="626" t="s">
        <v>2660</v>
      </c>
      <c r="I5083" s="638" t="s">
        <v>2660</v>
      </c>
      <c r="J5083" s="626" t="s">
        <v>1931</v>
      </c>
      <c r="K5083" s="750"/>
      <c r="L5083" s="752"/>
      <c r="M5083" s="636">
        <f t="shared" si="63"/>
        <v>0</v>
      </c>
      <c r="N5083" s="752">
        <v>1</v>
      </c>
      <c r="O5083" s="750">
        <v>3</v>
      </c>
      <c r="P5083" s="643">
        <f t="shared" si="64"/>
        <v>4500</v>
      </c>
    </row>
    <row r="5084" spans="1:16" s="619" customFormat="1" ht="24" x14ac:dyDescent="0.2">
      <c r="A5084" s="626" t="s">
        <v>10134</v>
      </c>
      <c r="B5084" s="626" t="s">
        <v>1908</v>
      </c>
      <c r="C5084" s="638" t="s">
        <v>104</v>
      </c>
      <c r="D5084" s="626" t="s">
        <v>2660</v>
      </c>
      <c r="E5084" s="636">
        <v>1500</v>
      </c>
      <c r="F5084" s="749" t="s">
        <v>8018</v>
      </c>
      <c r="G5084" s="626" t="s">
        <v>10340</v>
      </c>
      <c r="H5084" s="626" t="s">
        <v>2660</v>
      </c>
      <c r="I5084" s="638" t="s">
        <v>2660</v>
      </c>
      <c r="J5084" s="626" t="s">
        <v>1931</v>
      </c>
      <c r="K5084" s="750">
        <v>4</v>
      </c>
      <c r="L5084" s="752">
        <v>12</v>
      </c>
      <c r="M5084" s="636">
        <f t="shared" si="63"/>
        <v>18000</v>
      </c>
      <c r="N5084" s="752">
        <v>1</v>
      </c>
      <c r="O5084" s="750">
        <v>6</v>
      </c>
      <c r="P5084" s="643">
        <f t="shared" si="64"/>
        <v>9000</v>
      </c>
    </row>
    <row r="5085" spans="1:16" s="619" customFormat="1" ht="36" x14ac:dyDescent="0.2">
      <c r="A5085" s="626" t="s">
        <v>10134</v>
      </c>
      <c r="B5085" s="626" t="s">
        <v>1908</v>
      </c>
      <c r="C5085" s="638" t="s">
        <v>104</v>
      </c>
      <c r="D5085" s="626" t="s">
        <v>2660</v>
      </c>
      <c r="E5085" s="636">
        <v>1500</v>
      </c>
      <c r="F5085" s="749" t="s">
        <v>10341</v>
      </c>
      <c r="G5085" s="626" t="s">
        <v>10342</v>
      </c>
      <c r="H5085" s="626" t="s">
        <v>2660</v>
      </c>
      <c r="I5085" s="638" t="s">
        <v>2660</v>
      </c>
      <c r="J5085" s="626" t="s">
        <v>1931</v>
      </c>
      <c r="K5085" s="750"/>
      <c r="L5085" s="752"/>
      <c r="M5085" s="636">
        <f t="shared" si="63"/>
        <v>0</v>
      </c>
      <c r="N5085" s="752">
        <v>1</v>
      </c>
      <c r="O5085" s="750">
        <v>4</v>
      </c>
      <c r="P5085" s="643">
        <f t="shared" si="64"/>
        <v>6000</v>
      </c>
    </row>
    <row r="5086" spans="1:16" s="619" customFormat="1" ht="24" x14ac:dyDescent="0.2">
      <c r="A5086" s="626" t="s">
        <v>10134</v>
      </c>
      <c r="B5086" s="626" t="s">
        <v>1908</v>
      </c>
      <c r="C5086" s="638" t="s">
        <v>104</v>
      </c>
      <c r="D5086" s="626" t="s">
        <v>10261</v>
      </c>
      <c r="E5086" s="636">
        <v>2000</v>
      </c>
      <c r="F5086" s="749" t="s">
        <v>10343</v>
      </c>
      <c r="G5086" s="626" t="s">
        <v>10344</v>
      </c>
      <c r="H5086" s="626" t="s">
        <v>10261</v>
      </c>
      <c r="I5086" s="638" t="s">
        <v>10261</v>
      </c>
      <c r="J5086" s="626" t="s">
        <v>1931</v>
      </c>
      <c r="K5086" s="750">
        <v>4</v>
      </c>
      <c r="L5086" s="752">
        <v>12</v>
      </c>
      <c r="M5086" s="636">
        <f t="shared" si="63"/>
        <v>24000</v>
      </c>
      <c r="N5086" s="752">
        <v>1</v>
      </c>
      <c r="O5086" s="750">
        <v>6</v>
      </c>
      <c r="P5086" s="643">
        <f t="shared" si="64"/>
        <v>12000</v>
      </c>
    </row>
    <row r="5087" spans="1:16" s="619" customFormat="1" ht="36" x14ac:dyDescent="0.2">
      <c r="A5087" s="626" t="s">
        <v>10134</v>
      </c>
      <c r="B5087" s="626" t="s">
        <v>1908</v>
      </c>
      <c r="C5087" s="638" t="s">
        <v>104</v>
      </c>
      <c r="D5087" s="626" t="s">
        <v>6152</v>
      </c>
      <c r="E5087" s="636">
        <v>3300</v>
      </c>
      <c r="F5087" s="749" t="s">
        <v>10345</v>
      </c>
      <c r="G5087" s="626" t="s">
        <v>10346</v>
      </c>
      <c r="H5087" s="626" t="s">
        <v>6152</v>
      </c>
      <c r="I5087" s="638" t="s">
        <v>6152</v>
      </c>
      <c r="J5087" s="626" t="s">
        <v>1913</v>
      </c>
      <c r="K5087" s="750">
        <v>2</v>
      </c>
      <c r="L5087" s="752">
        <v>8</v>
      </c>
      <c r="M5087" s="636">
        <f t="shared" si="63"/>
        <v>26400</v>
      </c>
      <c r="N5087" s="752"/>
      <c r="O5087" s="750"/>
      <c r="P5087" s="643"/>
    </row>
    <row r="5088" spans="1:16" s="619" customFormat="1" ht="36" x14ac:dyDescent="0.2">
      <c r="A5088" s="626" t="s">
        <v>10134</v>
      </c>
      <c r="B5088" s="626" t="s">
        <v>1908</v>
      </c>
      <c r="C5088" s="638" t="s">
        <v>104</v>
      </c>
      <c r="D5088" s="626" t="s">
        <v>6299</v>
      </c>
      <c r="E5088" s="636">
        <v>1700</v>
      </c>
      <c r="F5088" s="749" t="s">
        <v>10347</v>
      </c>
      <c r="G5088" s="626" t="s">
        <v>10348</v>
      </c>
      <c r="H5088" s="626" t="s">
        <v>6299</v>
      </c>
      <c r="I5088" s="638" t="s">
        <v>6299</v>
      </c>
      <c r="J5088" s="626" t="s">
        <v>1931</v>
      </c>
      <c r="K5088" s="750"/>
      <c r="L5088" s="752"/>
      <c r="M5088" s="636">
        <f t="shared" si="63"/>
        <v>0</v>
      </c>
      <c r="N5088" s="752">
        <v>1</v>
      </c>
      <c r="O5088" s="750">
        <v>4</v>
      </c>
      <c r="P5088" s="643">
        <f t="shared" si="64"/>
        <v>6800</v>
      </c>
    </row>
    <row r="5089" spans="1:16" s="619" customFormat="1" ht="24" x14ac:dyDescent="0.2">
      <c r="A5089" s="626" t="s">
        <v>10134</v>
      </c>
      <c r="B5089" s="626" t="s">
        <v>1908</v>
      </c>
      <c r="C5089" s="638" t="s">
        <v>104</v>
      </c>
      <c r="D5089" s="626" t="s">
        <v>10256</v>
      </c>
      <c r="E5089" s="636">
        <v>3300</v>
      </c>
      <c r="F5089" s="749" t="s">
        <v>10349</v>
      </c>
      <c r="G5089" s="626" t="s">
        <v>10350</v>
      </c>
      <c r="H5089" s="626" t="s">
        <v>10256</v>
      </c>
      <c r="I5089" s="638" t="s">
        <v>10256</v>
      </c>
      <c r="J5089" s="626" t="s">
        <v>1913</v>
      </c>
      <c r="K5089" s="750">
        <v>4</v>
      </c>
      <c r="L5089" s="752">
        <v>12</v>
      </c>
      <c r="M5089" s="636">
        <f t="shared" si="63"/>
        <v>39600</v>
      </c>
      <c r="N5089" s="752">
        <v>1</v>
      </c>
      <c r="O5089" s="750">
        <v>6</v>
      </c>
      <c r="P5089" s="643">
        <f t="shared" si="64"/>
        <v>19800</v>
      </c>
    </row>
    <row r="5090" spans="1:16" s="619" customFormat="1" ht="24" x14ac:dyDescent="0.2">
      <c r="A5090" s="626" t="s">
        <v>10134</v>
      </c>
      <c r="B5090" s="626" t="s">
        <v>1908</v>
      </c>
      <c r="C5090" s="638" t="s">
        <v>104</v>
      </c>
      <c r="D5090" s="626" t="s">
        <v>1919</v>
      </c>
      <c r="E5090" s="636">
        <v>1100</v>
      </c>
      <c r="F5090" s="749" t="s">
        <v>10351</v>
      </c>
      <c r="G5090" s="626" t="s">
        <v>10352</v>
      </c>
      <c r="H5090" s="626" t="s">
        <v>1919</v>
      </c>
      <c r="I5090" s="638" t="s">
        <v>1919</v>
      </c>
      <c r="J5090" s="626" t="s">
        <v>10192</v>
      </c>
      <c r="K5090" s="750">
        <v>4</v>
      </c>
      <c r="L5090" s="752">
        <v>12</v>
      </c>
      <c r="M5090" s="636">
        <f t="shared" si="63"/>
        <v>13200</v>
      </c>
      <c r="N5090" s="752">
        <v>1</v>
      </c>
      <c r="O5090" s="750">
        <v>6</v>
      </c>
      <c r="P5090" s="643">
        <f t="shared" si="64"/>
        <v>6600</v>
      </c>
    </row>
    <row r="5091" spans="1:16" s="619" customFormat="1" ht="36" x14ac:dyDescent="0.2">
      <c r="A5091" s="626" t="s">
        <v>10134</v>
      </c>
      <c r="B5091" s="626" t="s">
        <v>1908</v>
      </c>
      <c r="C5091" s="638" t="s">
        <v>104</v>
      </c>
      <c r="D5091" s="626" t="s">
        <v>10353</v>
      </c>
      <c r="E5091" s="636">
        <v>1500</v>
      </c>
      <c r="F5091" s="749" t="s">
        <v>10354</v>
      </c>
      <c r="G5091" s="626" t="s">
        <v>10355</v>
      </c>
      <c r="H5091" s="626" t="s">
        <v>10353</v>
      </c>
      <c r="I5091" s="638" t="s">
        <v>10353</v>
      </c>
      <c r="J5091" s="626" t="s">
        <v>1931</v>
      </c>
      <c r="K5091" s="750">
        <v>2</v>
      </c>
      <c r="L5091" s="752">
        <v>4</v>
      </c>
      <c r="M5091" s="636">
        <f t="shared" si="63"/>
        <v>6000</v>
      </c>
      <c r="N5091" s="752">
        <v>1</v>
      </c>
      <c r="O5091" s="750">
        <v>6</v>
      </c>
      <c r="P5091" s="643">
        <f t="shared" si="64"/>
        <v>9000</v>
      </c>
    </row>
    <row r="5092" spans="1:16" s="619" customFormat="1" ht="24" x14ac:dyDescent="0.2">
      <c r="A5092" s="626" t="s">
        <v>10134</v>
      </c>
      <c r="B5092" s="626" t="s">
        <v>1908</v>
      </c>
      <c r="C5092" s="638" t="s">
        <v>104</v>
      </c>
      <c r="D5092" s="626" t="s">
        <v>1919</v>
      </c>
      <c r="E5092" s="636">
        <v>1400</v>
      </c>
      <c r="F5092" s="749" t="s">
        <v>10356</v>
      </c>
      <c r="G5092" s="626" t="s">
        <v>10357</v>
      </c>
      <c r="H5092" s="626" t="s">
        <v>1919</v>
      </c>
      <c r="I5092" s="638" t="s">
        <v>1919</v>
      </c>
      <c r="J5092" s="626" t="s">
        <v>10192</v>
      </c>
      <c r="K5092" s="750">
        <v>4</v>
      </c>
      <c r="L5092" s="752">
        <v>12</v>
      </c>
      <c r="M5092" s="636">
        <f t="shared" si="63"/>
        <v>16800</v>
      </c>
      <c r="N5092" s="752">
        <v>1</v>
      </c>
      <c r="O5092" s="750">
        <v>6</v>
      </c>
      <c r="P5092" s="643">
        <f t="shared" si="64"/>
        <v>8400</v>
      </c>
    </row>
    <row r="5093" spans="1:16" s="619" customFormat="1" ht="36" x14ac:dyDescent="0.2">
      <c r="A5093" s="626" t="s">
        <v>10134</v>
      </c>
      <c r="B5093" s="626" t="s">
        <v>1908</v>
      </c>
      <c r="C5093" s="638" t="s">
        <v>104</v>
      </c>
      <c r="D5093" s="626" t="s">
        <v>6101</v>
      </c>
      <c r="E5093" s="636">
        <v>3300</v>
      </c>
      <c r="F5093" s="749" t="s">
        <v>10358</v>
      </c>
      <c r="G5093" s="626" t="s">
        <v>10359</v>
      </c>
      <c r="H5093" s="626" t="s">
        <v>6101</v>
      </c>
      <c r="I5093" s="638" t="s">
        <v>6101</v>
      </c>
      <c r="J5093" s="626" t="s">
        <v>1913</v>
      </c>
      <c r="K5093" s="750">
        <v>4</v>
      </c>
      <c r="L5093" s="752">
        <v>12</v>
      </c>
      <c r="M5093" s="636">
        <f t="shared" si="63"/>
        <v>39600</v>
      </c>
      <c r="N5093" s="752">
        <v>1</v>
      </c>
      <c r="O5093" s="750">
        <v>6</v>
      </c>
      <c r="P5093" s="643">
        <f t="shared" si="64"/>
        <v>19800</v>
      </c>
    </row>
    <row r="5094" spans="1:16" s="619" customFormat="1" ht="24" x14ac:dyDescent="0.2">
      <c r="A5094" s="626" t="s">
        <v>10134</v>
      </c>
      <c r="B5094" s="626" t="s">
        <v>1908</v>
      </c>
      <c r="C5094" s="638" t="s">
        <v>104</v>
      </c>
      <c r="D5094" s="626" t="s">
        <v>2072</v>
      </c>
      <c r="E5094" s="636">
        <v>1500</v>
      </c>
      <c r="F5094" s="749" t="s">
        <v>10360</v>
      </c>
      <c r="G5094" s="626" t="s">
        <v>10361</v>
      </c>
      <c r="H5094" s="626" t="s">
        <v>2072</v>
      </c>
      <c r="I5094" s="638" t="s">
        <v>2072</v>
      </c>
      <c r="J5094" s="626" t="s">
        <v>1931</v>
      </c>
      <c r="K5094" s="750">
        <v>4</v>
      </c>
      <c r="L5094" s="752">
        <v>12</v>
      </c>
      <c r="M5094" s="636">
        <f t="shared" si="63"/>
        <v>18000</v>
      </c>
      <c r="N5094" s="752">
        <v>1</v>
      </c>
      <c r="O5094" s="750">
        <v>4</v>
      </c>
      <c r="P5094" s="643">
        <f t="shared" si="64"/>
        <v>6000</v>
      </c>
    </row>
    <row r="5095" spans="1:16" s="619" customFormat="1" ht="36" x14ac:dyDescent="0.2">
      <c r="A5095" s="626" t="s">
        <v>10134</v>
      </c>
      <c r="B5095" s="626" t="s">
        <v>1908</v>
      </c>
      <c r="C5095" s="638" t="s">
        <v>104</v>
      </c>
      <c r="D5095" s="626" t="s">
        <v>10362</v>
      </c>
      <c r="E5095" s="636">
        <v>2000</v>
      </c>
      <c r="F5095" s="749">
        <v>76268503</v>
      </c>
      <c r="G5095" s="626" t="s">
        <v>10363</v>
      </c>
      <c r="H5095" s="626" t="s">
        <v>10362</v>
      </c>
      <c r="I5095" s="638" t="s">
        <v>10362</v>
      </c>
      <c r="J5095" s="626" t="s">
        <v>10247</v>
      </c>
      <c r="K5095" s="750"/>
      <c r="L5095" s="752"/>
      <c r="M5095" s="636">
        <f t="shared" si="63"/>
        <v>0</v>
      </c>
      <c r="N5095" s="752">
        <v>1</v>
      </c>
      <c r="O5095" s="750">
        <v>3</v>
      </c>
      <c r="P5095" s="643">
        <f t="shared" si="64"/>
        <v>6000</v>
      </c>
    </row>
    <row r="5096" spans="1:16" s="619" customFormat="1" ht="36" x14ac:dyDescent="0.2">
      <c r="A5096" s="626" t="s">
        <v>10134</v>
      </c>
      <c r="B5096" s="626" t="s">
        <v>1908</v>
      </c>
      <c r="C5096" s="638" t="s">
        <v>104</v>
      </c>
      <c r="D5096" s="626" t="s">
        <v>2072</v>
      </c>
      <c r="E5096" s="636">
        <v>1600</v>
      </c>
      <c r="F5096" s="749">
        <v>46730059</v>
      </c>
      <c r="G5096" s="626" t="s">
        <v>10364</v>
      </c>
      <c r="H5096" s="626" t="s">
        <v>2072</v>
      </c>
      <c r="I5096" s="638" t="s">
        <v>2072</v>
      </c>
      <c r="J5096" s="626" t="s">
        <v>1931</v>
      </c>
      <c r="K5096" s="750"/>
      <c r="L5096" s="752"/>
      <c r="M5096" s="636">
        <f t="shared" si="63"/>
        <v>0</v>
      </c>
      <c r="N5096" s="752">
        <v>1</v>
      </c>
      <c r="O5096" s="750">
        <v>3</v>
      </c>
      <c r="P5096" s="643">
        <f t="shared" si="64"/>
        <v>4800</v>
      </c>
    </row>
    <row r="5097" spans="1:16" s="619" customFormat="1" ht="24" x14ac:dyDescent="0.2">
      <c r="A5097" s="626" t="s">
        <v>10134</v>
      </c>
      <c r="B5097" s="626" t="s">
        <v>1908</v>
      </c>
      <c r="C5097" s="638" t="s">
        <v>104</v>
      </c>
      <c r="D5097" s="626" t="s">
        <v>2660</v>
      </c>
      <c r="E5097" s="636">
        <v>1600</v>
      </c>
      <c r="F5097" s="749" t="s">
        <v>10365</v>
      </c>
      <c r="G5097" s="626" t="s">
        <v>10366</v>
      </c>
      <c r="H5097" s="626" t="s">
        <v>2660</v>
      </c>
      <c r="I5097" s="638" t="s">
        <v>2660</v>
      </c>
      <c r="J5097" s="626" t="s">
        <v>1931</v>
      </c>
      <c r="K5097" s="750">
        <v>4</v>
      </c>
      <c r="L5097" s="752">
        <v>12</v>
      </c>
      <c r="M5097" s="636">
        <f t="shared" si="63"/>
        <v>19200</v>
      </c>
      <c r="N5097" s="752">
        <v>1</v>
      </c>
      <c r="O5097" s="750">
        <v>6</v>
      </c>
      <c r="P5097" s="643">
        <f t="shared" si="64"/>
        <v>9600</v>
      </c>
    </row>
    <row r="5098" spans="1:16" s="619" customFormat="1" ht="36" x14ac:dyDescent="0.2">
      <c r="A5098" s="626" t="s">
        <v>10134</v>
      </c>
      <c r="B5098" s="626" t="s">
        <v>1908</v>
      </c>
      <c r="C5098" s="638" t="s">
        <v>104</v>
      </c>
      <c r="D5098" s="626" t="s">
        <v>2660</v>
      </c>
      <c r="E5098" s="636">
        <v>1700</v>
      </c>
      <c r="F5098" s="749" t="s">
        <v>10367</v>
      </c>
      <c r="G5098" s="626" t="s">
        <v>10368</v>
      </c>
      <c r="H5098" s="626" t="s">
        <v>2660</v>
      </c>
      <c r="I5098" s="638" t="s">
        <v>2660</v>
      </c>
      <c r="J5098" s="626" t="s">
        <v>1931</v>
      </c>
      <c r="K5098" s="750"/>
      <c r="L5098" s="752"/>
      <c r="M5098" s="636">
        <f t="shared" si="63"/>
        <v>0</v>
      </c>
      <c r="N5098" s="752">
        <v>1</v>
      </c>
      <c r="O5098" s="750">
        <v>5</v>
      </c>
      <c r="P5098" s="643">
        <f t="shared" si="64"/>
        <v>8500</v>
      </c>
    </row>
    <row r="5099" spans="1:16" s="619" customFormat="1" ht="48" x14ac:dyDescent="0.2">
      <c r="A5099" s="626" t="s">
        <v>10134</v>
      </c>
      <c r="B5099" s="626" t="s">
        <v>1908</v>
      </c>
      <c r="C5099" s="638" t="s">
        <v>104</v>
      </c>
      <c r="D5099" s="626" t="s">
        <v>2660</v>
      </c>
      <c r="E5099" s="636">
        <v>1500</v>
      </c>
      <c r="F5099" s="749" t="s">
        <v>10369</v>
      </c>
      <c r="G5099" s="626" t="s">
        <v>10370</v>
      </c>
      <c r="H5099" s="626" t="s">
        <v>2660</v>
      </c>
      <c r="I5099" s="638" t="s">
        <v>2660</v>
      </c>
      <c r="J5099" s="626" t="s">
        <v>1931</v>
      </c>
      <c r="K5099" s="750">
        <v>4</v>
      </c>
      <c r="L5099" s="752">
        <v>12</v>
      </c>
      <c r="M5099" s="636">
        <f t="shared" si="63"/>
        <v>18000</v>
      </c>
      <c r="N5099" s="752">
        <v>1</v>
      </c>
      <c r="O5099" s="750">
        <v>6</v>
      </c>
      <c r="P5099" s="643">
        <f t="shared" si="64"/>
        <v>9000</v>
      </c>
    </row>
    <row r="5100" spans="1:16" s="619" customFormat="1" ht="36" x14ac:dyDescent="0.2">
      <c r="A5100" s="626" t="s">
        <v>10134</v>
      </c>
      <c r="B5100" s="626" t="s">
        <v>1908</v>
      </c>
      <c r="C5100" s="638" t="s">
        <v>104</v>
      </c>
      <c r="D5100" s="626" t="s">
        <v>10302</v>
      </c>
      <c r="E5100" s="636">
        <v>1800</v>
      </c>
      <c r="F5100" s="749" t="s">
        <v>10371</v>
      </c>
      <c r="G5100" s="626" t="s">
        <v>10372</v>
      </c>
      <c r="H5100" s="626" t="s">
        <v>10302</v>
      </c>
      <c r="I5100" s="638" t="s">
        <v>10302</v>
      </c>
      <c r="J5100" s="626" t="s">
        <v>1931</v>
      </c>
      <c r="K5100" s="750">
        <v>4</v>
      </c>
      <c r="L5100" s="752">
        <v>12</v>
      </c>
      <c r="M5100" s="636">
        <f t="shared" si="63"/>
        <v>21600</v>
      </c>
      <c r="N5100" s="752">
        <v>1</v>
      </c>
      <c r="O5100" s="750">
        <v>6</v>
      </c>
      <c r="P5100" s="643">
        <f t="shared" si="64"/>
        <v>10800</v>
      </c>
    </row>
    <row r="5101" spans="1:16" s="619" customFormat="1" ht="36" x14ac:dyDescent="0.2">
      <c r="A5101" s="626" t="s">
        <v>10134</v>
      </c>
      <c r="B5101" s="626" t="s">
        <v>1908</v>
      </c>
      <c r="C5101" s="638" t="s">
        <v>104</v>
      </c>
      <c r="D5101" s="626" t="s">
        <v>10261</v>
      </c>
      <c r="E5101" s="636">
        <v>2200</v>
      </c>
      <c r="F5101" s="749" t="s">
        <v>10373</v>
      </c>
      <c r="G5101" s="626" t="s">
        <v>10374</v>
      </c>
      <c r="H5101" s="626" t="s">
        <v>10261</v>
      </c>
      <c r="I5101" s="638" t="s">
        <v>10261</v>
      </c>
      <c r="J5101" s="626" t="s">
        <v>1931</v>
      </c>
      <c r="K5101" s="750">
        <v>4</v>
      </c>
      <c r="L5101" s="752">
        <v>12</v>
      </c>
      <c r="M5101" s="636">
        <f t="shared" si="63"/>
        <v>26400</v>
      </c>
      <c r="N5101" s="752">
        <v>1</v>
      </c>
      <c r="O5101" s="750">
        <v>6</v>
      </c>
      <c r="P5101" s="643">
        <f t="shared" si="64"/>
        <v>13200</v>
      </c>
    </row>
    <row r="5102" spans="1:16" s="619" customFormat="1" ht="36" x14ac:dyDescent="0.2">
      <c r="A5102" s="626" t="s">
        <v>10134</v>
      </c>
      <c r="B5102" s="626" t="s">
        <v>1908</v>
      </c>
      <c r="C5102" s="638" t="s">
        <v>104</v>
      </c>
      <c r="D5102" s="626" t="s">
        <v>10375</v>
      </c>
      <c r="E5102" s="636">
        <v>2200</v>
      </c>
      <c r="F5102" s="749" t="s">
        <v>10376</v>
      </c>
      <c r="G5102" s="626" t="s">
        <v>10377</v>
      </c>
      <c r="H5102" s="626" t="s">
        <v>10375</v>
      </c>
      <c r="I5102" s="638" t="s">
        <v>10375</v>
      </c>
      <c r="J5102" s="626" t="s">
        <v>1931</v>
      </c>
      <c r="K5102" s="750">
        <v>4</v>
      </c>
      <c r="L5102" s="752">
        <v>12</v>
      </c>
      <c r="M5102" s="636">
        <f t="shared" si="63"/>
        <v>26400</v>
      </c>
      <c r="N5102" s="752">
        <v>1</v>
      </c>
      <c r="O5102" s="750">
        <v>6</v>
      </c>
      <c r="P5102" s="643">
        <f t="shared" si="64"/>
        <v>13200</v>
      </c>
    </row>
    <row r="5103" spans="1:16" s="619" customFormat="1" ht="24" x14ac:dyDescent="0.2">
      <c r="A5103" s="626" t="s">
        <v>10134</v>
      </c>
      <c r="B5103" s="626" t="s">
        <v>1908</v>
      </c>
      <c r="C5103" s="638" t="s">
        <v>104</v>
      </c>
      <c r="D5103" s="626" t="s">
        <v>2660</v>
      </c>
      <c r="E5103" s="636">
        <v>2200</v>
      </c>
      <c r="F5103" s="749" t="s">
        <v>10378</v>
      </c>
      <c r="G5103" s="626" t="s">
        <v>10379</v>
      </c>
      <c r="H5103" s="626" t="s">
        <v>2660</v>
      </c>
      <c r="I5103" s="638" t="s">
        <v>2660</v>
      </c>
      <c r="J5103" s="626" t="s">
        <v>1931</v>
      </c>
      <c r="K5103" s="750">
        <v>4</v>
      </c>
      <c r="L5103" s="752">
        <v>12</v>
      </c>
      <c r="M5103" s="636">
        <f t="shared" si="63"/>
        <v>26400</v>
      </c>
      <c r="N5103" s="752">
        <v>1</v>
      </c>
      <c r="O5103" s="750">
        <v>6</v>
      </c>
      <c r="P5103" s="643">
        <f t="shared" si="64"/>
        <v>13200</v>
      </c>
    </row>
    <row r="5104" spans="1:16" s="619" customFormat="1" ht="24" x14ac:dyDescent="0.2">
      <c r="A5104" s="626" t="s">
        <v>10134</v>
      </c>
      <c r="B5104" s="626" t="s">
        <v>1908</v>
      </c>
      <c r="C5104" s="638" t="s">
        <v>104</v>
      </c>
      <c r="D5104" s="626" t="s">
        <v>2764</v>
      </c>
      <c r="E5104" s="636">
        <v>4400</v>
      </c>
      <c r="F5104" s="749" t="s">
        <v>10380</v>
      </c>
      <c r="G5104" s="626" t="s">
        <v>10381</v>
      </c>
      <c r="H5104" s="626" t="s">
        <v>2764</v>
      </c>
      <c r="I5104" s="638" t="s">
        <v>2764</v>
      </c>
      <c r="J5104" s="626" t="s">
        <v>1913</v>
      </c>
      <c r="K5104" s="750">
        <v>4</v>
      </c>
      <c r="L5104" s="752">
        <v>12</v>
      </c>
      <c r="M5104" s="636">
        <f t="shared" si="63"/>
        <v>52800</v>
      </c>
      <c r="N5104" s="752">
        <v>1</v>
      </c>
      <c r="O5104" s="750">
        <v>6</v>
      </c>
      <c r="P5104" s="643">
        <f t="shared" si="64"/>
        <v>26400</v>
      </c>
    </row>
    <row r="5105" spans="1:16" s="619" customFormat="1" ht="36" x14ac:dyDescent="0.2">
      <c r="A5105" s="626" t="s">
        <v>10134</v>
      </c>
      <c r="B5105" s="626" t="s">
        <v>1908</v>
      </c>
      <c r="C5105" s="638" t="s">
        <v>104</v>
      </c>
      <c r="D5105" s="626" t="s">
        <v>10256</v>
      </c>
      <c r="E5105" s="636">
        <v>3500</v>
      </c>
      <c r="F5105" s="749" t="s">
        <v>10382</v>
      </c>
      <c r="G5105" s="626" t="s">
        <v>10383</v>
      </c>
      <c r="H5105" s="626" t="s">
        <v>10256</v>
      </c>
      <c r="I5105" s="638" t="s">
        <v>10256</v>
      </c>
      <c r="J5105" s="626" t="s">
        <v>1913</v>
      </c>
      <c r="K5105" s="750">
        <v>4</v>
      </c>
      <c r="L5105" s="752">
        <v>12</v>
      </c>
      <c r="M5105" s="636">
        <f t="shared" si="63"/>
        <v>42000</v>
      </c>
      <c r="N5105" s="752">
        <v>1</v>
      </c>
      <c r="O5105" s="750">
        <v>6</v>
      </c>
      <c r="P5105" s="643">
        <f t="shared" si="64"/>
        <v>21000</v>
      </c>
    </row>
    <row r="5106" spans="1:16" s="619" customFormat="1" ht="36" x14ac:dyDescent="0.2">
      <c r="A5106" s="626" t="s">
        <v>10134</v>
      </c>
      <c r="B5106" s="626" t="s">
        <v>1908</v>
      </c>
      <c r="C5106" s="638" t="s">
        <v>104</v>
      </c>
      <c r="D5106" s="626" t="s">
        <v>2660</v>
      </c>
      <c r="E5106" s="636">
        <v>1800</v>
      </c>
      <c r="F5106" s="749" t="s">
        <v>10384</v>
      </c>
      <c r="G5106" s="626" t="s">
        <v>10385</v>
      </c>
      <c r="H5106" s="626" t="s">
        <v>2660</v>
      </c>
      <c r="I5106" s="638" t="s">
        <v>2660</v>
      </c>
      <c r="J5106" s="626" t="s">
        <v>1931</v>
      </c>
      <c r="K5106" s="750">
        <v>4</v>
      </c>
      <c r="L5106" s="752">
        <v>12</v>
      </c>
      <c r="M5106" s="636">
        <f t="shared" si="63"/>
        <v>21600</v>
      </c>
      <c r="N5106" s="752">
        <v>1</v>
      </c>
      <c r="O5106" s="750">
        <v>6</v>
      </c>
      <c r="P5106" s="643">
        <f t="shared" si="64"/>
        <v>10800</v>
      </c>
    </row>
    <row r="5107" spans="1:16" s="619" customFormat="1" ht="24" x14ac:dyDescent="0.2">
      <c r="A5107" s="626" t="s">
        <v>10134</v>
      </c>
      <c r="B5107" s="626" t="s">
        <v>1908</v>
      </c>
      <c r="C5107" s="638" t="s">
        <v>104</v>
      </c>
      <c r="D5107" s="626" t="s">
        <v>6299</v>
      </c>
      <c r="E5107" s="636">
        <v>1800</v>
      </c>
      <c r="F5107" s="749" t="s">
        <v>10386</v>
      </c>
      <c r="G5107" s="626" t="s">
        <v>10387</v>
      </c>
      <c r="H5107" s="626" t="s">
        <v>6299</v>
      </c>
      <c r="I5107" s="638" t="s">
        <v>6299</v>
      </c>
      <c r="J5107" s="626" t="s">
        <v>1931</v>
      </c>
      <c r="K5107" s="750">
        <v>4</v>
      </c>
      <c r="L5107" s="752">
        <v>12</v>
      </c>
      <c r="M5107" s="636">
        <f t="shared" si="63"/>
        <v>21600</v>
      </c>
      <c r="N5107" s="752">
        <v>1</v>
      </c>
      <c r="O5107" s="750">
        <v>6</v>
      </c>
      <c r="P5107" s="643">
        <f t="shared" si="64"/>
        <v>10800</v>
      </c>
    </row>
    <row r="5108" spans="1:16" s="619" customFormat="1" ht="24" x14ac:dyDescent="0.2">
      <c r="A5108" s="626" t="s">
        <v>10134</v>
      </c>
      <c r="B5108" s="626" t="s">
        <v>1908</v>
      </c>
      <c r="C5108" s="638" t="s">
        <v>104</v>
      </c>
      <c r="D5108" s="626" t="s">
        <v>10388</v>
      </c>
      <c r="E5108" s="636">
        <v>4000</v>
      </c>
      <c r="F5108" s="749">
        <v>46200267</v>
      </c>
      <c r="G5108" s="626" t="s">
        <v>10389</v>
      </c>
      <c r="H5108" s="626" t="s">
        <v>10388</v>
      </c>
      <c r="I5108" s="638" t="s">
        <v>10388</v>
      </c>
      <c r="J5108" s="626" t="s">
        <v>1913</v>
      </c>
      <c r="K5108" s="750">
        <v>4</v>
      </c>
      <c r="L5108" s="752">
        <v>12</v>
      </c>
      <c r="M5108" s="636">
        <f t="shared" si="63"/>
        <v>48000</v>
      </c>
      <c r="N5108" s="752">
        <v>1</v>
      </c>
      <c r="O5108" s="750">
        <v>6</v>
      </c>
      <c r="P5108" s="643">
        <f t="shared" si="64"/>
        <v>24000</v>
      </c>
    </row>
    <row r="5109" spans="1:16" s="619" customFormat="1" ht="48" x14ac:dyDescent="0.2">
      <c r="A5109" s="626" t="s">
        <v>10134</v>
      </c>
      <c r="B5109" s="626" t="s">
        <v>1908</v>
      </c>
      <c r="C5109" s="638" t="s">
        <v>104</v>
      </c>
      <c r="D5109" s="626" t="s">
        <v>10256</v>
      </c>
      <c r="E5109" s="636">
        <v>3500</v>
      </c>
      <c r="F5109" s="749" t="s">
        <v>10390</v>
      </c>
      <c r="G5109" s="626" t="s">
        <v>10391</v>
      </c>
      <c r="H5109" s="626" t="s">
        <v>10256</v>
      </c>
      <c r="I5109" s="638" t="s">
        <v>10256</v>
      </c>
      <c r="J5109" s="626" t="s">
        <v>1913</v>
      </c>
      <c r="K5109" s="750">
        <v>4</v>
      </c>
      <c r="L5109" s="752">
        <v>12</v>
      </c>
      <c r="M5109" s="636">
        <f t="shared" si="63"/>
        <v>42000</v>
      </c>
      <c r="N5109" s="752">
        <v>1</v>
      </c>
      <c r="O5109" s="750">
        <v>6</v>
      </c>
      <c r="P5109" s="643">
        <f t="shared" si="64"/>
        <v>21000</v>
      </c>
    </row>
    <row r="5110" spans="1:16" s="619" customFormat="1" ht="24" x14ac:dyDescent="0.2">
      <c r="A5110" s="626" t="s">
        <v>10134</v>
      </c>
      <c r="B5110" s="626" t="s">
        <v>1908</v>
      </c>
      <c r="C5110" s="638" t="s">
        <v>104</v>
      </c>
      <c r="D5110" s="626" t="s">
        <v>10302</v>
      </c>
      <c r="E5110" s="636">
        <v>1700</v>
      </c>
      <c r="F5110" s="749">
        <v>48721178</v>
      </c>
      <c r="G5110" s="626" t="s">
        <v>10392</v>
      </c>
      <c r="H5110" s="626" t="s">
        <v>10302</v>
      </c>
      <c r="I5110" s="638" t="s">
        <v>10302</v>
      </c>
      <c r="J5110" s="626" t="s">
        <v>1931</v>
      </c>
      <c r="K5110" s="750">
        <v>4</v>
      </c>
      <c r="L5110" s="752">
        <v>12</v>
      </c>
      <c r="M5110" s="636">
        <f t="shared" si="63"/>
        <v>20400</v>
      </c>
      <c r="N5110" s="752">
        <v>1</v>
      </c>
      <c r="O5110" s="750">
        <v>6</v>
      </c>
      <c r="P5110" s="643">
        <f t="shared" si="64"/>
        <v>10200</v>
      </c>
    </row>
    <row r="5111" spans="1:16" s="619" customFormat="1" ht="24" x14ac:dyDescent="0.2">
      <c r="A5111" s="626" t="s">
        <v>10134</v>
      </c>
      <c r="B5111" s="626" t="s">
        <v>1908</v>
      </c>
      <c r="C5111" s="638" t="s">
        <v>104</v>
      </c>
      <c r="D5111" s="626" t="s">
        <v>2072</v>
      </c>
      <c r="E5111" s="636">
        <v>1800</v>
      </c>
      <c r="F5111" s="749" t="s">
        <v>10393</v>
      </c>
      <c r="G5111" s="626" t="s">
        <v>10394</v>
      </c>
      <c r="H5111" s="626" t="s">
        <v>2072</v>
      </c>
      <c r="I5111" s="638" t="s">
        <v>2072</v>
      </c>
      <c r="J5111" s="626" t="s">
        <v>1931</v>
      </c>
      <c r="K5111" s="750">
        <v>2</v>
      </c>
      <c r="L5111" s="752">
        <v>6</v>
      </c>
      <c r="M5111" s="636">
        <f t="shared" si="63"/>
        <v>10800</v>
      </c>
      <c r="N5111" s="752">
        <v>1</v>
      </c>
      <c r="O5111" s="750">
        <v>6</v>
      </c>
      <c r="P5111" s="643">
        <f t="shared" si="64"/>
        <v>10800</v>
      </c>
    </row>
    <row r="5112" spans="1:16" s="619" customFormat="1" ht="36" x14ac:dyDescent="0.2">
      <c r="A5112" s="626" t="s">
        <v>10134</v>
      </c>
      <c r="B5112" s="626" t="s">
        <v>1908</v>
      </c>
      <c r="C5112" s="638" t="s">
        <v>104</v>
      </c>
      <c r="D5112" s="626" t="s">
        <v>10302</v>
      </c>
      <c r="E5112" s="636">
        <v>1700</v>
      </c>
      <c r="F5112" s="749" t="s">
        <v>10395</v>
      </c>
      <c r="G5112" s="626" t="s">
        <v>10396</v>
      </c>
      <c r="H5112" s="626" t="s">
        <v>10302</v>
      </c>
      <c r="I5112" s="638" t="s">
        <v>10302</v>
      </c>
      <c r="J5112" s="626" t="s">
        <v>1931</v>
      </c>
      <c r="K5112" s="750">
        <v>2</v>
      </c>
      <c r="L5112" s="752">
        <v>6</v>
      </c>
      <c r="M5112" s="636">
        <f t="shared" si="63"/>
        <v>10200</v>
      </c>
      <c r="N5112" s="752">
        <v>1</v>
      </c>
      <c r="O5112" s="750">
        <v>6</v>
      </c>
      <c r="P5112" s="643">
        <f t="shared" si="64"/>
        <v>10200</v>
      </c>
    </row>
    <row r="5113" spans="1:16" s="619" customFormat="1" ht="24" x14ac:dyDescent="0.2">
      <c r="A5113" s="626" t="s">
        <v>10134</v>
      </c>
      <c r="B5113" s="626" t="s">
        <v>1908</v>
      </c>
      <c r="C5113" s="638" t="s">
        <v>104</v>
      </c>
      <c r="D5113" s="626" t="s">
        <v>2660</v>
      </c>
      <c r="E5113" s="636">
        <v>1700</v>
      </c>
      <c r="F5113" s="749" t="s">
        <v>10397</v>
      </c>
      <c r="G5113" s="626" t="s">
        <v>10398</v>
      </c>
      <c r="H5113" s="626" t="s">
        <v>2660</v>
      </c>
      <c r="I5113" s="638" t="s">
        <v>2660</v>
      </c>
      <c r="J5113" s="626" t="s">
        <v>1931</v>
      </c>
      <c r="K5113" s="750">
        <v>4</v>
      </c>
      <c r="L5113" s="752">
        <v>12</v>
      </c>
      <c r="M5113" s="636">
        <f t="shared" si="63"/>
        <v>20400</v>
      </c>
      <c r="N5113" s="752">
        <v>1</v>
      </c>
      <c r="O5113" s="750">
        <v>6</v>
      </c>
      <c r="P5113" s="643">
        <f t="shared" si="64"/>
        <v>10200</v>
      </c>
    </row>
    <row r="5114" spans="1:16" s="619" customFormat="1" ht="24" x14ac:dyDescent="0.2">
      <c r="A5114" s="626" t="s">
        <v>10134</v>
      </c>
      <c r="B5114" s="626" t="s">
        <v>1908</v>
      </c>
      <c r="C5114" s="638" t="s">
        <v>104</v>
      </c>
      <c r="D5114" s="626" t="s">
        <v>2660</v>
      </c>
      <c r="E5114" s="636">
        <v>1900</v>
      </c>
      <c r="F5114" s="749">
        <v>47869455</v>
      </c>
      <c r="G5114" s="626" t="s">
        <v>10399</v>
      </c>
      <c r="H5114" s="626" t="s">
        <v>2660</v>
      </c>
      <c r="I5114" s="638" t="s">
        <v>2660</v>
      </c>
      <c r="J5114" s="626" t="s">
        <v>1931</v>
      </c>
      <c r="K5114" s="750">
        <v>4</v>
      </c>
      <c r="L5114" s="752">
        <v>12</v>
      </c>
      <c r="M5114" s="636">
        <f t="shared" si="63"/>
        <v>22800</v>
      </c>
      <c r="N5114" s="752">
        <v>1</v>
      </c>
      <c r="O5114" s="750">
        <v>6</v>
      </c>
      <c r="P5114" s="643">
        <f t="shared" si="64"/>
        <v>11400</v>
      </c>
    </row>
    <row r="5115" spans="1:16" s="619" customFormat="1" ht="36" x14ac:dyDescent="0.2">
      <c r="A5115" s="626" t="s">
        <v>10134</v>
      </c>
      <c r="B5115" s="626" t="s">
        <v>1908</v>
      </c>
      <c r="C5115" s="638" t="s">
        <v>104</v>
      </c>
      <c r="D5115" s="626" t="s">
        <v>2660</v>
      </c>
      <c r="E5115" s="636">
        <v>1900</v>
      </c>
      <c r="F5115" s="749" t="s">
        <v>10400</v>
      </c>
      <c r="G5115" s="626" t="s">
        <v>10401</v>
      </c>
      <c r="H5115" s="626" t="s">
        <v>2660</v>
      </c>
      <c r="I5115" s="638" t="s">
        <v>2660</v>
      </c>
      <c r="J5115" s="626" t="s">
        <v>1931</v>
      </c>
      <c r="K5115" s="750">
        <v>4</v>
      </c>
      <c r="L5115" s="752">
        <v>12</v>
      </c>
      <c r="M5115" s="636">
        <f t="shared" si="63"/>
        <v>22800</v>
      </c>
      <c r="N5115" s="752">
        <v>1</v>
      </c>
      <c r="O5115" s="750">
        <v>6</v>
      </c>
      <c r="P5115" s="643">
        <f t="shared" si="64"/>
        <v>11400</v>
      </c>
    </row>
    <row r="5116" spans="1:16" s="619" customFormat="1" ht="36" x14ac:dyDescent="0.2">
      <c r="A5116" s="626" t="s">
        <v>10134</v>
      </c>
      <c r="B5116" s="626" t="s">
        <v>1908</v>
      </c>
      <c r="C5116" s="638" t="s">
        <v>104</v>
      </c>
      <c r="D5116" s="626" t="s">
        <v>2660</v>
      </c>
      <c r="E5116" s="636">
        <v>1900</v>
      </c>
      <c r="F5116" s="749" t="s">
        <v>10402</v>
      </c>
      <c r="G5116" s="626" t="s">
        <v>10403</v>
      </c>
      <c r="H5116" s="626" t="s">
        <v>2660</v>
      </c>
      <c r="I5116" s="638" t="s">
        <v>2660</v>
      </c>
      <c r="J5116" s="626" t="s">
        <v>1931</v>
      </c>
      <c r="K5116" s="750">
        <v>4</v>
      </c>
      <c r="L5116" s="752">
        <v>12</v>
      </c>
      <c r="M5116" s="636">
        <f t="shared" si="63"/>
        <v>22800</v>
      </c>
      <c r="N5116" s="752">
        <v>1</v>
      </c>
      <c r="O5116" s="750">
        <v>6</v>
      </c>
      <c r="P5116" s="643">
        <f t="shared" si="64"/>
        <v>11400</v>
      </c>
    </row>
    <row r="5117" spans="1:16" s="619" customFormat="1" ht="24" x14ac:dyDescent="0.2">
      <c r="A5117" s="626" t="s">
        <v>10134</v>
      </c>
      <c r="B5117" s="626" t="s">
        <v>1908</v>
      </c>
      <c r="C5117" s="638" t="s">
        <v>104</v>
      </c>
      <c r="D5117" s="626" t="s">
        <v>2660</v>
      </c>
      <c r="E5117" s="636">
        <v>1700</v>
      </c>
      <c r="F5117" s="749" t="s">
        <v>10404</v>
      </c>
      <c r="G5117" s="626" t="s">
        <v>10405</v>
      </c>
      <c r="H5117" s="626" t="s">
        <v>2660</v>
      </c>
      <c r="I5117" s="638" t="s">
        <v>2660</v>
      </c>
      <c r="J5117" s="626" t="s">
        <v>1931</v>
      </c>
      <c r="K5117" s="750">
        <v>4</v>
      </c>
      <c r="L5117" s="752">
        <v>12</v>
      </c>
      <c r="M5117" s="636">
        <f t="shared" si="63"/>
        <v>20400</v>
      </c>
      <c r="N5117" s="752">
        <v>1</v>
      </c>
      <c r="O5117" s="750">
        <v>6</v>
      </c>
      <c r="P5117" s="643">
        <f t="shared" si="64"/>
        <v>10200</v>
      </c>
    </row>
    <row r="5118" spans="1:16" s="619" customFormat="1" ht="24" x14ac:dyDescent="0.2">
      <c r="A5118" s="626" t="s">
        <v>10134</v>
      </c>
      <c r="B5118" s="626" t="s">
        <v>1908</v>
      </c>
      <c r="C5118" s="638" t="s">
        <v>104</v>
      </c>
      <c r="D5118" s="626" t="s">
        <v>2072</v>
      </c>
      <c r="E5118" s="636">
        <v>2200</v>
      </c>
      <c r="F5118" s="749" t="s">
        <v>10406</v>
      </c>
      <c r="G5118" s="626" t="s">
        <v>10407</v>
      </c>
      <c r="H5118" s="626" t="s">
        <v>2072</v>
      </c>
      <c r="I5118" s="638" t="s">
        <v>2072</v>
      </c>
      <c r="J5118" s="626" t="s">
        <v>1931</v>
      </c>
      <c r="K5118" s="750">
        <v>4</v>
      </c>
      <c r="L5118" s="752">
        <v>12</v>
      </c>
      <c r="M5118" s="636">
        <f t="shared" si="63"/>
        <v>26400</v>
      </c>
      <c r="N5118" s="752">
        <v>1</v>
      </c>
      <c r="O5118" s="750">
        <v>6</v>
      </c>
      <c r="P5118" s="643">
        <f t="shared" si="64"/>
        <v>13200</v>
      </c>
    </row>
    <row r="5119" spans="1:16" s="619" customFormat="1" ht="24" x14ac:dyDescent="0.2">
      <c r="A5119" s="626" t="s">
        <v>10134</v>
      </c>
      <c r="B5119" s="626" t="s">
        <v>1908</v>
      </c>
      <c r="C5119" s="638" t="s">
        <v>104</v>
      </c>
      <c r="D5119" s="626" t="s">
        <v>10183</v>
      </c>
      <c r="E5119" s="636">
        <v>2200</v>
      </c>
      <c r="F5119" s="749">
        <v>74953805</v>
      </c>
      <c r="G5119" s="626" t="s">
        <v>10408</v>
      </c>
      <c r="H5119" s="626" t="s">
        <v>10183</v>
      </c>
      <c r="I5119" s="638" t="s">
        <v>10183</v>
      </c>
      <c r="J5119" s="626" t="s">
        <v>1931</v>
      </c>
      <c r="K5119" s="750">
        <v>2</v>
      </c>
      <c r="L5119" s="752">
        <v>5</v>
      </c>
      <c r="M5119" s="636">
        <f t="shared" si="63"/>
        <v>11000</v>
      </c>
      <c r="N5119" s="752">
        <v>1</v>
      </c>
      <c r="O5119" s="750">
        <v>2</v>
      </c>
      <c r="P5119" s="643">
        <f t="shared" si="64"/>
        <v>4400</v>
      </c>
    </row>
    <row r="5120" spans="1:16" s="619" customFormat="1" ht="24" x14ac:dyDescent="0.2">
      <c r="A5120" s="626" t="s">
        <v>10134</v>
      </c>
      <c r="B5120" s="626" t="s">
        <v>1908</v>
      </c>
      <c r="C5120" s="638" t="s">
        <v>104</v>
      </c>
      <c r="D5120" s="626" t="s">
        <v>10388</v>
      </c>
      <c r="E5120" s="636">
        <v>4400</v>
      </c>
      <c r="F5120" s="749" t="s">
        <v>10409</v>
      </c>
      <c r="G5120" s="626" t="s">
        <v>10410</v>
      </c>
      <c r="H5120" s="626" t="s">
        <v>10388</v>
      </c>
      <c r="I5120" s="638" t="s">
        <v>10388</v>
      </c>
      <c r="J5120" s="626" t="s">
        <v>1913</v>
      </c>
      <c r="K5120" s="750">
        <v>4</v>
      </c>
      <c r="L5120" s="752">
        <v>12</v>
      </c>
      <c r="M5120" s="636">
        <f t="shared" si="63"/>
        <v>52800</v>
      </c>
      <c r="N5120" s="752">
        <v>1</v>
      </c>
      <c r="O5120" s="750">
        <v>6</v>
      </c>
      <c r="P5120" s="643">
        <f t="shared" si="64"/>
        <v>26400</v>
      </c>
    </row>
    <row r="5121" spans="1:16" s="619" customFormat="1" ht="36" x14ac:dyDescent="0.2">
      <c r="A5121" s="626" t="s">
        <v>10134</v>
      </c>
      <c r="B5121" s="626" t="s">
        <v>1908</v>
      </c>
      <c r="C5121" s="638" t="s">
        <v>104</v>
      </c>
      <c r="D5121" s="626" t="s">
        <v>2660</v>
      </c>
      <c r="E5121" s="636">
        <v>2800</v>
      </c>
      <c r="F5121" s="749" t="s">
        <v>10411</v>
      </c>
      <c r="G5121" s="626" t="s">
        <v>10412</v>
      </c>
      <c r="H5121" s="626" t="s">
        <v>2660</v>
      </c>
      <c r="I5121" s="638" t="s">
        <v>2660</v>
      </c>
      <c r="J5121" s="626" t="s">
        <v>1931</v>
      </c>
      <c r="K5121" s="750">
        <v>4</v>
      </c>
      <c r="L5121" s="752">
        <v>12</v>
      </c>
      <c r="M5121" s="636">
        <f t="shared" si="63"/>
        <v>33600</v>
      </c>
      <c r="N5121" s="752">
        <v>1</v>
      </c>
      <c r="O5121" s="750">
        <v>6</v>
      </c>
      <c r="P5121" s="643">
        <f t="shared" si="64"/>
        <v>16800</v>
      </c>
    </row>
    <row r="5122" spans="1:16" s="619" customFormat="1" ht="36" x14ac:dyDescent="0.2">
      <c r="A5122" s="626" t="s">
        <v>10134</v>
      </c>
      <c r="B5122" s="626" t="s">
        <v>1908</v>
      </c>
      <c r="C5122" s="638" t="s">
        <v>104</v>
      </c>
      <c r="D5122" s="626" t="s">
        <v>1919</v>
      </c>
      <c r="E5122" s="636">
        <v>1100</v>
      </c>
      <c r="F5122" s="749" t="s">
        <v>10413</v>
      </c>
      <c r="G5122" s="626" t="s">
        <v>10414</v>
      </c>
      <c r="H5122" s="626" t="s">
        <v>1919</v>
      </c>
      <c r="I5122" s="638" t="s">
        <v>1919</v>
      </c>
      <c r="J5122" s="626" t="s">
        <v>10192</v>
      </c>
      <c r="K5122" s="750">
        <v>4</v>
      </c>
      <c r="L5122" s="752">
        <v>12</v>
      </c>
      <c r="M5122" s="636">
        <f t="shared" si="63"/>
        <v>13200</v>
      </c>
      <c r="N5122" s="752">
        <v>1</v>
      </c>
      <c r="O5122" s="750">
        <v>6</v>
      </c>
      <c r="P5122" s="643">
        <f t="shared" si="64"/>
        <v>6600</v>
      </c>
    </row>
    <row r="5123" spans="1:16" s="619" customFormat="1" ht="36" x14ac:dyDescent="0.2">
      <c r="A5123" s="626" t="s">
        <v>10134</v>
      </c>
      <c r="B5123" s="626" t="s">
        <v>1908</v>
      </c>
      <c r="C5123" s="638" t="s">
        <v>104</v>
      </c>
      <c r="D5123" s="626" t="s">
        <v>10261</v>
      </c>
      <c r="E5123" s="636">
        <v>2000</v>
      </c>
      <c r="F5123" s="749" t="s">
        <v>10415</v>
      </c>
      <c r="G5123" s="626" t="s">
        <v>10416</v>
      </c>
      <c r="H5123" s="626" t="s">
        <v>10261</v>
      </c>
      <c r="I5123" s="638" t="s">
        <v>10261</v>
      </c>
      <c r="J5123" s="626" t="s">
        <v>1931</v>
      </c>
      <c r="K5123" s="750">
        <v>4</v>
      </c>
      <c r="L5123" s="752">
        <v>12</v>
      </c>
      <c r="M5123" s="636">
        <f t="shared" si="63"/>
        <v>24000</v>
      </c>
      <c r="N5123" s="752">
        <v>1</v>
      </c>
      <c r="O5123" s="750">
        <v>6</v>
      </c>
      <c r="P5123" s="643">
        <f t="shared" si="64"/>
        <v>12000</v>
      </c>
    </row>
    <row r="5124" spans="1:16" s="619" customFormat="1" ht="24" x14ac:dyDescent="0.2">
      <c r="A5124" s="626" t="s">
        <v>10134</v>
      </c>
      <c r="B5124" s="626" t="s">
        <v>1908</v>
      </c>
      <c r="C5124" s="638" t="s">
        <v>104</v>
      </c>
      <c r="D5124" s="626" t="s">
        <v>2072</v>
      </c>
      <c r="E5124" s="636">
        <v>1700</v>
      </c>
      <c r="F5124" s="749" t="s">
        <v>10417</v>
      </c>
      <c r="G5124" s="626" t="s">
        <v>10418</v>
      </c>
      <c r="H5124" s="626" t="s">
        <v>2072</v>
      </c>
      <c r="I5124" s="638" t="s">
        <v>2072</v>
      </c>
      <c r="J5124" s="626" t="s">
        <v>1931</v>
      </c>
      <c r="K5124" s="750">
        <v>4</v>
      </c>
      <c r="L5124" s="752">
        <v>12</v>
      </c>
      <c r="M5124" s="636">
        <f t="shared" si="63"/>
        <v>20400</v>
      </c>
      <c r="N5124" s="752">
        <v>1</v>
      </c>
      <c r="O5124" s="750">
        <v>6</v>
      </c>
      <c r="P5124" s="643">
        <f t="shared" si="64"/>
        <v>10200</v>
      </c>
    </row>
    <row r="5125" spans="1:16" s="619" customFormat="1" ht="24" x14ac:dyDescent="0.2">
      <c r="A5125" s="626" t="s">
        <v>10134</v>
      </c>
      <c r="B5125" s="626" t="s">
        <v>1908</v>
      </c>
      <c r="C5125" s="638" t="s">
        <v>104</v>
      </c>
      <c r="D5125" s="626" t="s">
        <v>10375</v>
      </c>
      <c r="E5125" s="636">
        <v>1500</v>
      </c>
      <c r="F5125" s="749" t="s">
        <v>10419</v>
      </c>
      <c r="G5125" s="626" t="s">
        <v>10420</v>
      </c>
      <c r="H5125" s="626" t="s">
        <v>10375</v>
      </c>
      <c r="I5125" s="638" t="s">
        <v>10375</v>
      </c>
      <c r="J5125" s="626" t="s">
        <v>1931</v>
      </c>
      <c r="K5125" s="750">
        <v>4</v>
      </c>
      <c r="L5125" s="752">
        <v>12</v>
      </c>
      <c r="M5125" s="636">
        <f t="shared" ref="M5125:M5188" si="65">E5125*L5125</f>
        <v>18000</v>
      </c>
      <c r="N5125" s="752">
        <v>1</v>
      </c>
      <c r="O5125" s="750">
        <v>6</v>
      </c>
      <c r="P5125" s="643">
        <f t="shared" ref="P5125:P5188" si="66">E5125*O5125</f>
        <v>9000</v>
      </c>
    </row>
    <row r="5126" spans="1:16" s="619" customFormat="1" ht="36" x14ac:dyDescent="0.2">
      <c r="A5126" s="626" t="s">
        <v>10134</v>
      </c>
      <c r="B5126" s="626" t="s">
        <v>1908</v>
      </c>
      <c r="C5126" s="638" t="s">
        <v>104</v>
      </c>
      <c r="D5126" s="626" t="s">
        <v>10421</v>
      </c>
      <c r="E5126" s="636">
        <v>2000</v>
      </c>
      <c r="F5126" s="749" t="s">
        <v>10422</v>
      </c>
      <c r="G5126" s="626" t="s">
        <v>10423</v>
      </c>
      <c r="H5126" s="626" t="s">
        <v>10421</v>
      </c>
      <c r="I5126" s="638" t="s">
        <v>10421</v>
      </c>
      <c r="J5126" s="626" t="s">
        <v>10247</v>
      </c>
      <c r="K5126" s="750">
        <v>3</v>
      </c>
      <c r="L5126" s="752">
        <v>10</v>
      </c>
      <c r="M5126" s="636">
        <f t="shared" si="65"/>
        <v>20000</v>
      </c>
      <c r="N5126" s="752">
        <v>1</v>
      </c>
      <c r="O5126" s="750">
        <v>6</v>
      </c>
      <c r="P5126" s="643">
        <f t="shared" si="66"/>
        <v>12000</v>
      </c>
    </row>
    <row r="5127" spans="1:16" s="619" customFormat="1" ht="36" x14ac:dyDescent="0.2">
      <c r="A5127" s="626" t="s">
        <v>10134</v>
      </c>
      <c r="B5127" s="626" t="s">
        <v>1908</v>
      </c>
      <c r="C5127" s="638" t="s">
        <v>104</v>
      </c>
      <c r="D5127" s="626" t="s">
        <v>7716</v>
      </c>
      <c r="E5127" s="636">
        <v>3300</v>
      </c>
      <c r="F5127" s="749" t="s">
        <v>10424</v>
      </c>
      <c r="G5127" s="626" t="s">
        <v>10425</v>
      </c>
      <c r="H5127" s="626" t="s">
        <v>7716</v>
      </c>
      <c r="I5127" s="638" t="s">
        <v>7716</v>
      </c>
      <c r="J5127" s="626" t="s">
        <v>1913</v>
      </c>
      <c r="K5127" s="750">
        <v>4</v>
      </c>
      <c r="L5127" s="752">
        <v>12</v>
      </c>
      <c r="M5127" s="636">
        <f t="shared" si="65"/>
        <v>39600</v>
      </c>
      <c r="N5127" s="752">
        <v>1</v>
      </c>
      <c r="O5127" s="750">
        <v>2</v>
      </c>
      <c r="P5127" s="643">
        <f t="shared" si="66"/>
        <v>6600</v>
      </c>
    </row>
    <row r="5128" spans="1:16" s="619" customFormat="1" ht="24" x14ac:dyDescent="0.2">
      <c r="A5128" s="626" t="s">
        <v>10134</v>
      </c>
      <c r="B5128" s="626" t="s">
        <v>1908</v>
      </c>
      <c r="C5128" s="638" t="s">
        <v>104</v>
      </c>
      <c r="D5128" s="626" t="s">
        <v>1919</v>
      </c>
      <c r="E5128" s="636">
        <v>1400</v>
      </c>
      <c r="F5128" s="749" t="s">
        <v>10426</v>
      </c>
      <c r="G5128" s="626" t="s">
        <v>10427</v>
      </c>
      <c r="H5128" s="626" t="s">
        <v>1919</v>
      </c>
      <c r="I5128" s="638" t="s">
        <v>1919</v>
      </c>
      <c r="J5128" s="626" t="s">
        <v>10192</v>
      </c>
      <c r="K5128" s="750">
        <v>4</v>
      </c>
      <c r="L5128" s="752">
        <v>12</v>
      </c>
      <c r="M5128" s="636">
        <f t="shared" si="65"/>
        <v>16800</v>
      </c>
      <c r="N5128" s="752">
        <v>1</v>
      </c>
      <c r="O5128" s="750">
        <v>6</v>
      </c>
      <c r="P5128" s="643">
        <f t="shared" si="66"/>
        <v>8400</v>
      </c>
    </row>
    <row r="5129" spans="1:16" s="619" customFormat="1" ht="24" x14ac:dyDescent="0.2">
      <c r="A5129" s="626" t="s">
        <v>10134</v>
      </c>
      <c r="B5129" s="626" t="s">
        <v>1908</v>
      </c>
      <c r="C5129" s="638" t="s">
        <v>104</v>
      </c>
      <c r="D5129" s="626" t="s">
        <v>10261</v>
      </c>
      <c r="E5129" s="636">
        <v>2000</v>
      </c>
      <c r="F5129" s="749" t="s">
        <v>10428</v>
      </c>
      <c r="G5129" s="626" t="s">
        <v>10429</v>
      </c>
      <c r="H5129" s="626" t="s">
        <v>10261</v>
      </c>
      <c r="I5129" s="638" t="s">
        <v>10261</v>
      </c>
      <c r="J5129" s="626" t="s">
        <v>10430</v>
      </c>
      <c r="K5129" s="750">
        <v>4</v>
      </c>
      <c r="L5129" s="752">
        <v>12</v>
      </c>
      <c r="M5129" s="636">
        <f t="shared" si="65"/>
        <v>24000</v>
      </c>
      <c r="N5129" s="752">
        <v>1</v>
      </c>
      <c r="O5129" s="750">
        <v>6</v>
      </c>
      <c r="P5129" s="643">
        <f t="shared" si="66"/>
        <v>12000</v>
      </c>
    </row>
    <row r="5130" spans="1:16" s="619" customFormat="1" ht="24" x14ac:dyDescent="0.2">
      <c r="A5130" s="626" t="s">
        <v>10134</v>
      </c>
      <c r="B5130" s="626" t="s">
        <v>1908</v>
      </c>
      <c r="C5130" s="638" t="s">
        <v>104</v>
      </c>
      <c r="D5130" s="626" t="s">
        <v>1919</v>
      </c>
      <c r="E5130" s="636">
        <v>1200</v>
      </c>
      <c r="F5130" s="749">
        <v>33769464</v>
      </c>
      <c r="G5130" s="626" t="s">
        <v>10431</v>
      </c>
      <c r="H5130" s="626" t="s">
        <v>1919</v>
      </c>
      <c r="I5130" s="638" t="s">
        <v>1919</v>
      </c>
      <c r="J5130" s="626" t="s">
        <v>10192</v>
      </c>
      <c r="K5130" s="750"/>
      <c r="L5130" s="752"/>
      <c r="M5130" s="636">
        <f t="shared" si="65"/>
        <v>0</v>
      </c>
      <c r="N5130" s="752">
        <v>1</v>
      </c>
      <c r="O5130" s="750">
        <v>3</v>
      </c>
      <c r="P5130" s="643">
        <f t="shared" si="66"/>
        <v>3600</v>
      </c>
    </row>
    <row r="5131" spans="1:16" s="619" customFormat="1" ht="24" x14ac:dyDescent="0.2">
      <c r="A5131" s="626" t="s">
        <v>10134</v>
      </c>
      <c r="B5131" s="626" t="s">
        <v>1908</v>
      </c>
      <c r="C5131" s="638" t="s">
        <v>104</v>
      </c>
      <c r="D5131" s="626" t="s">
        <v>6240</v>
      </c>
      <c r="E5131" s="636">
        <v>1700</v>
      </c>
      <c r="F5131" s="749" t="s">
        <v>10432</v>
      </c>
      <c r="G5131" s="626" t="s">
        <v>10433</v>
      </c>
      <c r="H5131" s="626" t="s">
        <v>6240</v>
      </c>
      <c r="I5131" s="638" t="s">
        <v>6240</v>
      </c>
      <c r="J5131" s="626" t="s">
        <v>1931</v>
      </c>
      <c r="K5131" s="750">
        <v>4</v>
      </c>
      <c r="L5131" s="752">
        <v>12</v>
      </c>
      <c r="M5131" s="636">
        <f t="shared" si="65"/>
        <v>20400</v>
      </c>
      <c r="N5131" s="752">
        <v>1</v>
      </c>
      <c r="O5131" s="750">
        <v>6</v>
      </c>
      <c r="P5131" s="643">
        <f t="shared" si="66"/>
        <v>10200</v>
      </c>
    </row>
    <row r="5132" spans="1:16" s="619" customFormat="1" ht="24" x14ac:dyDescent="0.2">
      <c r="A5132" s="626" t="s">
        <v>10134</v>
      </c>
      <c r="B5132" s="626" t="s">
        <v>1908</v>
      </c>
      <c r="C5132" s="638" t="s">
        <v>104</v>
      </c>
      <c r="D5132" s="626" t="s">
        <v>10256</v>
      </c>
      <c r="E5132" s="636">
        <v>3300</v>
      </c>
      <c r="F5132" s="749" t="s">
        <v>10434</v>
      </c>
      <c r="G5132" s="626" t="s">
        <v>10435</v>
      </c>
      <c r="H5132" s="626" t="s">
        <v>10256</v>
      </c>
      <c r="I5132" s="638" t="s">
        <v>10256</v>
      </c>
      <c r="J5132" s="626" t="s">
        <v>1913</v>
      </c>
      <c r="K5132" s="750">
        <v>4</v>
      </c>
      <c r="L5132" s="752">
        <v>12</v>
      </c>
      <c r="M5132" s="636">
        <f t="shared" si="65"/>
        <v>39600</v>
      </c>
      <c r="N5132" s="752">
        <v>1</v>
      </c>
      <c r="O5132" s="750">
        <v>6</v>
      </c>
      <c r="P5132" s="643">
        <f t="shared" si="66"/>
        <v>19800</v>
      </c>
    </row>
    <row r="5133" spans="1:16" s="619" customFormat="1" ht="24" x14ac:dyDescent="0.2">
      <c r="A5133" s="626" t="s">
        <v>10134</v>
      </c>
      <c r="B5133" s="626" t="s">
        <v>1908</v>
      </c>
      <c r="C5133" s="638" t="s">
        <v>104</v>
      </c>
      <c r="D5133" s="626" t="s">
        <v>2764</v>
      </c>
      <c r="E5133" s="636">
        <v>3300</v>
      </c>
      <c r="F5133" s="749" t="s">
        <v>10436</v>
      </c>
      <c r="G5133" s="626" t="s">
        <v>10437</v>
      </c>
      <c r="H5133" s="626" t="s">
        <v>2764</v>
      </c>
      <c r="I5133" s="638" t="s">
        <v>2764</v>
      </c>
      <c r="J5133" s="626" t="s">
        <v>1913</v>
      </c>
      <c r="K5133" s="750">
        <v>4</v>
      </c>
      <c r="L5133" s="752">
        <v>12</v>
      </c>
      <c r="M5133" s="636">
        <f t="shared" si="65"/>
        <v>39600</v>
      </c>
      <c r="N5133" s="752">
        <v>1</v>
      </c>
      <c r="O5133" s="750">
        <v>6</v>
      </c>
      <c r="P5133" s="643">
        <f t="shared" si="66"/>
        <v>19800</v>
      </c>
    </row>
    <row r="5134" spans="1:16" s="619" customFormat="1" ht="24" x14ac:dyDescent="0.2">
      <c r="A5134" s="626" t="s">
        <v>10134</v>
      </c>
      <c r="B5134" s="626" t="s">
        <v>1908</v>
      </c>
      <c r="C5134" s="638" t="s">
        <v>104</v>
      </c>
      <c r="D5134" s="626" t="s">
        <v>2660</v>
      </c>
      <c r="E5134" s="636">
        <v>1700</v>
      </c>
      <c r="F5134" s="749" t="s">
        <v>10438</v>
      </c>
      <c r="G5134" s="626" t="s">
        <v>10439</v>
      </c>
      <c r="H5134" s="626" t="s">
        <v>2660</v>
      </c>
      <c r="I5134" s="638" t="s">
        <v>2660</v>
      </c>
      <c r="J5134" s="626" t="s">
        <v>1931</v>
      </c>
      <c r="K5134" s="750">
        <v>4</v>
      </c>
      <c r="L5134" s="752">
        <v>12</v>
      </c>
      <c r="M5134" s="636">
        <f t="shared" si="65"/>
        <v>20400</v>
      </c>
      <c r="N5134" s="752">
        <v>1</v>
      </c>
      <c r="O5134" s="750">
        <v>6</v>
      </c>
      <c r="P5134" s="643">
        <f t="shared" si="66"/>
        <v>10200</v>
      </c>
    </row>
    <row r="5135" spans="1:16" s="619" customFormat="1" ht="24" x14ac:dyDescent="0.2">
      <c r="A5135" s="626" t="s">
        <v>10134</v>
      </c>
      <c r="B5135" s="626" t="s">
        <v>1908</v>
      </c>
      <c r="C5135" s="638" t="s">
        <v>104</v>
      </c>
      <c r="D5135" s="626" t="s">
        <v>2660</v>
      </c>
      <c r="E5135" s="636">
        <v>1700</v>
      </c>
      <c r="F5135" s="749" t="s">
        <v>10440</v>
      </c>
      <c r="G5135" s="626" t="s">
        <v>10441</v>
      </c>
      <c r="H5135" s="626" t="s">
        <v>2660</v>
      </c>
      <c r="I5135" s="638" t="s">
        <v>2660</v>
      </c>
      <c r="J5135" s="626" t="s">
        <v>1931</v>
      </c>
      <c r="K5135" s="750">
        <v>4</v>
      </c>
      <c r="L5135" s="752">
        <v>12</v>
      </c>
      <c r="M5135" s="636">
        <f t="shared" si="65"/>
        <v>20400</v>
      </c>
      <c r="N5135" s="752">
        <v>1</v>
      </c>
      <c r="O5135" s="750">
        <v>6</v>
      </c>
      <c r="P5135" s="643">
        <f t="shared" si="66"/>
        <v>10200</v>
      </c>
    </row>
    <row r="5136" spans="1:16" s="619" customFormat="1" ht="36" x14ac:dyDescent="0.2">
      <c r="A5136" s="626" t="s">
        <v>10134</v>
      </c>
      <c r="B5136" s="626" t="s">
        <v>1908</v>
      </c>
      <c r="C5136" s="638" t="s">
        <v>104</v>
      </c>
      <c r="D5136" s="626" t="s">
        <v>2660</v>
      </c>
      <c r="E5136" s="636">
        <v>1600</v>
      </c>
      <c r="F5136" s="749" t="s">
        <v>10442</v>
      </c>
      <c r="G5136" s="626" t="s">
        <v>10443</v>
      </c>
      <c r="H5136" s="626" t="s">
        <v>2660</v>
      </c>
      <c r="I5136" s="638" t="s">
        <v>2660</v>
      </c>
      <c r="J5136" s="626" t="s">
        <v>1931</v>
      </c>
      <c r="K5136" s="750">
        <v>4</v>
      </c>
      <c r="L5136" s="752">
        <v>12</v>
      </c>
      <c r="M5136" s="636">
        <f t="shared" si="65"/>
        <v>19200</v>
      </c>
      <c r="N5136" s="752">
        <v>1</v>
      </c>
      <c r="O5136" s="750">
        <v>6</v>
      </c>
      <c r="P5136" s="643">
        <f t="shared" si="66"/>
        <v>9600</v>
      </c>
    </row>
    <row r="5137" spans="1:16" s="619" customFormat="1" ht="24" x14ac:dyDescent="0.2">
      <c r="A5137" s="626" t="s">
        <v>10134</v>
      </c>
      <c r="B5137" s="626" t="s">
        <v>1908</v>
      </c>
      <c r="C5137" s="638" t="s">
        <v>104</v>
      </c>
      <c r="D5137" s="626" t="s">
        <v>2072</v>
      </c>
      <c r="E5137" s="636">
        <v>1500</v>
      </c>
      <c r="F5137" s="749" t="s">
        <v>10444</v>
      </c>
      <c r="G5137" s="626" t="s">
        <v>10445</v>
      </c>
      <c r="H5137" s="626" t="s">
        <v>2072</v>
      </c>
      <c r="I5137" s="638" t="s">
        <v>2072</v>
      </c>
      <c r="J5137" s="626" t="s">
        <v>1931</v>
      </c>
      <c r="K5137" s="750"/>
      <c r="L5137" s="752"/>
      <c r="M5137" s="636">
        <f t="shared" si="65"/>
        <v>0</v>
      </c>
      <c r="N5137" s="752">
        <v>1</v>
      </c>
      <c r="O5137" s="750">
        <v>2</v>
      </c>
      <c r="P5137" s="643">
        <f t="shared" si="66"/>
        <v>3000</v>
      </c>
    </row>
    <row r="5138" spans="1:16" s="619" customFormat="1" ht="24" x14ac:dyDescent="0.2">
      <c r="A5138" s="626" t="s">
        <v>10134</v>
      </c>
      <c r="B5138" s="626" t="s">
        <v>1908</v>
      </c>
      <c r="C5138" s="638" t="s">
        <v>104</v>
      </c>
      <c r="D5138" s="626" t="s">
        <v>6299</v>
      </c>
      <c r="E5138" s="636">
        <v>1700</v>
      </c>
      <c r="F5138" s="749" t="s">
        <v>10446</v>
      </c>
      <c r="G5138" s="626" t="s">
        <v>10447</v>
      </c>
      <c r="H5138" s="626" t="s">
        <v>6299</v>
      </c>
      <c r="I5138" s="638" t="s">
        <v>6299</v>
      </c>
      <c r="J5138" s="626" t="s">
        <v>1931</v>
      </c>
      <c r="K5138" s="750"/>
      <c r="L5138" s="752"/>
      <c r="M5138" s="636">
        <f t="shared" si="65"/>
        <v>0</v>
      </c>
      <c r="N5138" s="752">
        <v>1</v>
      </c>
      <c r="O5138" s="750">
        <v>5</v>
      </c>
      <c r="P5138" s="643">
        <f t="shared" si="66"/>
        <v>8500</v>
      </c>
    </row>
    <row r="5139" spans="1:16" s="619" customFormat="1" ht="24" x14ac:dyDescent="0.2">
      <c r="A5139" s="626" t="s">
        <v>10134</v>
      </c>
      <c r="B5139" s="626" t="s">
        <v>1908</v>
      </c>
      <c r="C5139" s="638" t="s">
        <v>104</v>
      </c>
      <c r="D5139" s="626" t="s">
        <v>10274</v>
      </c>
      <c r="E5139" s="636">
        <v>1700</v>
      </c>
      <c r="F5139" s="749" t="s">
        <v>10448</v>
      </c>
      <c r="G5139" s="626" t="s">
        <v>10449</v>
      </c>
      <c r="H5139" s="626" t="s">
        <v>10274</v>
      </c>
      <c r="I5139" s="638" t="s">
        <v>10274</v>
      </c>
      <c r="J5139" s="626" t="s">
        <v>1931</v>
      </c>
      <c r="K5139" s="750">
        <v>4</v>
      </c>
      <c r="L5139" s="752">
        <v>12</v>
      </c>
      <c r="M5139" s="636">
        <f t="shared" si="65"/>
        <v>20400</v>
      </c>
      <c r="N5139" s="752">
        <v>1</v>
      </c>
      <c r="O5139" s="750">
        <v>6</v>
      </c>
      <c r="P5139" s="643">
        <f t="shared" si="66"/>
        <v>10200</v>
      </c>
    </row>
    <row r="5140" spans="1:16" s="619" customFormat="1" ht="24" x14ac:dyDescent="0.2">
      <c r="A5140" s="626" t="s">
        <v>10134</v>
      </c>
      <c r="B5140" s="626" t="s">
        <v>1908</v>
      </c>
      <c r="C5140" s="638" t="s">
        <v>104</v>
      </c>
      <c r="D5140" s="626" t="s">
        <v>2660</v>
      </c>
      <c r="E5140" s="636">
        <v>1700</v>
      </c>
      <c r="F5140" s="749" t="s">
        <v>10450</v>
      </c>
      <c r="G5140" s="626" t="s">
        <v>10451</v>
      </c>
      <c r="H5140" s="626" t="s">
        <v>2660</v>
      </c>
      <c r="I5140" s="638" t="s">
        <v>2660</v>
      </c>
      <c r="J5140" s="626" t="s">
        <v>1931</v>
      </c>
      <c r="K5140" s="750">
        <v>4</v>
      </c>
      <c r="L5140" s="752">
        <v>12</v>
      </c>
      <c r="M5140" s="636">
        <f t="shared" si="65"/>
        <v>20400</v>
      </c>
      <c r="N5140" s="752">
        <v>1</v>
      </c>
      <c r="O5140" s="750">
        <v>6</v>
      </c>
      <c r="P5140" s="643">
        <f t="shared" si="66"/>
        <v>10200</v>
      </c>
    </row>
    <row r="5141" spans="1:16" s="619" customFormat="1" ht="36" x14ac:dyDescent="0.2">
      <c r="A5141" s="626" t="s">
        <v>10134</v>
      </c>
      <c r="B5141" s="626" t="s">
        <v>1908</v>
      </c>
      <c r="C5141" s="638" t="s">
        <v>104</v>
      </c>
      <c r="D5141" s="626" t="s">
        <v>2660</v>
      </c>
      <c r="E5141" s="636">
        <v>1600</v>
      </c>
      <c r="F5141" s="749" t="s">
        <v>10452</v>
      </c>
      <c r="G5141" s="626" t="s">
        <v>10453</v>
      </c>
      <c r="H5141" s="626" t="s">
        <v>2660</v>
      </c>
      <c r="I5141" s="638" t="s">
        <v>2660</v>
      </c>
      <c r="J5141" s="626" t="s">
        <v>1931</v>
      </c>
      <c r="K5141" s="750">
        <v>4</v>
      </c>
      <c r="L5141" s="752">
        <v>12</v>
      </c>
      <c r="M5141" s="636">
        <f t="shared" si="65"/>
        <v>19200</v>
      </c>
      <c r="N5141" s="752">
        <v>1</v>
      </c>
      <c r="O5141" s="750">
        <v>6</v>
      </c>
      <c r="P5141" s="643">
        <f t="shared" si="66"/>
        <v>9600</v>
      </c>
    </row>
    <row r="5142" spans="1:16" s="619" customFormat="1" ht="24" x14ac:dyDescent="0.2">
      <c r="A5142" s="626" t="s">
        <v>10134</v>
      </c>
      <c r="B5142" s="626" t="s">
        <v>1908</v>
      </c>
      <c r="C5142" s="638" t="s">
        <v>104</v>
      </c>
      <c r="D5142" s="626" t="s">
        <v>2660</v>
      </c>
      <c r="E5142" s="636">
        <v>1800</v>
      </c>
      <c r="F5142" s="749" t="s">
        <v>10454</v>
      </c>
      <c r="G5142" s="626" t="s">
        <v>10455</v>
      </c>
      <c r="H5142" s="626" t="s">
        <v>2660</v>
      </c>
      <c r="I5142" s="638" t="s">
        <v>2660</v>
      </c>
      <c r="J5142" s="626" t="s">
        <v>1931</v>
      </c>
      <c r="K5142" s="750">
        <v>4</v>
      </c>
      <c r="L5142" s="752">
        <v>12</v>
      </c>
      <c r="M5142" s="636">
        <f t="shared" si="65"/>
        <v>21600</v>
      </c>
      <c r="N5142" s="752">
        <v>1</v>
      </c>
      <c r="O5142" s="750">
        <v>6</v>
      </c>
      <c r="P5142" s="643">
        <f t="shared" si="66"/>
        <v>10800</v>
      </c>
    </row>
    <row r="5143" spans="1:16" s="619" customFormat="1" ht="24" x14ac:dyDescent="0.2">
      <c r="A5143" s="626" t="s">
        <v>10134</v>
      </c>
      <c r="B5143" s="626" t="s">
        <v>1908</v>
      </c>
      <c r="C5143" s="638" t="s">
        <v>104</v>
      </c>
      <c r="D5143" s="626" t="s">
        <v>8377</v>
      </c>
      <c r="E5143" s="636">
        <v>2000</v>
      </c>
      <c r="F5143" s="749" t="s">
        <v>10456</v>
      </c>
      <c r="G5143" s="626" t="s">
        <v>10457</v>
      </c>
      <c r="H5143" s="626" t="s">
        <v>8377</v>
      </c>
      <c r="I5143" s="638" t="s">
        <v>8377</v>
      </c>
      <c r="J5143" s="626" t="s">
        <v>1931</v>
      </c>
      <c r="K5143" s="750">
        <v>4</v>
      </c>
      <c r="L5143" s="752">
        <v>12</v>
      </c>
      <c r="M5143" s="636">
        <f t="shared" si="65"/>
        <v>24000</v>
      </c>
      <c r="N5143" s="752">
        <v>1</v>
      </c>
      <c r="O5143" s="750">
        <v>6</v>
      </c>
      <c r="P5143" s="643">
        <f t="shared" si="66"/>
        <v>12000</v>
      </c>
    </row>
    <row r="5144" spans="1:16" s="619" customFormat="1" ht="24" x14ac:dyDescent="0.2">
      <c r="A5144" s="626" t="s">
        <v>10134</v>
      </c>
      <c r="B5144" s="626" t="s">
        <v>1908</v>
      </c>
      <c r="C5144" s="638" t="s">
        <v>104</v>
      </c>
      <c r="D5144" s="626" t="s">
        <v>2660</v>
      </c>
      <c r="E5144" s="636">
        <v>1800</v>
      </c>
      <c r="F5144" s="749" t="s">
        <v>10458</v>
      </c>
      <c r="G5144" s="626" t="s">
        <v>10459</v>
      </c>
      <c r="H5144" s="626" t="s">
        <v>2660</v>
      </c>
      <c r="I5144" s="638" t="s">
        <v>2660</v>
      </c>
      <c r="J5144" s="626" t="s">
        <v>1931</v>
      </c>
      <c r="K5144" s="750">
        <v>4</v>
      </c>
      <c r="L5144" s="752">
        <v>12</v>
      </c>
      <c r="M5144" s="636">
        <f t="shared" si="65"/>
        <v>21600</v>
      </c>
      <c r="N5144" s="752">
        <v>1</v>
      </c>
      <c r="O5144" s="750">
        <v>6</v>
      </c>
      <c r="P5144" s="643">
        <f t="shared" si="66"/>
        <v>10800</v>
      </c>
    </row>
    <row r="5145" spans="1:16" s="619" customFormat="1" ht="24" x14ac:dyDescent="0.2">
      <c r="A5145" s="626" t="s">
        <v>10134</v>
      </c>
      <c r="B5145" s="626" t="s">
        <v>1908</v>
      </c>
      <c r="C5145" s="638" t="s">
        <v>104</v>
      </c>
      <c r="D5145" s="626" t="s">
        <v>2660</v>
      </c>
      <c r="E5145" s="636">
        <v>1500</v>
      </c>
      <c r="F5145" s="749" t="s">
        <v>10460</v>
      </c>
      <c r="G5145" s="626" t="s">
        <v>10461</v>
      </c>
      <c r="H5145" s="626" t="s">
        <v>2660</v>
      </c>
      <c r="I5145" s="638" t="s">
        <v>2660</v>
      </c>
      <c r="J5145" s="626" t="s">
        <v>1931</v>
      </c>
      <c r="K5145" s="750">
        <v>4</v>
      </c>
      <c r="L5145" s="752">
        <v>12</v>
      </c>
      <c r="M5145" s="636">
        <f t="shared" si="65"/>
        <v>18000</v>
      </c>
      <c r="N5145" s="752">
        <v>1</v>
      </c>
      <c r="O5145" s="750">
        <v>6</v>
      </c>
      <c r="P5145" s="643">
        <f t="shared" si="66"/>
        <v>9000</v>
      </c>
    </row>
    <row r="5146" spans="1:16" s="619" customFormat="1" ht="24" x14ac:dyDescent="0.2">
      <c r="A5146" s="626" t="s">
        <v>10134</v>
      </c>
      <c r="B5146" s="626" t="s">
        <v>1908</v>
      </c>
      <c r="C5146" s="638" t="s">
        <v>104</v>
      </c>
      <c r="D5146" s="626" t="s">
        <v>2660</v>
      </c>
      <c r="E5146" s="636">
        <v>1500</v>
      </c>
      <c r="F5146" s="749" t="s">
        <v>10462</v>
      </c>
      <c r="G5146" s="626" t="s">
        <v>10463</v>
      </c>
      <c r="H5146" s="626" t="s">
        <v>2660</v>
      </c>
      <c r="I5146" s="638" t="s">
        <v>2660</v>
      </c>
      <c r="J5146" s="626" t="s">
        <v>1931</v>
      </c>
      <c r="K5146" s="750">
        <v>4</v>
      </c>
      <c r="L5146" s="752">
        <v>12</v>
      </c>
      <c r="M5146" s="636">
        <f t="shared" si="65"/>
        <v>18000</v>
      </c>
      <c r="N5146" s="752">
        <v>1</v>
      </c>
      <c r="O5146" s="750">
        <v>6</v>
      </c>
      <c r="P5146" s="643">
        <f t="shared" si="66"/>
        <v>9000</v>
      </c>
    </row>
    <row r="5147" spans="1:16" s="619" customFormat="1" ht="36" x14ac:dyDescent="0.2">
      <c r="A5147" s="626" t="s">
        <v>10134</v>
      </c>
      <c r="B5147" s="626" t="s">
        <v>1908</v>
      </c>
      <c r="C5147" s="638" t="s">
        <v>104</v>
      </c>
      <c r="D5147" s="626" t="s">
        <v>10464</v>
      </c>
      <c r="E5147" s="636">
        <v>1800</v>
      </c>
      <c r="F5147" s="749">
        <v>48288134</v>
      </c>
      <c r="G5147" s="626" t="s">
        <v>10465</v>
      </c>
      <c r="H5147" s="626" t="s">
        <v>10464</v>
      </c>
      <c r="I5147" s="638" t="s">
        <v>10464</v>
      </c>
      <c r="J5147" s="626" t="s">
        <v>1931</v>
      </c>
      <c r="K5147" s="750">
        <v>4</v>
      </c>
      <c r="L5147" s="752">
        <v>12</v>
      </c>
      <c r="M5147" s="636">
        <f t="shared" si="65"/>
        <v>21600</v>
      </c>
      <c r="N5147" s="752">
        <v>1</v>
      </c>
      <c r="O5147" s="750">
        <v>6</v>
      </c>
      <c r="P5147" s="643">
        <f t="shared" si="66"/>
        <v>10800</v>
      </c>
    </row>
    <row r="5148" spans="1:16" s="619" customFormat="1" ht="24" x14ac:dyDescent="0.2">
      <c r="A5148" s="626" t="s">
        <v>10134</v>
      </c>
      <c r="B5148" s="626" t="s">
        <v>1908</v>
      </c>
      <c r="C5148" s="638" t="s">
        <v>104</v>
      </c>
      <c r="D5148" s="626" t="s">
        <v>2660</v>
      </c>
      <c r="E5148" s="636">
        <v>1600</v>
      </c>
      <c r="F5148" s="749" t="s">
        <v>10466</v>
      </c>
      <c r="G5148" s="626" t="s">
        <v>10467</v>
      </c>
      <c r="H5148" s="626" t="s">
        <v>2660</v>
      </c>
      <c r="I5148" s="638" t="s">
        <v>2660</v>
      </c>
      <c r="J5148" s="626" t="s">
        <v>1931</v>
      </c>
      <c r="K5148" s="750">
        <v>4</v>
      </c>
      <c r="L5148" s="752">
        <v>12</v>
      </c>
      <c r="M5148" s="636">
        <f t="shared" si="65"/>
        <v>19200</v>
      </c>
      <c r="N5148" s="752">
        <v>1</v>
      </c>
      <c r="O5148" s="750">
        <v>6</v>
      </c>
      <c r="P5148" s="643">
        <f t="shared" si="66"/>
        <v>9600</v>
      </c>
    </row>
    <row r="5149" spans="1:16" s="619" customFormat="1" ht="24" x14ac:dyDescent="0.2">
      <c r="A5149" s="626" t="s">
        <v>10134</v>
      </c>
      <c r="B5149" s="626" t="s">
        <v>1908</v>
      </c>
      <c r="C5149" s="638" t="s">
        <v>104</v>
      </c>
      <c r="D5149" s="626" t="s">
        <v>2660</v>
      </c>
      <c r="E5149" s="636">
        <v>1700</v>
      </c>
      <c r="F5149" s="749" t="s">
        <v>10468</v>
      </c>
      <c r="G5149" s="626" t="s">
        <v>10469</v>
      </c>
      <c r="H5149" s="626" t="s">
        <v>2660</v>
      </c>
      <c r="I5149" s="638" t="s">
        <v>2660</v>
      </c>
      <c r="J5149" s="626" t="s">
        <v>1931</v>
      </c>
      <c r="K5149" s="750">
        <v>4</v>
      </c>
      <c r="L5149" s="752">
        <v>12</v>
      </c>
      <c r="M5149" s="636">
        <f t="shared" si="65"/>
        <v>20400</v>
      </c>
      <c r="N5149" s="752">
        <v>1</v>
      </c>
      <c r="O5149" s="750">
        <v>6</v>
      </c>
      <c r="P5149" s="643">
        <f t="shared" si="66"/>
        <v>10200</v>
      </c>
    </row>
    <row r="5150" spans="1:16" s="619" customFormat="1" ht="24" x14ac:dyDescent="0.2">
      <c r="A5150" s="626" t="s">
        <v>10134</v>
      </c>
      <c r="B5150" s="626" t="s">
        <v>1908</v>
      </c>
      <c r="C5150" s="638" t="s">
        <v>104</v>
      </c>
      <c r="D5150" s="626" t="s">
        <v>2660</v>
      </c>
      <c r="E5150" s="636">
        <v>1500</v>
      </c>
      <c r="F5150" s="749">
        <v>47811938</v>
      </c>
      <c r="G5150" s="626" t="s">
        <v>10470</v>
      </c>
      <c r="H5150" s="626" t="s">
        <v>2660</v>
      </c>
      <c r="I5150" s="638" t="s">
        <v>2660</v>
      </c>
      <c r="J5150" s="626" t="s">
        <v>1931</v>
      </c>
      <c r="K5150" s="750">
        <v>4</v>
      </c>
      <c r="L5150" s="752">
        <v>12</v>
      </c>
      <c r="M5150" s="636">
        <f t="shared" si="65"/>
        <v>18000</v>
      </c>
      <c r="N5150" s="752">
        <v>1</v>
      </c>
      <c r="O5150" s="750">
        <v>6</v>
      </c>
      <c r="P5150" s="643">
        <f t="shared" si="66"/>
        <v>9000</v>
      </c>
    </row>
    <row r="5151" spans="1:16" s="619" customFormat="1" ht="24" x14ac:dyDescent="0.2">
      <c r="A5151" s="626" t="s">
        <v>10134</v>
      </c>
      <c r="B5151" s="626" t="s">
        <v>1908</v>
      </c>
      <c r="C5151" s="638" t="s">
        <v>104</v>
      </c>
      <c r="D5151" s="626" t="s">
        <v>2660</v>
      </c>
      <c r="E5151" s="636">
        <v>1500</v>
      </c>
      <c r="F5151" s="749">
        <v>42356558</v>
      </c>
      <c r="G5151" s="626" t="s">
        <v>10471</v>
      </c>
      <c r="H5151" s="626" t="s">
        <v>2660</v>
      </c>
      <c r="I5151" s="638" t="s">
        <v>2660</v>
      </c>
      <c r="J5151" s="626" t="s">
        <v>1931</v>
      </c>
      <c r="K5151" s="750"/>
      <c r="L5151" s="752"/>
      <c r="M5151" s="636">
        <f t="shared" si="65"/>
        <v>0</v>
      </c>
      <c r="N5151" s="752">
        <v>1</v>
      </c>
      <c r="O5151" s="750">
        <v>6</v>
      </c>
      <c r="P5151" s="643">
        <f t="shared" si="66"/>
        <v>9000</v>
      </c>
    </row>
    <row r="5152" spans="1:16" s="619" customFormat="1" ht="36" x14ac:dyDescent="0.2">
      <c r="A5152" s="626" t="s">
        <v>10134</v>
      </c>
      <c r="B5152" s="626" t="s">
        <v>1908</v>
      </c>
      <c r="C5152" s="638" t="s">
        <v>104</v>
      </c>
      <c r="D5152" s="626" t="s">
        <v>6101</v>
      </c>
      <c r="E5152" s="636">
        <v>3300</v>
      </c>
      <c r="F5152" s="749">
        <v>72462082</v>
      </c>
      <c r="G5152" s="626" t="s">
        <v>10472</v>
      </c>
      <c r="H5152" s="626" t="s">
        <v>6101</v>
      </c>
      <c r="I5152" s="638" t="s">
        <v>6101</v>
      </c>
      <c r="J5152" s="626" t="s">
        <v>1913</v>
      </c>
      <c r="K5152" s="750"/>
      <c r="L5152" s="752"/>
      <c r="M5152" s="636">
        <f t="shared" si="65"/>
        <v>0</v>
      </c>
      <c r="N5152" s="752">
        <v>1</v>
      </c>
      <c r="O5152" s="750">
        <v>5</v>
      </c>
      <c r="P5152" s="643">
        <f t="shared" si="66"/>
        <v>16500</v>
      </c>
    </row>
    <row r="5153" spans="1:16" s="619" customFormat="1" ht="48" x14ac:dyDescent="0.2">
      <c r="A5153" s="626" t="s">
        <v>10134</v>
      </c>
      <c r="B5153" s="626" t="s">
        <v>1908</v>
      </c>
      <c r="C5153" s="638" t="s">
        <v>104</v>
      </c>
      <c r="D5153" s="626" t="s">
        <v>7757</v>
      </c>
      <c r="E5153" s="636">
        <v>1700</v>
      </c>
      <c r="F5153" s="749">
        <v>73336545</v>
      </c>
      <c r="G5153" s="626" t="s">
        <v>10473</v>
      </c>
      <c r="H5153" s="626" t="s">
        <v>7716</v>
      </c>
      <c r="I5153" s="638" t="s">
        <v>7716</v>
      </c>
      <c r="J5153" s="626" t="s">
        <v>1913</v>
      </c>
      <c r="K5153" s="750">
        <v>2</v>
      </c>
      <c r="L5153" s="752">
        <v>6</v>
      </c>
      <c r="M5153" s="636">
        <f t="shared" si="65"/>
        <v>10200</v>
      </c>
      <c r="N5153" s="752"/>
      <c r="O5153" s="750"/>
      <c r="P5153" s="643"/>
    </row>
    <row r="5154" spans="1:16" s="619" customFormat="1" ht="24" x14ac:dyDescent="0.2">
      <c r="A5154" s="626" t="s">
        <v>10134</v>
      </c>
      <c r="B5154" s="626" t="s">
        <v>1908</v>
      </c>
      <c r="C5154" s="638" t="s">
        <v>104</v>
      </c>
      <c r="D5154" s="626" t="s">
        <v>2660</v>
      </c>
      <c r="E5154" s="636">
        <v>1500</v>
      </c>
      <c r="F5154" s="749" t="s">
        <v>10474</v>
      </c>
      <c r="G5154" s="626" t="s">
        <v>10475</v>
      </c>
      <c r="H5154" s="626" t="s">
        <v>2660</v>
      </c>
      <c r="I5154" s="638" t="s">
        <v>2660</v>
      </c>
      <c r="J5154" s="626" t="s">
        <v>1931</v>
      </c>
      <c r="K5154" s="750">
        <v>4</v>
      </c>
      <c r="L5154" s="752">
        <v>12</v>
      </c>
      <c r="M5154" s="636">
        <f t="shared" si="65"/>
        <v>18000</v>
      </c>
      <c r="N5154" s="752">
        <v>1</v>
      </c>
      <c r="O5154" s="750">
        <v>6</v>
      </c>
      <c r="P5154" s="643">
        <f t="shared" si="66"/>
        <v>9000</v>
      </c>
    </row>
    <row r="5155" spans="1:16" s="619" customFormat="1" ht="36" x14ac:dyDescent="0.2">
      <c r="A5155" s="626" t="s">
        <v>10134</v>
      </c>
      <c r="B5155" s="626" t="s">
        <v>1908</v>
      </c>
      <c r="C5155" s="638" t="s">
        <v>104</v>
      </c>
      <c r="D5155" s="626" t="s">
        <v>10476</v>
      </c>
      <c r="E5155" s="636">
        <v>1500</v>
      </c>
      <c r="F5155" s="749" t="s">
        <v>10477</v>
      </c>
      <c r="G5155" s="626" t="s">
        <v>10478</v>
      </c>
      <c r="H5155" s="626" t="s">
        <v>10476</v>
      </c>
      <c r="I5155" s="638" t="s">
        <v>10476</v>
      </c>
      <c r="J5155" s="626" t="s">
        <v>10247</v>
      </c>
      <c r="K5155" s="750">
        <v>4</v>
      </c>
      <c r="L5155" s="752">
        <v>12</v>
      </c>
      <c r="M5155" s="636">
        <f t="shared" si="65"/>
        <v>18000</v>
      </c>
      <c r="N5155" s="752">
        <v>1</v>
      </c>
      <c r="O5155" s="750">
        <v>6</v>
      </c>
      <c r="P5155" s="643">
        <f t="shared" si="66"/>
        <v>9000</v>
      </c>
    </row>
    <row r="5156" spans="1:16" s="619" customFormat="1" ht="24" x14ac:dyDescent="0.2">
      <c r="A5156" s="626" t="s">
        <v>10134</v>
      </c>
      <c r="B5156" s="626" t="s">
        <v>1908</v>
      </c>
      <c r="C5156" s="638" t="s">
        <v>104</v>
      </c>
      <c r="D5156" s="626" t="s">
        <v>1919</v>
      </c>
      <c r="E5156" s="636">
        <v>1100</v>
      </c>
      <c r="F5156" s="749" t="s">
        <v>10479</v>
      </c>
      <c r="G5156" s="626" t="s">
        <v>10480</v>
      </c>
      <c r="H5156" s="626" t="s">
        <v>1919</v>
      </c>
      <c r="I5156" s="638" t="s">
        <v>1919</v>
      </c>
      <c r="J5156" s="626" t="s">
        <v>10192</v>
      </c>
      <c r="K5156" s="750">
        <v>4</v>
      </c>
      <c r="L5156" s="752">
        <v>12</v>
      </c>
      <c r="M5156" s="636">
        <f t="shared" si="65"/>
        <v>13200</v>
      </c>
      <c r="N5156" s="752">
        <v>1</v>
      </c>
      <c r="O5156" s="750">
        <v>6</v>
      </c>
      <c r="P5156" s="643">
        <f t="shared" si="66"/>
        <v>6600</v>
      </c>
    </row>
    <row r="5157" spans="1:16" s="619" customFormat="1" ht="24" x14ac:dyDescent="0.2">
      <c r="A5157" s="626" t="s">
        <v>10134</v>
      </c>
      <c r="B5157" s="626" t="s">
        <v>1908</v>
      </c>
      <c r="C5157" s="638" t="s">
        <v>104</v>
      </c>
      <c r="D5157" s="626" t="s">
        <v>10144</v>
      </c>
      <c r="E5157" s="636">
        <v>1800</v>
      </c>
      <c r="F5157" s="749" t="s">
        <v>10481</v>
      </c>
      <c r="G5157" s="626" t="s">
        <v>10482</v>
      </c>
      <c r="H5157" s="626" t="s">
        <v>10144</v>
      </c>
      <c r="I5157" s="638" t="s">
        <v>10144</v>
      </c>
      <c r="J5157" s="626" t="s">
        <v>1931</v>
      </c>
      <c r="K5157" s="750">
        <v>4</v>
      </c>
      <c r="L5157" s="752">
        <v>12</v>
      </c>
      <c r="M5157" s="636">
        <f t="shared" si="65"/>
        <v>21600</v>
      </c>
      <c r="N5157" s="752">
        <v>1</v>
      </c>
      <c r="O5157" s="750">
        <v>6</v>
      </c>
      <c r="P5157" s="643">
        <f t="shared" si="66"/>
        <v>10800</v>
      </c>
    </row>
    <row r="5158" spans="1:16" s="619" customFormat="1" ht="36" x14ac:dyDescent="0.2">
      <c r="A5158" s="626" t="s">
        <v>10134</v>
      </c>
      <c r="B5158" s="626" t="s">
        <v>1908</v>
      </c>
      <c r="C5158" s="638" t="s">
        <v>104</v>
      </c>
      <c r="D5158" s="626" t="s">
        <v>10261</v>
      </c>
      <c r="E5158" s="636">
        <v>2200</v>
      </c>
      <c r="F5158" s="749" t="s">
        <v>10483</v>
      </c>
      <c r="G5158" s="626" t="s">
        <v>10484</v>
      </c>
      <c r="H5158" s="626" t="s">
        <v>10261</v>
      </c>
      <c r="I5158" s="638" t="s">
        <v>10261</v>
      </c>
      <c r="J5158" s="626" t="s">
        <v>1931</v>
      </c>
      <c r="K5158" s="750">
        <v>4</v>
      </c>
      <c r="L5158" s="752">
        <v>12</v>
      </c>
      <c r="M5158" s="636">
        <f t="shared" si="65"/>
        <v>26400</v>
      </c>
      <c r="N5158" s="752">
        <v>1</v>
      </c>
      <c r="O5158" s="750">
        <v>6</v>
      </c>
      <c r="P5158" s="643">
        <f t="shared" si="66"/>
        <v>13200</v>
      </c>
    </row>
    <row r="5159" spans="1:16" s="619" customFormat="1" ht="36" x14ac:dyDescent="0.2">
      <c r="A5159" s="626" t="s">
        <v>10134</v>
      </c>
      <c r="B5159" s="626" t="s">
        <v>1908</v>
      </c>
      <c r="C5159" s="638" t="s">
        <v>104</v>
      </c>
      <c r="D5159" s="626" t="s">
        <v>6101</v>
      </c>
      <c r="E5159" s="636">
        <v>4000</v>
      </c>
      <c r="F5159" s="749">
        <v>46746478</v>
      </c>
      <c r="G5159" s="626" t="s">
        <v>10485</v>
      </c>
      <c r="H5159" s="626" t="s">
        <v>6101</v>
      </c>
      <c r="I5159" s="638" t="s">
        <v>6101</v>
      </c>
      <c r="J5159" s="626" t="s">
        <v>1913</v>
      </c>
      <c r="K5159" s="750"/>
      <c r="L5159" s="752"/>
      <c r="M5159" s="636">
        <f t="shared" si="65"/>
        <v>0</v>
      </c>
      <c r="N5159" s="752">
        <v>1</v>
      </c>
      <c r="O5159" s="750">
        <v>2</v>
      </c>
      <c r="P5159" s="643">
        <f t="shared" si="66"/>
        <v>8000</v>
      </c>
    </row>
    <row r="5160" spans="1:16" s="619" customFormat="1" ht="36" x14ac:dyDescent="0.2">
      <c r="A5160" s="626" t="s">
        <v>10134</v>
      </c>
      <c r="B5160" s="626" t="s">
        <v>1908</v>
      </c>
      <c r="C5160" s="638" t="s">
        <v>104</v>
      </c>
      <c r="D5160" s="626" t="s">
        <v>6299</v>
      </c>
      <c r="E5160" s="636">
        <v>1900</v>
      </c>
      <c r="F5160" s="749" t="s">
        <v>10486</v>
      </c>
      <c r="G5160" s="626" t="s">
        <v>10487</v>
      </c>
      <c r="H5160" s="626" t="s">
        <v>6299</v>
      </c>
      <c r="I5160" s="638" t="s">
        <v>6299</v>
      </c>
      <c r="J5160" s="626" t="s">
        <v>1931</v>
      </c>
      <c r="K5160" s="750">
        <v>4</v>
      </c>
      <c r="L5160" s="752">
        <v>12</v>
      </c>
      <c r="M5160" s="636">
        <f t="shared" si="65"/>
        <v>22800</v>
      </c>
      <c r="N5160" s="752">
        <v>1</v>
      </c>
      <c r="O5160" s="750">
        <v>6</v>
      </c>
      <c r="P5160" s="643">
        <f t="shared" si="66"/>
        <v>11400</v>
      </c>
    </row>
    <row r="5161" spans="1:16" s="619" customFormat="1" ht="36" x14ac:dyDescent="0.2">
      <c r="A5161" s="626" t="s">
        <v>10134</v>
      </c>
      <c r="B5161" s="626" t="s">
        <v>1908</v>
      </c>
      <c r="C5161" s="638" t="s">
        <v>104</v>
      </c>
      <c r="D5161" s="626" t="s">
        <v>5662</v>
      </c>
      <c r="E5161" s="636">
        <v>4300</v>
      </c>
      <c r="F5161" s="749" t="s">
        <v>10488</v>
      </c>
      <c r="G5161" s="626" t="s">
        <v>10489</v>
      </c>
      <c r="H5161" s="626" t="s">
        <v>5662</v>
      </c>
      <c r="I5161" s="638" t="s">
        <v>5662</v>
      </c>
      <c r="J5161" s="626" t="s">
        <v>1913</v>
      </c>
      <c r="K5161" s="750">
        <v>3</v>
      </c>
      <c r="L5161" s="752">
        <v>10</v>
      </c>
      <c r="M5161" s="636">
        <f t="shared" si="65"/>
        <v>43000</v>
      </c>
      <c r="N5161" s="752">
        <v>1</v>
      </c>
      <c r="O5161" s="750">
        <v>6</v>
      </c>
      <c r="P5161" s="643">
        <f t="shared" si="66"/>
        <v>25800</v>
      </c>
    </row>
    <row r="5162" spans="1:16" s="619" customFormat="1" ht="36" x14ac:dyDescent="0.2">
      <c r="A5162" s="626" t="s">
        <v>10134</v>
      </c>
      <c r="B5162" s="626" t="s">
        <v>1908</v>
      </c>
      <c r="C5162" s="638" t="s">
        <v>104</v>
      </c>
      <c r="D5162" s="626" t="s">
        <v>1919</v>
      </c>
      <c r="E5162" s="636">
        <v>1600</v>
      </c>
      <c r="F5162" s="749" t="s">
        <v>10490</v>
      </c>
      <c r="G5162" s="626" t="s">
        <v>10491</v>
      </c>
      <c r="H5162" s="626" t="s">
        <v>1919</v>
      </c>
      <c r="I5162" s="638" t="s">
        <v>1919</v>
      </c>
      <c r="J5162" s="626" t="s">
        <v>10192</v>
      </c>
      <c r="K5162" s="750"/>
      <c r="L5162" s="752"/>
      <c r="M5162" s="636">
        <f t="shared" si="65"/>
        <v>0</v>
      </c>
      <c r="N5162" s="752">
        <v>1</v>
      </c>
      <c r="O5162" s="750">
        <v>5</v>
      </c>
      <c r="P5162" s="643">
        <f t="shared" si="66"/>
        <v>8000</v>
      </c>
    </row>
    <row r="5163" spans="1:16" s="619" customFormat="1" ht="36" x14ac:dyDescent="0.2">
      <c r="A5163" s="626" t="s">
        <v>10134</v>
      </c>
      <c r="B5163" s="626" t="s">
        <v>1908</v>
      </c>
      <c r="C5163" s="638" t="s">
        <v>104</v>
      </c>
      <c r="D5163" s="626" t="s">
        <v>10256</v>
      </c>
      <c r="E5163" s="636">
        <v>4000</v>
      </c>
      <c r="F5163" s="749" t="s">
        <v>10492</v>
      </c>
      <c r="G5163" s="626" t="s">
        <v>10493</v>
      </c>
      <c r="H5163" s="626" t="s">
        <v>10256</v>
      </c>
      <c r="I5163" s="638" t="s">
        <v>10256</v>
      </c>
      <c r="J5163" s="626" t="s">
        <v>1913</v>
      </c>
      <c r="K5163" s="750">
        <v>4</v>
      </c>
      <c r="L5163" s="752">
        <v>12</v>
      </c>
      <c r="M5163" s="636">
        <f t="shared" si="65"/>
        <v>48000</v>
      </c>
      <c r="N5163" s="752">
        <v>1</v>
      </c>
      <c r="O5163" s="750">
        <v>5</v>
      </c>
      <c r="P5163" s="643">
        <f t="shared" si="66"/>
        <v>20000</v>
      </c>
    </row>
    <row r="5164" spans="1:16" s="619" customFormat="1" ht="24" x14ac:dyDescent="0.2">
      <c r="A5164" s="626" t="s">
        <v>10134</v>
      </c>
      <c r="B5164" s="626" t="s">
        <v>1908</v>
      </c>
      <c r="C5164" s="638" t="s">
        <v>104</v>
      </c>
      <c r="D5164" s="626" t="s">
        <v>1919</v>
      </c>
      <c r="E5164" s="636">
        <v>1100</v>
      </c>
      <c r="F5164" s="749" t="s">
        <v>10494</v>
      </c>
      <c r="G5164" s="626" t="s">
        <v>10495</v>
      </c>
      <c r="H5164" s="626" t="s">
        <v>1919</v>
      </c>
      <c r="I5164" s="638" t="s">
        <v>1919</v>
      </c>
      <c r="J5164" s="626" t="s">
        <v>10192</v>
      </c>
      <c r="K5164" s="750">
        <v>4</v>
      </c>
      <c r="L5164" s="752">
        <v>12</v>
      </c>
      <c r="M5164" s="636">
        <f t="shared" si="65"/>
        <v>13200</v>
      </c>
      <c r="N5164" s="752">
        <v>1</v>
      </c>
      <c r="O5164" s="750">
        <v>6</v>
      </c>
      <c r="P5164" s="643">
        <f t="shared" si="66"/>
        <v>6600</v>
      </c>
    </row>
    <row r="5165" spans="1:16" s="619" customFormat="1" ht="36" x14ac:dyDescent="0.2">
      <c r="A5165" s="626" t="s">
        <v>10134</v>
      </c>
      <c r="B5165" s="626" t="s">
        <v>1908</v>
      </c>
      <c r="C5165" s="638" t="s">
        <v>104</v>
      </c>
      <c r="D5165" s="626" t="s">
        <v>2660</v>
      </c>
      <c r="E5165" s="636">
        <v>1800</v>
      </c>
      <c r="F5165" s="749" t="s">
        <v>10496</v>
      </c>
      <c r="G5165" s="626" t="s">
        <v>10497</v>
      </c>
      <c r="H5165" s="626" t="s">
        <v>2660</v>
      </c>
      <c r="I5165" s="638" t="s">
        <v>2660</v>
      </c>
      <c r="J5165" s="626" t="s">
        <v>1931</v>
      </c>
      <c r="K5165" s="750">
        <v>4</v>
      </c>
      <c r="L5165" s="752">
        <v>10</v>
      </c>
      <c r="M5165" s="636">
        <f t="shared" si="65"/>
        <v>18000</v>
      </c>
      <c r="N5165" s="752">
        <v>1</v>
      </c>
      <c r="O5165" s="750">
        <v>6</v>
      </c>
      <c r="P5165" s="643">
        <f t="shared" si="66"/>
        <v>10800</v>
      </c>
    </row>
    <row r="5166" spans="1:16" s="619" customFormat="1" ht="24" x14ac:dyDescent="0.2">
      <c r="A5166" s="626" t="s">
        <v>10134</v>
      </c>
      <c r="B5166" s="626" t="s">
        <v>1908</v>
      </c>
      <c r="C5166" s="638" t="s">
        <v>104</v>
      </c>
      <c r="D5166" s="626" t="s">
        <v>2660</v>
      </c>
      <c r="E5166" s="636">
        <v>1800</v>
      </c>
      <c r="F5166" s="749">
        <v>77924647</v>
      </c>
      <c r="G5166" s="626" t="s">
        <v>10498</v>
      </c>
      <c r="H5166" s="626" t="s">
        <v>2660</v>
      </c>
      <c r="I5166" s="638" t="s">
        <v>2660</v>
      </c>
      <c r="J5166" s="626" t="s">
        <v>1931</v>
      </c>
      <c r="K5166" s="750">
        <v>4</v>
      </c>
      <c r="L5166" s="752">
        <v>12</v>
      </c>
      <c r="M5166" s="636">
        <f t="shared" si="65"/>
        <v>21600</v>
      </c>
      <c r="N5166" s="752">
        <v>1</v>
      </c>
      <c r="O5166" s="750">
        <v>6</v>
      </c>
      <c r="P5166" s="643">
        <f t="shared" si="66"/>
        <v>10800</v>
      </c>
    </row>
    <row r="5167" spans="1:16" s="619" customFormat="1" ht="24" x14ac:dyDescent="0.2">
      <c r="A5167" s="626" t="s">
        <v>10134</v>
      </c>
      <c r="B5167" s="626" t="s">
        <v>1908</v>
      </c>
      <c r="C5167" s="638" t="s">
        <v>104</v>
      </c>
      <c r="D5167" s="626" t="s">
        <v>2660</v>
      </c>
      <c r="E5167" s="636">
        <v>1800</v>
      </c>
      <c r="F5167" s="749" t="s">
        <v>10499</v>
      </c>
      <c r="G5167" s="626" t="s">
        <v>10500</v>
      </c>
      <c r="H5167" s="626" t="s">
        <v>2660</v>
      </c>
      <c r="I5167" s="638" t="s">
        <v>2660</v>
      </c>
      <c r="J5167" s="626" t="s">
        <v>1931</v>
      </c>
      <c r="K5167" s="750">
        <v>4</v>
      </c>
      <c r="L5167" s="752">
        <v>12</v>
      </c>
      <c r="M5167" s="636">
        <f t="shared" si="65"/>
        <v>21600</v>
      </c>
      <c r="N5167" s="752">
        <v>1</v>
      </c>
      <c r="O5167" s="750">
        <v>6</v>
      </c>
      <c r="P5167" s="643">
        <f t="shared" si="66"/>
        <v>10800</v>
      </c>
    </row>
    <row r="5168" spans="1:16" s="619" customFormat="1" ht="24" x14ac:dyDescent="0.2">
      <c r="A5168" s="626" t="s">
        <v>10134</v>
      </c>
      <c r="B5168" s="626" t="s">
        <v>1908</v>
      </c>
      <c r="C5168" s="638" t="s">
        <v>104</v>
      </c>
      <c r="D5168" s="626" t="s">
        <v>2660</v>
      </c>
      <c r="E5168" s="636">
        <v>1800</v>
      </c>
      <c r="F5168" s="749" t="s">
        <v>10499</v>
      </c>
      <c r="G5168" s="626" t="s">
        <v>10501</v>
      </c>
      <c r="H5168" s="626" t="s">
        <v>2660</v>
      </c>
      <c r="I5168" s="638" t="s">
        <v>2660</v>
      </c>
      <c r="J5168" s="626" t="s">
        <v>1931</v>
      </c>
      <c r="K5168" s="750">
        <v>4</v>
      </c>
      <c r="L5168" s="752">
        <v>12</v>
      </c>
      <c r="M5168" s="636">
        <f t="shared" si="65"/>
        <v>21600</v>
      </c>
      <c r="N5168" s="752">
        <v>1</v>
      </c>
      <c r="O5168" s="750">
        <v>6</v>
      </c>
      <c r="P5168" s="643">
        <f t="shared" si="66"/>
        <v>10800</v>
      </c>
    </row>
    <row r="5169" spans="1:16" s="619" customFormat="1" ht="24" x14ac:dyDescent="0.2">
      <c r="A5169" s="626" t="s">
        <v>10134</v>
      </c>
      <c r="B5169" s="626" t="s">
        <v>1908</v>
      </c>
      <c r="C5169" s="638" t="s">
        <v>104</v>
      </c>
      <c r="D5169" s="626" t="s">
        <v>6299</v>
      </c>
      <c r="E5169" s="636">
        <v>2000</v>
      </c>
      <c r="F5169" s="749">
        <v>47060714</v>
      </c>
      <c r="G5169" s="626" t="s">
        <v>10502</v>
      </c>
      <c r="H5169" s="626" t="s">
        <v>6299</v>
      </c>
      <c r="I5169" s="638" t="s">
        <v>6299</v>
      </c>
      <c r="J5169" s="626" t="s">
        <v>1931</v>
      </c>
      <c r="K5169" s="750">
        <v>2</v>
      </c>
      <c r="L5169" s="752">
        <v>7</v>
      </c>
      <c r="M5169" s="636">
        <f t="shared" si="65"/>
        <v>14000</v>
      </c>
      <c r="N5169" s="752">
        <v>1</v>
      </c>
      <c r="O5169" s="750">
        <v>6</v>
      </c>
      <c r="P5169" s="643">
        <f t="shared" si="66"/>
        <v>12000</v>
      </c>
    </row>
    <row r="5170" spans="1:16" s="619" customFormat="1" ht="24" x14ac:dyDescent="0.2">
      <c r="A5170" s="626" t="s">
        <v>10134</v>
      </c>
      <c r="B5170" s="626" t="s">
        <v>1908</v>
      </c>
      <c r="C5170" s="638" t="s">
        <v>104</v>
      </c>
      <c r="D5170" s="626" t="s">
        <v>2660</v>
      </c>
      <c r="E5170" s="636">
        <v>1800</v>
      </c>
      <c r="F5170" s="749" t="s">
        <v>10503</v>
      </c>
      <c r="G5170" s="626" t="s">
        <v>10504</v>
      </c>
      <c r="H5170" s="626" t="s">
        <v>2660</v>
      </c>
      <c r="I5170" s="638" t="s">
        <v>2660</v>
      </c>
      <c r="J5170" s="626" t="s">
        <v>1931</v>
      </c>
      <c r="K5170" s="750">
        <v>4</v>
      </c>
      <c r="L5170" s="752">
        <v>12</v>
      </c>
      <c r="M5170" s="636">
        <f t="shared" si="65"/>
        <v>21600</v>
      </c>
      <c r="N5170" s="752">
        <v>1</v>
      </c>
      <c r="O5170" s="750">
        <v>6</v>
      </c>
      <c r="P5170" s="643">
        <f t="shared" si="66"/>
        <v>10800</v>
      </c>
    </row>
    <row r="5171" spans="1:16" s="619" customFormat="1" ht="24" x14ac:dyDescent="0.2">
      <c r="A5171" s="626" t="s">
        <v>10134</v>
      </c>
      <c r="B5171" s="626" t="s">
        <v>1908</v>
      </c>
      <c r="C5171" s="638" t="s">
        <v>104</v>
      </c>
      <c r="D5171" s="626" t="s">
        <v>2660</v>
      </c>
      <c r="E5171" s="636">
        <v>1900</v>
      </c>
      <c r="F5171" s="749" t="s">
        <v>10505</v>
      </c>
      <c r="G5171" s="626" t="s">
        <v>10506</v>
      </c>
      <c r="H5171" s="626" t="s">
        <v>2660</v>
      </c>
      <c r="I5171" s="638" t="s">
        <v>2660</v>
      </c>
      <c r="J5171" s="626" t="s">
        <v>1931</v>
      </c>
      <c r="K5171" s="750">
        <v>4</v>
      </c>
      <c r="L5171" s="752">
        <v>12</v>
      </c>
      <c r="M5171" s="636">
        <f t="shared" si="65"/>
        <v>22800</v>
      </c>
      <c r="N5171" s="752">
        <v>1</v>
      </c>
      <c r="O5171" s="750">
        <v>6</v>
      </c>
      <c r="P5171" s="643">
        <f t="shared" si="66"/>
        <v>11400</v>
      </c>
    </row>
    <row r="5172" spans="1:16" s="619" customFormat="1" ht="36" x14ac:dyDescent="0.2">
      <c r="A5172" s="626" t="s">
        <v>10134</v>
      </c>
      <c r="B5172" s="626" t="s">
        <v>1908</v>
      </c>
      <c r="C5172" s="638" t="s">
        <v>104</v>
      </c>
      <c r="D5172" s="626" t="s">
        <v>2660</v>
      </c>
      <c r="E5172" s="636">
        <v>1500</v>
      </c>
      <c r="F5172" s="749" t="s">
        <v>10507</v>
      </c>
      <c r="G5172" s="626" t="s">
        <v>10508</v>
      </c>
      <c r="H5172" s="626" t="s">
        <v>2660</v>
      </c>
      <c r="I5172" s="638" t="s">
        <v>2660</v>
      </c>
      <c r="J5172" s="626" t="s">
        <v>1931</v>
      </c>
      <c r="K5172" s="750">
        <v>4</v>
      </c>
      <c r="L5172" s="752">
        <v>12</v>
      </c>
      <c r="M5172" s="636">
        <f t="shared" si="65"/>
        <v>18000</v>
      </c>
      <c r="N5172" s="752">
        <v>1</v>
      </c>
      <c r="O5172" s="750">
        <v>6</v>
      </c>
      <c r="P5172" s="643">
        <f t="shared" si="66"/>
        <v>9000</v>
      </c>
    </row>
    <row r="5173" spans="1:16" s="619" customFormat="1" ht="24" x14ac:dyDescent="0.2">
      <c r="A5173" s="626" t="s">
        <v>10134</v>
      </c>
      <c r="B5173" s="626" t="s">
        <v>1908</v>
      </c>
      <c r="C5173" s="638" t="s">
        <v>104</v>
      </c>
      <c r="D5173" s="626" t="s">
        <v>2660</v>
      </c>
      <c r="E5173" s="636">
        <v>1500</v>
      </c>
      <c r="F5173" s="749" t="s">
        <v>10509</v>
      </c>
      <c r="G5173" s="626" t="s">
        <v>10510</v>
      </c>
      <c r="H5173" s="626" t="s">
        <v>2660</v>
      </c>
      <c r="I5173" s="638" t="s">
        <v>2660</v>
      </c>
      <c r="J5173" s="626" t="s">
        <v>1931</v>
      </c>
      <c r="K5173" s="750">
        <v>4</v>
      </c>
      <c r="L5173" s="752">
        <v>12</v>
      </c>
      <c r="M5173" s="636">
        <f t="shared" si="65"/>
        <v>18000</v>
      </c>
      <c r="N5173" s="752">
        <v>1</v>
      </c>
      <c r="O5173" s="750">
        <v>6</v>
      </c>
      <c r="P5173" s="643">
        <f t="shared" si="66"/>
        <v>9000</v>
      </c>
    </row>
    <row r="5174" spans="1:16" s="619" customFormat="1" ht="24" x14ac:dyDescent="0.2">
      <c r="A5174" s="626" t="s">
        <v>10134</v>
      </c>
      <c r="B5174" s="626" t="s">
        <v>1908</v>
      </c>
      <c r="C5174" s="638" t="s">
        <v>104</v>
      </c>
      <c r="D5174" s="626" t="s">
        <v>10256</v>
      </c>
      <c r="E5174" s="636">
        <v>3100</v>
      </c>
      <c r="F5174" s="749" t="s">
        <v>10511</v>
      </c>
      <c r="G5174" s="626" t="s">
        <v>10512</v>
      </c>
      <c r="H5174" s="626" t="s">
        <v>10256</v>
      </c>
      <c r="I5174" s="638" t="s">
        <v>10256</v>
      </c>
      <c r="J5174" s="626" t="s">
        <v>1913</v>
      </c>
      <c r="K5174" s="750">
        <v>4</v>
      </c>
      <c r="L5174" s="752">
        <v>12</v>
      </c>
      <c r="M5174" s="636">
        <f t="shared" si="65"/>
        <v>37200</v>
      </c>
      <c r="N5174" s="752">
        <v>1</v>
      </c>
      <c r="O5174" s="750">
        <v>6</v>
      </c>
      <c r="P5174" s="643">
        <f t="shared" si="66"/>
        <v>18600</v>
      </c>
    </row>
    <row r="5175" spans="1:16" s="619" customFormat="1" ht="24" x14ac:dyDescent="0.2">
      <c r="A5175" s="626" t="s">
        <v>10134</v>
      </c>
      <c r="B5175" s="626" t="s">
        <v>1908</v>
      </c>
      <c r="C5175" s="638" t="s">
        <v>104</v>
      </c>
      <c r="D5175" s="626" t="s">
        <v>10261</v>
      </c>
      <c r="E5175" s="636">
        <v>2000</v>
      </c>
      <c r="F5175" s="749" t="s">
        <v>10513</v>
      </c>
      <c r="G5175" s="626" t="s">
        <v>10514</v>
      </c>
      <c r="H5175" s="626" t="s">
        <v>10261</v>
      </c>
      <c r="I5175" s="638" t="s">
        <v>10261</v>
      </c>
      <c r="J5175" s="626" t="s">
        <v>1931</v>
      </c>
      <c r="K5175" s="750">
        <v>4</v>
      </c>
      <c r="L5175" s="752">
        <v>12</v>
      </c>
      <c r="M5175" s="636">
        <f t="shared" si="65"/>
        <v>24000</v>
      </c>
      <c r="N5175" s="752">
        <v>1</v>
      </c>
      <c r="O5175" s="750">
        <v>6</v>
      </c>
      <c r="P5175" s="643">
        <f t="shared" si="66"/>
        <v>12000</v>
      </c>
    </row>
    <row r="5176" spans="1:16" s="619" customFormat="1" ht="24" x14ac:dyDescent="0.2">
      <c r="A5176" s="626" t="s">
        <v>10134</v>
      </c>
      <c r="B5176" s="626" t="s">
        <v>1908</v>
      </c>
      <c r="C5176" s="638" t="s">
        <v>104</v>
      </c>
      <c r="D5176" s="626" t="s">
        <v>1919</v>
      </c>
      <c r="E5176" s="636">
        <v>1400</v>
      </c>
      <c r="F5176" s="749" t="s">
        <v>10515</v>
      </c>
      <c r="G5176" s="626" t="s">
        <v>10516</v>
      </c>
      <c r="H5176" s="626" t="s">
        <v>1919</v>
      </c>
      <c r="I5176" s="638" t="s">
        <v>1919</v>
      </c>
      <c r="J5176" s="626" t="s">
        <v>10192</v>
      </c>
      <c r="K5176" s="750">
        <v>2</v>
      </c>
      <c r="L5176" s="752">
        <v>8</v>
      </c>
      <c r="M5176" s="636">
        <f t="shared" si="65"/>
        <v>11200</v>
      </c>
      <c r="N5176" s="752">
        <v>1</v>
      </c>
      <c r="O5176" s="750">
        <v>6</v>
      </c>
      <c r="P5176" s="643">
        <f t="shared" si="66"/>
        <v>8400</v>
      </c>
    </row>
    <row r="5177" spans="1:16" s="619" customFormat="1" ht="36" x14ac:dyDescent="0.2">
      <c r="A5177" s="626" t="s">
        <v>10134</v>
      </c>
      <c r="B5177" s="626" t="s">
        <v>1908</v>
      </c>
      <c r="C5177" s="638" t="s">
        <v>104</v>
      </c>
      <c r="D5177" s="626" t="s">
        <v>2660</v>
      </c>
      <c r="E5177" s="636">
        <v>1500</v>
      </c>
      <c r="F5177" s="749">
        <v>33586664</v>
      </c>
      <c r="G5177" s="626" t="s">
        <v>10517</v>
      </c>
      <c r="H5177" s="626" t="s">
        <v>2660</v>
      </c>
      <c r="I5177" s="638" t="s">
        <v>2660</v>
      </c>
      <c r="J5177" s="626" t="s">
        <v>10518</v>
      </c>
      <c r="K5177" s="750">
        <v>3</v>
      </c>
      <c r="L5177" s="752">
        <v>10</v>
      </c>
      <c r="M5177" s="636">
        <f t="shared" si="65"/>
        <v>15000</v>
      </c>
      <c r="N5177" s="752">
        <v>1</v>
      </c>
      <c r="O5177" s="750">
        <v>6</v>
      </c>
      <c r="P5177" s="643">
        <f t="shared" si="66"/>
        <v>9000</v>
      </c>
    </row>
    <row r="5178" spans="1:16" s="619" customFormat="1" ht="24" x14ac:dyDescent="0.2">
      <c r="A5178" s="626" t="s">
        <v>10134</v>
      </c>
      <c r="B5178" s="626" t="s">
        <v>1908</v>
      </c>
      <c r="C5178" s="638" t="s">
        <v>104</v>
      </c>
      <c r="D5178" s="626" t="s">
        <v>6240</v>
      </c>
      <c r="E5178" s="636">
        <v>1500</v>
      </c>
      <c r="F5178" s="749" t="s">
        <v>10519</v>
      </c>
      <c r="G5178" s="626" t="s">
        <v>10520</v>
      </c>
      <c r="H5178" s="626" t="s">
        <v>6240</v>
      </c>
      <c r="I5178" s="638" t="s">
        <v>6240</v>
      </c>
      <c r="J5178" s="626" t="s">
        <v>10518</v>
      </c>
      <c r="K5178" s="750">
        <v>4</v>
      </c>
      <c r="L5178" s="752">
        <v>12</v>
      </c>
      <c r="M5178" s="636">
        <f t="shared" si="65"/>
        <v>18000</v>
      </c>
      <c r="N5178" s="752">
        <v>1</v>
      </c>
      <c r="O5178" s="750">
        <v>6</v>
      </c>
      <c r="P5178" s="643">
        <f t="shared" si="66"/>
        <v>9000</v>
      </c>
    </row>
    <row r="5179" spans="1:16" s="619" customFormat="1" ht="24" x14ac:dyDescent="0.2">
      <c r="A5179" s="626" t="s">
        <v>10134</v>
      </c>
      <c r="B5179" s="626" t="s">
        <v>1908</v>
      </c>
      <c r="C5179" s="638" t="s">
        <v>104</v>
      </c>
      <c r="D5179" s="626" t="s">
        <v>10375</v>
      </c>
      <c r="E5179" s="636">
        <v>1800</v>
      </c>
      <c r="F5179" s="749" t="s">
        <v>10521</v>
      </c>
      <c r="G5179" s="626" t="s">
        <v>10522</v>
      </c>
      <c r="H5179" s="626" t="s">
        <v>10375</v>
      </c>
      <c r="I5179" s="638" t="s">
        <v>10375</v>
      </c>
      <c r="J5179" s="626" t="s">
        <v>10518</v>
      </c>
      <c r="K5179" s="750"/>
      <c r="L5179" s="752"/>
      <c r="M5179" s="636">
        <f t="shared" si="65"/>
        <v>0</v>
      </c>
      <c r="N5179" s="752">
        <v>1</v>
      </c>
      <c r="O5179" s="750">
        <v>5</v>
      </c>
      <c r="P5179" s="643">
        <f t="shared" si="66"/>
        <v>9000</v>
      </c>
    </row>
    <row r="5180" spans="1:16" s="619" customFormat="1" ht="24" x14ac:dyDescent="0.2">
      <c r="A5180" s="626" t="s">
        <v>10134</v>
      </c>
      <c r="B5180" s="626" t="s">
        <v>1908</v>
      </c>
      <c r="C5180" s="638" t="s">
        <v>104</v>
      </c>
      <c r="D5180" s="626" t="s">
        <v>1919</v>
      </c>
      <c r="E5180" s="636">
        <v>1100</v>
      </c>
      <c r="F5180" s="749" t="s">
        <v>10523</v>
      </c>
      <c r="G5180" s="626" t="s">
        <v>10524</v>
      </c>
      <c r="H5180" s="626" t="s">
        <v>1919</v>
      </c>
      <c r="I5180" s="638" t="s">
        <v>1919</v>
      </c>
      <c r="J5180" s="626" t="s">
        <v>10192</v>
      </c>
      <c r="K5180" s="750">
        <v>4</v>
      </c>
      <c r="L5180" s="752">
        <v>12</v>
      </c>
      <c r="M5180" s="636">
        <f t="shared" si="65"/>
        <v>13200</v>
      </c>
      <c r="N5180" s="752">
        <v>1</v>
      </c>
      <c r="O5180" s="750">
        <v>6</v>
      </c>
      <c r="P5180" s="643">
        <f t="shared" si="66"/>
        <v>6600</v>
      </c>
    </row>
    <row r="5181" spans="1:16" s="619" customFormat="1" ht="36" x14ac:dyDescent="0.2">
      <c r="A5181" s="626" t="s">
        <v>10134</v>
      </c>
      <c r="B5181" s="626" t="s">
        <v>1908</v>
      </c>
      <c r="C5181" s="638" t="s">
        <v>104</v>
      </c>
      <c r="D5181" s="626" t="s">
        <v>2660</v>
      </c>
      <c r="E5181" s="636">
        <v>1700</v>
      </c>
      <c r="F5181" s="749" t="s">
        <v>10525</v>
      </c>
      <c r="G5181" s="626" t="s">
        <v>10526</v>
      </c>
      <c r="H5181" s="626" t="s">
        <v>2660</v>
      </c>
      <c r="I5181" s="638" t="s">
        <v>2660</v>
      </c>
      <c r="J5181" s="626" t="s">
        <v>10518</v>
      </c>
      <c r="K5181" s="750">
        <v>3</v>
      </c>
      <c r="L5181" s="752">
        <v>6</v>
      </c>
      <c r="M5181" s="636">
        <f t="shared" si="65"/>
        <v>10200</v>
      </c>
      <c r="N5181" s="752">
        <v>1</v>
      </c>
      <c r="O5181" s="750">
        <v>6</v>
      </c>
      <c r="P5181" s="643">
        <f t="shared" si="66"/>
        <v>10200</v>
      </c>
    </row>
    <row r="5182" spans="1:16" s="619" customFormat="1" ht="24" x14ac:dyDescent="0.2">
      <c r="A5182" s="626" t="s">
        <v>10134</v>
      </c>
      <c r="B5182" s="626" t="s">
        <v>1908</v>
      </c>
      <c r="C5182" s="638" t="s">
        <v>104</v>
      </c>
      <c r="D5182" s="626" t="s">
        <v>10256</v>
      </c>
      <c r="E5182" s="636">
        <v>3100</v>
      </c>
      <c r="F5182" s="749" t="s">
        <v>10527</v>
      </c>
      <c r="G5182" s="626" t="s">
        <v>10528</v>
      </c>
      <c r="H5182" s="626" t="s">
        <v>10256</v>
      </c>
      <c r="I5182" s="638" t="s">
        <v>10256</v>
      </c>
      <c r="J5182" s="626" t="s">
        <v>1913</v>
      </c>
      <c r="K5182" s="750">
        <v>4</v>
      </c>
      <c r="L5182" s="752">
        <v>12</v>
      </c>
      <c r="M5182" s="636">
        <f t="shared" si="65"/>
        <v>37200</v>
      </c>
      <c r="N5182" s="752">
        <v>1</v>
      </c>
      <c r="O5182" s="750">
        <v>6</v>
      </c>
      <c r="P5182" s="643">
        <f t="shared" si="66"/>
        <v>18600</v>
      </c>
    </row>
    <row r="5183" spans="1:16" s="619" customFormat="1" ht="36" x14ac:dyDescent="0.2">
      <c r="A5183" s="626" t="s">
        <v>10134</v>
      </c>
      <c r="B5183" s="626" t="s">
        <v>1908</v>
      </c>
      <c r="C5183" s="638" t="s">
        <v>104</v>
      </c>
      <c r="D5183" s="626" t="s">
        <v>2764</v>
      </c>
      <c r="E5183" s="636">
        <v>3100</v>
      </c>
      <c r="F5183" s="749" t="s">
        <v>10159</v>
      </c>
      <c r="G5183" s="626" t="s">
        <v>10160</v>
      </c>
      <c r="H5183" s="626" t="s">
        <v>2764</v>
      </c>
      <c r="I5183" s="638" t="s">
        <v>2764</v>
      </c>
      <c r="J5183" s="626" t="s">
        <v>1913</v>
      </c>
      <c r="K5183" s="750">
        <v>4</v>
      </c>
      <c r="L5183" s="752">
        <v>12</v>
      </c>
      <c r="M5183" s="636">
        <f t="shared" si="65"/>
        <v>37200</v>
      </c>
      <c r="N5183" s="752">
        <v>1</v>
      </c>
      <c r="O5183" s="750">
        <v>6</v>
      </c>
      <c r="P5183" s="643">
        <f t="shared" si="66"/>
        <v>18600</v>
      </c>
    </row>
    <row r="5184" spans="1:16" s="619" customFormat="1" ht="24" x14ac:dyDescent="0.2">
      <c r="A5184" s="626" t="s">
        <v>10134</v>
      </c>
      <c r="B5184" s="626" t="s">
        <v>1908</v>
      </c>
      <c r="C5184" s="638" t="s">
        <v>104</v>
      </c>
      <c r="D5184" s="626" t="s">
        <v>2660</v>
      </c>
      <c r="E5184" s="636">
        <v>1500</v>
      </c>
      <c r="F5184" s="749" t="s">
        <v>10529</v>
      </c>
      <c r="G5184" s="626" t="s">
        <v>10530</v>
      </c>
      <c r="H5184" s="626" t="s">
        <v>2660</v>
      </c>
      <c r="I5184" s="638" t="s">
        <v>2660</v>
      </c>
      <c r="J5184" s="626" t="s">
        <v>1931</v>
      </c>
      <c r="K5184" s="750">
        <v>4</v>
      </c>
      <c r="L5184" s="752">
        <v>12</v>
      </c>
      <c r="M5184" s="636">
        <f t="shared" si="65"/>
        <v>18000</v>
      </c>
      <c r="N5184" s="752">
        <v>1</v>
      </c>
      <c r="O5184" s="750">
        <v>6</v>
      </c>
      <c r="P5184" s="643">
        <f t="shared" si="66"/>
        <v>9000</v>
      </c>
    </row>
    <row r="5185" spans="1:16" s="619" customFormat="1" ht="36" x14ac:dyDescent="0.2">
      <c r="A5185" s="626" t="s">
        <v>10134</v>
      </c>
      <c r="B5185" s="626" t="s">
        <v>1908</v>
      </c>
      <c r="C5185" s="638" t="s">
        <v>104</v>
      </c>
      <c r="D5185" s="626" t="s">
        <v>2660</v>
      </c>
      <c r="E5185" s="636">
        <v>1500</v>
      </c>
      <c r="F5185" s="749" t="s">
        <v>10531</v>
      </c>
      <c r="G5185" s="626" t="s">
        <v>10532</v>
      </c>
      <c r="H5185" s="626" t="s">
        <v>2660</v>
      </c>
      <c r="I5185" s="638" t="s">
        <v>2660</v>
      </c>
      <c r="J5185" s="626" t="s">
        <v>1931</v>
      </c>
      <c r="K5185" s="750">
        <v>4</v>
      </c>
      <c r="L5185" s="752">
        <v>12</v>
      </c>
      <c r="M5185" s="636">
        <f t="shared" si="65"/>
        <v>18000</v>
      </c>
      <c r="N5185" s="752">
        <v>1</v>
      </c>
      <c r="O5185" s="750">
        <v>6</v>
      </c>
      <c r="P5185" s="643">
        <f t="shared" si="66"/>
        <v>9000</v>
      </c>
    </row>
    <row r="5186" spans="1:16" s="619" customFormat="1" ht="36" x14ac:dyDescent="0.2">
      <c r="A5186" s="626" t="s">
        <v>10134</v>
      </c>
      <c r="B5186" s="626" t="s">
        <v>1908</v>
      </c>
      <c r="C5186" s="638" t="s">
        <v>104</v>
      </c>
      <c r="D5186" s="626" t="s">
        <v>10533</v>
      </c>
      <c r="E5186" s="636">
        <v>950</v>
      </c>
      <c r="F5186" s="749" t="s">
        <v>10534</v>
      </c>
      <c r="G5186" s="626" t="s">
        <v>10535</v>
      </c>
      <c r="H5186" s="626" t="s">
        <v>10533</v>
      </c>
      <c r="I5186" s="638" t="s">
        <v>10533</v>
      </c>
      <c r="J5186" s="626" t="s">
        <v>10536</v>
      </c>
      <c r="K5186" s="750">
        <v>4</v>
      </c>
      <c r="L5186" s="752">
        <v>12</v>
      </c>
      <c r="M5186" s="636">
        <f t="shared" si="65"/>
        <v>11400</v>
      </c>
      <c r="N5186" s="752">
        <v>1</v>
      </c>
      <c r="O5186" s="750">
        <v>6</v>
      </c>
      <c r="P5186" s="643">
        <f t="shared" si="66"/>
        <v>5700</v>
      </c>
    </row>
    <row r="5187" spans="1:16" s="619" customFormat="1" ht="24" x14ac:dyDescent="0.2">
      <c r="A5187" s="626" t="s">
        <v>10134</v>
      </c>
      <c r="B5187" s="626" t="s">
        <v>1908</v>
      </c>
      <c r="C5187" s="638" t="s">
        <v>104</v>
      </c>
      <c r="D5187" s="626" t="s">
        <v>6101</v>
      </c>
      <c r="E5187" s="636">
        <v>3100</v>
      </c>
      <c r="F5187" s="749" t="s">
        <v>10537</v>
      </c>
      <c r="G5187" s="626" t="s">
        <v>10538</v>
      </c>
      <c r="H5187" s="626" t="s">
        <v>6101</v>
      </c>
      <c r="I5187" s="638" t="s">
        <v>6101</v>
      </c>
      <c r="J5187" s="626" t="s">
        <v>1913</v>
      </c>
      <c r="K5187" s="750">
        <v>2</v>
      </c>
      <c r="L5187" s="752">
        <v>6</v>
      </c>
      <c r="M5187" s="636">
        <f t="shared" si="65"/>
        <v>18600</v>
      </c>
      <c r="N5187" s="752">
        <v>1</v>
      </c>
      <c r="O5187" s="750">
        <v>6</v>
      </c>
      <c r="P5187" s="643">
        <f t="shared" si="66"/>
        <v>18600</v>
      </c>
    </row>
    <row r="5188" spans="1:16" s="619" customFormat="1" ht="24" x14ac:dyDescent="0.2">
      <c r="A5188" s="626" t="s">
        <v>10134</v>
      </c>
      <c r="B5188" s="626" t="s">
        <v>1908</v>
      </c>
      <c r="C5188" s="638" t="s">
        <v>104</v>
      </c>
      <c r="D5188" s="626" t="s">
        <v>2660</v>
      </c>
      <c r="E5188" s="636">
        <v>1500</v>
      </c>
      <c r="F5188" s="749" t="s">
        <v>10539</v>
      </c>
      <c r="G5188" s="626" t="s">
        <v>10540</v>
      </c>
      <c r="H5188" s="626" t="s">
        <v>2660</v>
      </c>
      <c r="I5188" s="638" t="s">
        <v>2660</v>
      </c>
      <c r="J5188" s="626" t="s">
        <v>1931</v>
      </c>
      <c r="K5188" s="750">
        <v>4</v>
      </c>
      <c r="L5188" s="752">
        <v>12</v>
      </c>
      <c r="M5188" s="636">
        <f t="shared" si="65"/>
        <v>18000</v>
      </c>
      <c r="N5188" s="752">
        <v>1</v>
      </c>
      <c r="O5188" s="750">
        <v>6</v>
      </c>
      <c r="P5188" s="643">
        <f t="shared" si="66"/>
        <v>9000</v>
      </c>
    </row>
    <row r="5189" spans="1:16" s="619" customFormat="1" ht="24" x14ac:dyDescent="0.2">
      <c r="A5189" s="626" t="s">
        <v>10134</v>
      </c>
      <c r="B5189" s="626" t="s">
        <v>1908</v>
      </c>
      <c r="C5189" s="638" t="s">
        <v>104</v>
      </c>
      <c r="D5189" s="626" t="s">
        <v>10274</v>
      </c>
      <c r="E5189" s="636">
        <v>1500</v>
      </c>
      <c r="F5189" s="749" t="s">
        <v>10541</v>
      </c>
      <c r="G5189" s="626" t="s">
        <v>10542</v>
      </c>
      <c r="H5189" s="626" t="s">
        <v>10274</v>
      </c>
      <c r="I5189" s="638" t="s">
        <v>10274</v>
      </c>
      <c r="J5189" s="626" t="s">
        <v>1931</v>
      </c>
      <c r="K5189" s="750"/>
      <c r="L5189" s="752"/>
      <c r="M5189" s="636">
        <f t="shared" ref="M5189:M5252" si="67">E5189*L5189</f>
        <v>0</v>
      </c>
      <c r="N5189" s="752">
        <v>1</v>
      </c>
      <c r="O5189" s="750">
        <v>5</v>
      </c>
      <c r="P5189" s="643">
        <f t="shared" ref="P5189:P5252" si="68">E5189*O5189</f>
        <v>7500</v>
      </c>
    </row>
    <row r="5190" spans="1:16" s="619" customFormat="1" ht="24" x14ac:dyDescent="0.2">
      <c r="A5190" s="626" t="s">
        <v>10134</v>
      </c>
      <c r="B5190" s="626" t="s">
        <v>1908</v>
      </c>
      <c r="C5190" s="638" t="s">
        <v>104</v>
      </c>
      <c r="D5190" s="626" t="s">
        <v>10543</v>
      </c>
      <c r="E5190" s="636">
        <v>1500</v>
      </c>
      <c r="F5190" s="749" t="s">
        <v>10544</v>
      </c>
      <c r="G5190" s="626" t="s">
        <v>10545</v>
      </c>
      <c r="H5190" s="626" t="s">
        <v>10543</v>
      </c>
      <c r="I5190" s="638" t="s">
        <v>10543</v>
      </c>
      <c r="J5190" s="626" t="s">
        <v>1931</v>
      </c>
      <c r="K5190" s="750"/>
      <c r="L5190" s="752"/>
      <c r="M5190" s="636">
        <f t="shared" si="67"/>
        <v>0</v>
      </c>
      <c r="N5190" s="752">
        <v>1</v>
      </c>
      <c r="O5190" s="750">
        <v>5</v>
      </c>
      <c r="P5190" s="643">
        <f t="shared" si="68"/>
        <v>7500</v>
      </c>
    </row>
    <row r="5191" spans="1:16" s="619" customFormat="1" ht="36" x14ac:dyDescent="0.2">
      <c r="A5191" s="626" t="s">
        <v>10134</v>
      </c>
      <c r="B5191" s="626" t="s">
        <v>1908</v>
      </c>
      <c r="C5191" s="638" t="s">
        <v>104</v>
      </c>
      <c r="D5191" s="626" t="s">
        <v>6240</v>
      </c>
      <c r="E5191" s="636">
        <v>1600</v>
      </c>
      <c r="F5191" s="749" t="s">
        <v>10546</v>
      </c>
      <c r="G5191" s="626" t="s">
        <v>10547</v>
      </c>
      <c r="H5191" s="626" t="s">
        <v>6240</v>
      </c>
      <c r="I5191" s="638" t="s">
        <v>6240</v>
      </c>
      <c r="J5191" s="626" t="s">
        <v>1931</v>
      </c>
      <c r="K5191" s="750">
        <v>4</v>
      </c>
      <c r="L5191" s="752">
        <v>12</v>
      </c>
      <c r="M5191" s="636">
        <f t="shared" si="67"/>
        <v>19200</v>
      </c>
      <c r="N5191" s="752">
        <v>1</v>
      </c>
      <c r="O5191" s="750">
        <v>6</v>
      </c>
      <c r="P5191" s="643">
        <f t="shared" si="68"/>
        <v>9600</v>
      </c>
    </row>
    <row r="5192" spans="1:16" s="619" customFormat="1" ht="24" x14ac:dyDescent="0.2">
      <c r="A5192" s="626" t="s">
        <v>10134</v>
      </c>
      <c r="B5192" s="626" t="s">
        <v>1908</v>
      </c>
      <c r="C5192" s="638" t="s">
        <v>104</v>
      </c>
      <c r="D5192" s="626" t="s">
        <v>10548</v>
      </c>
      <c r="E5192" s="636">
        <v>1500</v>
      </c>
      <c r="F5192" s="749" t="s">
        <v>10549</v>
      </c>
      <c r="G5192" s="626" t="s">
        <v>10550</v>
      </c>
      <c r="H5192" s="626" t="s">
        <v>10548</v>
      </c>
      <c r="I5192" s="638" t="s">
        <v>10548</v>
      </c>
      <c r="J5192" s="626" t="s">
        <v>1931</v>
      </c>
      <c r="K5192" s="750">
        <v>4</v>
      </c>
      <c r="L5192" s="752">
        <v>12</v>
      </c>
      <c r="M5192" s="636">
        <f t="shared" si="67"/>
        <v>18000</v>
      </c>
      <c r="N5192" s="752">
        <v>1</v>
      </c>
      <c r="O5192" s="750">
        <v>6</v>
      </c>
      <c r="P5192" s="643">
        <f t="shared" si="68"/>
        <v>9000</v>
      </c>
    </row>
    <row r="5193" spans="1:16" s="619" customFormat="1" ht="24" x14ac:dyDescent="0.2">
      <c r="A5193" s="626" t="s">
        <v>10134</v>
      </c>
      <c r="B5193" s="626" t="s">
        <v>1908</v>
      </c>
      <c r="C5193" s="638" t="s">
        <v>104</v>
      </c>
      <c r="D5193" s="626" t="s">
        <v>10551</v>
      </c>
      <c r="E5193" s="636">
        <v>3100</v>
      </c>
      <c r="F5193" s="749" t="s">
        <v>10552</v>
      </c>
      <c r="G5193" s="626" t="s">
        <v>10553</v>
      </c>
      <c r="H5193" s="626" t="s">
        <v>10551</v>
      </c>
      <c r="I5193" s="638" t="s">
        <v>10551</v>
      </c>
      <c r="J5193" s="626" t="s">
        <v>1913</v>
      </c>
      <c r="K5193" s="750">
        <v>4</v>
      </c>
      <c r="L5193" s="752">
        <v>12</v>
      </c>
      <c r="M5193" s="636">
        <f t="shared" si="67"/>
        <v>37200</v>
      </c>
      <c r="N5193" s="752">
        <v>1</v>
      </c>
      <c r="O5193" s="750">
        <v>6</v>
      </c>
      <c r="P5193" s="643">
        <f t="shared" si="68"/>
        <v>18600</v>
      </c>
    </row>
    <row r="5194" spans="1:16" s="619" customFormat="1" ht="24" x14ac:dyDescent="0.2">
      <c r="A5194" s="626" t="s">
        <v>10134</v>
      </c>
      <c r="B5194" s="626" t="s">
        <v>1908</v>
      </c>
      <c r="C5194" s="638" t="s">
        <v>104</v>
      </c>
      <c r="D5194" s="626" t="s">
        <v>2072</v>
      </c>
      <c r="E5194" s="636">
        <v>1500</v>
      </c>
      <c r="F5194" s="749">
        <v>73853283</v>
      </c>
      <c r="G5194" s="626" t="s">
        <v>10554</v>
      </c>
      <c r="H5194" s="626" t="s">
        <v>2072</v>
      </c>
      <c r="I5194" s="638" t="s">
        <v>2072</v>
      </c>
      <c r="J5194" s="626" t="s">
        <v>1931</v>
      </c>
      <c r="K5194" s="750">
        <v>4</v>
      </c>
      <c r="L5194" s="752">
        <v>12</v>
      </c>
      <c r="M5194" s="636">
        <f t="shared" si="67"/>
        <v>18000</v>
      </c>
      <c r="N5194" s="752">
        <v>1</v>
      </c>
      <c r="O5194" s="750">
        <v>6</v>
      </c>
      <c r="P5194" s="643">
        <f t="shared" si="68"/>
        <v>9000</v>
      </c>
    </row>
    <row r="5195" spans="1:16" s="619" customFormat="1" ht="24" x14ac:dyDescent="0.2">
      <c r="A5195" s="626" t="s">
        <v>10134</v>
      </c>
      <c r="B5195" s="626" t="s">
        <v>1908</v>
      </c>
      <c r="C5195" s="638" t="s">
        <v>104</v>
      </c>
      <c r="D5195" s="626" t="s">
        <v>6299</v>
      </c>
      <c r="E5195" s="636">
        <v>1600</v>
      </c>
      <c r="F5195" s="749" t="s">
        <v>10555</v>
      </c>
      <c r="G5195" s="626" t="s">
        <v>10556</v>
      </c>
      <c r="H5195" s="626" t="s">
        <v>6299</v>
      </c>
      <c r="I5195" s="638" t="s">
        <v>6299</v>
      </c>
      <c r="J5195" s="626" t="s">
        <v>1931</v>
      </c>
      <c r="K5195" s="750">
        <v>2</v>
      </c>
      <c r="L5195" s="752">
        <v>6</v>
      </c>
      <c r="M5195" s="636">
        <f t="shared" si="67"/>
        <v>9600</v>
      </c>
      <c r="N5195" s="752">
        <v>1</v>
      </c>
      <c r="O5195" s="750">
        <v>6</v>
      </c>
      <c r="P5195" s="643">
        <f t="shared" si="68"/>
        <v>9600</v>
      </c>
    </row>
    <row r="5196" spans="1:16" s="619" customFormat="1" ht="36" x14ac:dyDescent="0.2">
      <c r="A5196" s="626" t="s">
        <v>10134</v>
      </c>
      <c r="B5196" s="626" t="s">
        <v>1908</v>
      </c>
      <c r="C5196" s="638" t="s">
        <v>104</v>
      </c>
      <c r="D5196" s="626" t="s">
        <v>1919</v>
      </c>
      <c r="E5196" s="636">
        <v>1400</v>
      </c>
      <c r="F5196" s="749" t="s">
        <v>10557</v>
      </c>
      <c r="G5196" s="626" t="s">
        <v>10558</v>
      </c>
      <c r="H5196" s="626" t="s">
        <v>1919</v>
      </c>
      <c r="I5196" s="638" t="s">
        <v>1919</v>
      </c>
      <c r="J5196" s="626" t="s">
        <v>10192</v>
      </c>
      <c r="K5196" s="750">
        <v>2</v>
      </c>
      <c r="L5196" s="752">
        <v>6</v>
      </c>
      <c r="M5196" s="636">
        <f t="shared" si="67"/>
        <v>8400</v>
      </c>
      <c r="N5196" s="752">
        <v>1</v>
      </c>
      <c r="O5196" s="750">
        <v>6</v>
      </c>
      <c r="P5196" s="643">
        <f t="shared" si="68"/>
        <v>8400</v>
      </c>
    </row>
    <row r="5197" spans="1:16" s="619" customFormat="1" ht="36" x14ac:dyDescent="0.2">
      <c r="A5197" s="626" t="s">
        <v>10134</v>
      </c>
      <c r="B5197" s="626" t="s">
        <v>1908</v>
      </c>
      <c r="C5197" s="638" t="s">
        <v>104</v>
      </c>
      <c r="D5197" s="626" t="s">
        <v>10261</v>
      </c>
      <c r="E5197" s="636">
        <v>1500</v>
      </c>
      <c r="F5197" s="749" t="s">
        <v>10559</v>
      </c>
      <c r="G5197" s="626" t="s">
        <v>10560</v>
      </c>
      <c r="H5197" s="626" t="s">
        <v>10261</v>
      </c>
      <c r="I5197" s="638" t="s">
        <v>10261</v>
      </c>
      <c r="J5197" s="626" t="s">
        <v>1931</v>
      </c>
      <c r="K5197" s="750">
        <v>2</v>
      </c>
      <c r="L5197" s="752">
        <v>6</v>
      </c>
      <c r="M5197" s="636">
        <f t="shared" si="67"/>
        <v>9000</v>
      </c>
      <c r="N5197" s="752">
        <v>1</v>
      </c>
      <c r="O5197" s="750">
        <v>6</v>
      </c>
      <c r="P5197" s="643">
        <f t="shared" si="68"/>
        <v>9000</v>
      </c>
    </row>
    <row r="5198" spans="1:16" s="619" customFormat="1" ht="36" x14ac:dyDescent="0.2">
      <c r="A5198" s="626" t="s">
        <v>10134</v>
      </c>
      <c r="B5198" s="626" t="s">
        <v>1908</v>
      </c>
      <c r="C5198" s="638" t="s">
        <v>104</v>
      </c>
      <c r="D5198" s="626" t="s">
        <v>10256</v>
      </c>
      <c r="E5198" s="636">
        <v>3300</v>
      </c>
      <c r="F5198" s="749">
        <v>45308151</v>
      </c>
      <c r="G5198" s="626" t="s">
        <v>10561</v>
      </c>
      <c r="H5198" s="626" t="s">
        <v>10256</v>
      </c>
      <c r="I5198" s="638" t="s">
        <v>10256</v>
      </c>
      <c r="J5198" s="626" t="s">
        <v>1913</v>
      </c>
      <c r="K5198" s="750">
        <v>2</v>
      </c>
      <c r="L5198" s="752">
        <v>6</v>
      </c>
      <c r="M5198" s="636">
        <f t="shared" si="67"/>
        <v>19800</v>
      </c>
      <c r="N5198" s="752">
        <v>1</v>
      </c>
      <c r="O5198" s="750">
        <v>6</v>
      </c>
      <c r="P5198" s="643">
        <f t="shared" si="68"/>
        <v>19800</v>
      </c>
    </row>
    <row r="5199" spans="1:16" s="619" customFormat="1" ht="24" x14ac:dyDescent="0.2">
      <c r="A5199" s="626" t="s">
        <v>10134</v>
      </c>
      <c r="B5199" s="626" t="s">
        <v>1908</v>
      </c>
      <c r="C5199" s="638" t="s">
        <v>104</v>
      </c>
      <c r="D5199" s="626" t="s">
        <v>3709</v>
      </c>
      <c r="E5199" s="636">
        <v>2200</v>
      </c>
      <c r="F5199" s="749" t="s">
        <v>10562</v>
      </c>
      <c r="G5199" s="626" t="s">
        <v>10563</v>
      </c>
      <c r="H5199" s="626" t="s">
        <v>3709</v>
      </c>
      <c r="I5199" s="638" t="s">
        <v>3709</v>
      </c>
      <c r="J5199" s="626" t="s">
        <v>1931</v>
      </c>
      <c r="K5199" s="750">
        <v>2</v>
      </c>
      <c r="L5199" s="752">
        <v>6</v>
      </c>
      <c r="M5199" s="636">
        <f t="shared" si="67"/>
        <v>13200</v>
      </c>
      <c r="N5199" s="752">
        <v>1</v>
      </c>
      <c r="O5199" s="750">
        <v>6</v>
      </c>
      <c r="P5199" s="643">
        <f t="shared" si="68"/>
        <v>13200</v>
      </c>
    </row>
    <row r="5200" spans="1:16" s="619" customFormat="1" ht="36" x14ac:dyDescent="0.2">
      <c r="A5200" s="626" t="s">
        <v>10134</v>
      </c>
      <c r="B5200" s="626" t="s">
        <v>1908</v>
      </c>
      <c r="C5200" s="638" t="s">
        <v>104</v>
      </c>
      <c r="D5200" s="626" t="s">
        <v>10564</v>
      </c>
      <c r="E5200" s="636">
        <v>1500</v>
      </c>
      <c r="F5200" s="749" t="s">
        <v>10565</v>
      </c>
      <c r="G5200" s="626" t="s">
        <v>10566</v>
      </c>
      <c r="H5200" s="626" t="s">
        <v>10564</v>
      </c>
      <c r="I5200" s="638" t="s">
        <v>10564</v>
      </c>
      <c r="J5200" s="626" t="s">
        <v>10567</v>
      </c>
      <c r="K5200" s="750">
        <v>2</v>
      </c>
      <c r="L5200" s="752">
        <v>6</v>
      </c>
      <c r="M5200" s="636">
        <f t="shared" si="67"/>
        <v>9000</v>
      </c>
      <c r="N5200" s="752">
        <v>1</v>
      </c>
      <c r="O5200" s="750">
        <v>6</v>
      </c>
      <c r="P5200" s="643">
        <f t="shared" si="68"/>
        <v>9000</v>
      </c>
    </row>
    <row r="5201" spans="1:16" s="619" customFormat="1" ht="36" x14ac:dyDescent="0.2">
      <c r="A5201" s="626" t="s">
        <v>10134</v>
      </c>
      <c r="B5201" s="626" t="s">
        <v>1908</v>
      </c>
      <c r="C5201" s="638" t="s">
        <v>104</v>
      </c>
      <c r="D5201" s="626" t="s">
        <v>10568</v>
      </c>
      <c r="E5201" s="636">
        <v>1800</v>
      </c>
      <c r="F5201" s="749" t="s">
        <v>10569</v>
      </c>
      <c r="G5201" s="626" t="s">
        <v>10570</v>
      </c>
      <c r="H5201" s="626" t="s">
        <v>10568</v>
      </c>
      <c r="I5201" s="638" t="s">
        <v>10568</v>
      </c>
      <c r="J5201" s="626" t="s">
        <v>3125</v>
      </c>
      <c r="K5201" s="750">
        <v>2</v>
      </c>
      <c r="L5201" s="752">
        <v>6</v>
      </c>
      <c r="M5201" s="636">
        <f t="shared" si="67"/>
        <v>10800</v>
      </c>
      <c r="N5201" s="752">
        <v>1</v>
      </c>
      <c r="O5201" s="750">
        <v>6</v>
      </c>
      <c r="P5201" s="643">
        <f t="shared" si="68"/>
        <v>10800</v>
      </c>
    </row>
    <row r="5202" spans="1:16" s="619" customFormat="1" ht="24" x14ac:dyDescent="0.2">
      <c r="A5202" s="626" t="s">
        <v>10134</v>
      </c>
      <c r="B5202" s="626" t="s">
        <v>1908</v>
      </c>
      <c r="C5202" s="638" t="s">
        <v>104</v>
      </c>
      <c r="D5202" s="626" t="s">
        <v>1919</v>
      </c>
      <c r="E5202" s="636">
        <v>1400</v>
      </c>
      <c r="F5202" s="749">
        <v>44680507</v>
      </c>
      <c r="G5202" s="626" t="s">
        <v>10571</v>
      </c>
      <c r="H5202" s="626" t="s">
        <v>1919</v>
      </c>
      <c r="I5202" s="638" t="s">
        <v>1919</v>
      </c>
      <c r="J5202" s="626" t="s">
        <v>10192</v>
      </c>
      <c r="K5202" s="750">
        <v>4</v>
      </c>
      <c r="L5202" s="752">
        <v>12</v>
      </c>
      <c r="M5202" s="636">
        <f t="shared" si="67"/>
        <v>16800</v>
      </c>
      <c r="N5202" s="752">
        <v>1</v>
      </c>
      <c r="O5202" s="750">
        <v>6</v>
      </c>
      <c r="P5202" s="643">
        <f t="shared" si="68"/>
        <v>8400</v>
      </c>
    </row>
    <row r="5203" spans="1:16" s="619" customFormat="1" ht="36" x14ac:dyDescent="0.2">
      <c r="A5203" s="626" t="s">
        <v>10134</v>
      </c>
      <c r="B5203" s="626" t="s">
        <v>1908</v>
      </c>
      <c r="C5203" s="638" t="s">
        <v>104</v>
      </c>
      <c r="D5203" s="626" t="s">
        <v>6101</v>
      </c>
      <c r="E5203" s="636">
        <v>3100</v>
      </c>
      <c r="F5203" s="749">
        <v>17614177</v>
      </c>
      <c r="G5203" s="626" t="s">
        <v>10572</v>
      </c>
      <c r="H5203" s="626" t="s">
        <v>6101</v>
      </c>
      <c r="I5203" s="638" t="s">
        <v>6101</v>
      </c>
      <c r="J5203" s="626" t="s">
        <v>10573</v>
      </c>
      <c r="K5203" s="750"/>
      <c r="L5203" s="752"/>
      <c r="M5203" s="636">
        <f t="shared" si="67"/>
        <v>0</v>
      </c>
      <c r="N5203" s="752">
        <v>1</v>
      </c>
      <c r="O5203" s="750">
        <v>2</v>
      </c>
      <c r="P5203" s="643">
        <f t="shared" si="68"/>
        <v>6200</v>
      </c>
    </row>
    <row r="5204" spans="1:16" s="619" customFormat="1" ht="24" x14ac:dyDescent="0.2">
      <c r="A5204" s="626" t="s">
        <v>10134</v>
      </c>
      <c r="B5204" s="626" t="s">
        <v>1908</v>
      </c>
      <c r="C5204" s="638" t="s">
        <v>104</v>
      </c>
      <c r="D5204" s="626" t="s">
        <v>2660</v>
      </c>
      <c r="E5204" s="636">
        <v>1800</v>
      </c>
      <c r="F5204" s="749" t="s">
        <v>10574</v>
      </c>
      <c r="G5204" s="626" t="s">
        <v>10575</v>
      </c>
      <c r="H5204" s="626" t="s">
        <v>2660</v>
      </c>
      <c r="I5204" s="638" t="s">
        <v>2660</v>
      </c>
      <c r="J5204" s="626" t="s">
        <v>1931</v>
      </c>
      <c r="K5204" s="750">
        <v>4</v>
      </c>
      <c r="L5204" s="752">
        <v>12</v>
      </c>
      <c r="M5204" s="636">
        <f t="shared" si="67"/>
        <v>21600</v>
      </c>
      <c r="N5204" s="752">
        <v>1</v>
      </c>
      <c r="O5204" s="750">
        <v>6</v>
      </c>
      <c r="P5204" s="643">
        <f t="shared" si="68"/>
        <v>10800</v>
      </c>
    </row>
    <row r="5205" spans="1:16" s="619" customFormat="1" ht="36" x14ac:dyDescent="0.2">
      <c r="A5205" s="626" t="s">
        <v>10134</v>
      </c>
      <c r="B5205" s="626" t="s">
        <v>1908</v>
      </c>
      <c r="C5205" s="638" t="s">
        <v>104</v>
      </c>
      <c r="D5205" s="626" t="s">
        <v>2764</v>
      </c>
      <c r="E5205" s="636">
        <v>3300</v>
      </c>
      <c r="F5205" s="749" t="s">
        <v>10576</v>
      </c>
      <c r="G5205" s="626" t="s">
        <v>10577</v>
      </c>
      <c r="H5205" s="626" t="s">
        <v>2764</v>
      </c>
      <c r="I5205" s="638" t="s">
        <v>2764</v>
      </c>
      <c r="J5205" s="626" t="s">
        <v>10573</v>
      </c>
      <c r="K5205" s="750">
        <v>4</v>
      </c>
      <c r="L5205" s="752">
        <v>12</v>
      </c>
      <c r="M5205" s="636">
        <f t="shared" si="67"/>
        <v>39600</v>
      </c>
      <c r="N5205" s="752">
        <v>1</v>
      </c>
      <c r="O5205" s="750">
        <v>6</v>
      </c>
      <c r="P5205" s="643">
        <f t="shared" si="68"/>
        <v>19800</v>
      </c>
    </row>
    <row r="5206" spans="1:16" s="619" customFormat="1" ht="36" x14ac:dyDescent="0.2">
      <c r="A5206" s="626" t="s">
        <v>10134</v>
      </c>
      <c r="B5206" s="626" t="s">
        <v>1908</v>
      </c>
      <c r="C5206" s="638" t="s">
        <v>104</v>
      </c>
      <c r="D5206" s="626" t="s">
        <v>2660</v>
      </c>
      <c r="E5206" s="636">
        <v>1800</v>
      </c>
      <c r="F5206" s="749" t="s">
        <v>10578</v>
      </c>
      <c r="G5206" s="626" t="s">
        <v>10579</v>
      </c>
      <c r="H5206" s="626" t="s">
        <v>2660</v>
      </c>
      <c r="I5206" s="638" t="s">
        <v>2660</v>
      </c>
      <c r="J5206" s="626" t="s">
        <v>1931</v>
      </c>
      <c r="K5206" s="750">
        <v>4</v>
      </c>
      <c r="L5206" s="752">
        <v>12</v>
      </c>
      <c r="M5206" s="636">
        <f t="shared" si="67"/>
        <v>21600</v>
      </c>
      <c r="N5206" s="752">
        <v>1</v>
      </c>
      <c r="O5206" s="750">
        <v>6</v>
      </c>
      <c r="P5206" s="643">
        <f t="shared" si="68"/>
        <v>10800</v>
      </c>
    </row>
    <row r="5207" spans="1:16" s="619" customFormat="1" ht="24" x14ac:dyDescent="0.2">
      <c r="A5207" s="626" t="s">
        <v>10134</v>
      </c>
      <c r="B5207" s="626" t="s">
        <v>1908</v>
      </c>
      <c r="C5207" s="638" t="s">
        <v>104</v>
      </c>
      <c r="D5207" s="626" t="s">
        <v>2660</v>
      </c>
      <c r="E5207" s="636">
        <v>1800</v>
      </c>
      <c r="F5207" s="749" t="s">
        <v>10580</v>
      </c>
      <c r="G5207" s="626" t="s">
        <v>10581</v>
      </c>
      <c r="H5207" s="626" t="s">
        <v>2660</v>
      </c>
      <c r="I5207" s="638" t="s">
        <v>2660</v>
      </c>
      <c r="J5207" s="626" t="s">
        <v>1931</v>
      </c>
      <c r="K5207" s="750"/>
      <c r="L5207" s="752"/>
      <c r="M5207" s="636">
        <f t="shared" si="67"/>
        <v>0</v>
      </c>
      <c r="N5207" s="752">
        <v>1</v>
      </c>
      <c r="O5207" s="750">
        <v>2</v>
      </c>
      <c r="P5207" s="643">
        <f t="shared" si="68"/>
        <v>3600</v>
      </c>
    </row>
    <row r="5208" spans="1:16" s="619" customFormat="1" ht="24" x14ac:dyDescent="0.2">
      <c r="A5208" s="626" t="s">
        <v>10134</v>
      </c>
      <c r="B5208" s="626" t="s">
        <v>1908</v>
      </c>
      <c r="C5208" s="638" t="s">
        <v>104</v>
      </c>
      <c r="D5208" s="626" t="s">
        <v>2660</v>
      </c>
      <c r="E5208" s="636">
        <v>1800</v>
      </c>
      <c r="F5208" s="749" t="s">
        <v>10582</v>
      </c>
      <c r="G5208" s="626" t="s">
        <v>10583</v>
      </c>
      <c r="H5208" s="626" t="s">
        <v>2660</v>
      </c>
      <c r="I5208" s="638" t="s">
        <v>2660</v>
      </c>
      <c r="J5208" s="626" t="s">
        <v>1931</v>
      </c>
      <c r="K5208" s="750">
        <v>4</v>
      </c>
      <c r="L5208" s="752">
        <v>12</v>
      </c>
      <c r="M5208" s="636">
        <f t="shared" si="67"/>
        <v>21600</v>
      </c>
      <c r="N5208" s="752">
        <v>1</v>
      </c>
      <c r="O5208" s="750">
        <v>6</v>
      </c>
      <c r="P5208" s="643">
        <f t="shared" si="68"/>
        <v>10800</v>
      </c>
    </row>
    <row r="5209" spans="1:16" s="619" customFormat="1" ht="24" x14ac:dyDescent="0.2">
      <c r="A5209" s="626" t="s">
        <v>10134</v>
      </c>
      <c r="B5209" s="626" t="s">
        <v>1908</v>
      </c>
      <c r="C5209" s="638" t="s">
        <v>104</v>
      </c>
      <c r="D5209" s="626" t="s">
        <v>10274</v>
      </c>
      <c r="E5209" s="636">
        <v>2000</v>
      </c>
      <c r="F5209" s="749">
        <v>60156151</v>
      </c>
      <c r="G5209" s="626" t="s">
        <v>10584</v>
      </c>
      <c r="H5209" s="626" t="s">
        <v>10274</v>
      </c>
      <c r="I5209" s="638" t="s">
        <v>10274</v>
      </c>
      <c r="J5209" s="626" t="s">
        <v>1931</v>
      </c>
      <c r="K5209" s="750"/>
      <c r="L5209" s="752"/>
      <c r="M5209" s="636">
        <f t="shared" si="67"/>
        <v>0</v>
      </c>
      <c r="N5209" s="752">
        <v>1</v>
      </c>
      <c r="O5209" s="750">
        <v>4</v>
      </c>
      <c r="P5209" s="643">
        <f t="shared" si="68"/>
        <v>8000</v>
      </c>
    </row>
    <row r="5210" spans="1:16" s="619" customFormat="1" ht="24" x14ac:dyDescent="0.2">
      <c r="A5210" s="626" t="s">
        <v>10134</v>
      </c>
      <c r="B5210" s="626" t="s">
        <v>1908</v>
      </c>
      <c r="C5210" s="638" t="s">
        <v>104</v>
      </c>
      <c r="D5210" s="626" t="s">
        <v>10274</v>
      </c>
      <c r="E5210" s="636">
        <v>2000</v>
      </c>
      <c r="F5210" s="749" t="s">
        <v>10585</v>
      </c>
      <c r="G5210" s="626" t="s">
        <v>10586</v>
      </c>
      <c r="H5210" s="626" t="s">
        <v>10274</v>
      </c>
      <c r="I5210" s="638" t="s">
        <v>10274</v>
      </c>
      <c r="J5210" s="626" t="s">
        <v>1931</v>
      </c>
      <c r="K5210" s="750">
        <v>4</v>
      </c>
      <c r="L5210" s="752">
        <v>12</v>
      </c>
      <c r="M5210" s="636">
        <f t="shared" si="67"/>
        <v>24000</v>
      </c>
      <c r="N5210" s="752">
        <v>1</v>
      </c>
      <c r="O5210" s="750">
        <v>6</v>
      </c>
      <c r="P5210" s="643">
        <f t="shared" si="68"/>
        <v>12000</v>
      </c>
    </row>
    <row r="5211" spans="1:16" s="619" customFormat="1" ht="36" x14ac:dyDescent="0.2">
      <c r="A5211" s="626" t="s">
        <v>10134</v>
      </c>
      <c r="B5211" s="626" t="s">
        <v>1908</v>
      </c>
      <c r="C5211" s="638" t="s">
        <v>104</v>
      </c>
      <c r="D5211" s="626" t="s">
        <v>2660</v>
      </c>
      <c r="E5211" s="636">
        <v>1600</v>
      </c>
      <c r="F5211" s="749" t="s">
        <v>10587</v>
      </c>
      <c r="G5211" s="626" t="s">
        <v>10588</v>
      </c>
      <c r="H5211" s="626" t="s">
        <v>2660</v>
      </c>
      <c r="I5211" s="638" t="s">
        <v>2660</v>
      </c>
      <c r="J5211" s="626" t="s">
        <v>1931</v>
      </c>
      <c r="K5211" s="750">
        <v>4</v>
      </c>
      <c r="L5211" s="752">
        <v>12</v>
      </c>
      <c r="M5211" s="636">
        <f t="shared" si="67"/>
        <v>19200</v>
      </c>
      <c r="N5211" s="752">
        <v>1</v>
      </c>
      <c r="O5211" s="750">
        <v>6</v>
      </c>
      <c r="P5211" s="643">
        <f t="shared" si="68"/>
        <v>9600</v>
      </c>
    </row>
    <row r="5212" spans="1:16" s="619" customFormat="1" ht="48" x14ac:dyDescent="0.2">
      <c r="A5212" s="626" t="s">
        <v>10134</v>
      </c>
      <c r="B5212" s="626" t="s">
        <v>1908</v>
      </c>
      <c r="C5212" s="638" t="s">
        <v>104</v>
      </c>
      <c r="D5212" s="626" t="s">
        <v>6182</v>
      </c>
      <c r="E5212" s="636">
        <v>5500</v>
      </c>
      <c r="F5212" s="749" t="s">
        <v>10589</v>
      </c>
      <c r="G5212" s="626" t="s">
        <v>10590</v>
      </c>
      <c r="H5212" s="626" t="s">
        <v>6182</v>
      </c>
      <c r="I5212" s="638" t="s">
        <v>6182</v>
      </c>
      <c r="J5212" s="626" t="s">
        <v>1913</v>
      </c>
      <c r="K5212" s="750">
        <v>4</v>
      </c>
      <c r="L5212" s="752">
        <v>12</v>
      </c>
      <c r="M5212" s="636">
        <f t="shared" si="67"/>
        <v>66000</v>
      </c>
      <c r="N5212" s="752">
        <v>1</v>
      </c>
      <c r="O5212" s="750">
        <v>6</v>
      </c>
      <c r="P5212" s="643">
        <f t="shared" si="68"/>
        <v>33000</v>
      </c>
    </row>
    <row r="5213" spans="1:16" s="619" customFormat="1" ht="24" x14ac:dyDescent="0.2">
      <c r="A5213" s="626" t="s">
        <v>10134</v>
      </c>
      <c r="B5213" s="626" t="s">
        <v>1908</v>
      </c>
      <c r="C5213" s="638" t="s">
        <v>104</v>
      </c>
      <c r="D5213" s="626" t="s">
        <v>10591</v>
      </c>
      <c r="E5213" s="636">
        <v>1800</v>
      </c>
      <c r="F5213" s="749" t="s">
        <v>10592</v>
      </c>
      <c r="G5213" s="626" t="s">
        <v>10593</v>
      </c>
      <c r="H5213" s="626" t="s">
        <v>10591</v>
      </c>
      <c r="I5213" s="638" t="s">
        <v>10591</v>
      </c>
      <c r="J5213" s="626" t="s">
        <v>1931</v>
      </c>
      <c r="K5213" s="750"/>
      <c r="L5213" s="752"/>
      <c r="M5213" s="636">
        <f t="shared" si="67"/>
        <v>0</v>
      </c>
      <c r="N5213" s="752">
        <v>1</v>
      </c>
      <c r="O5213" s="750">
        <v>3</v>
      </c>
      <c r="P5213" s="643">
        <f t="shared" si="68"/>
        <v>5400</v>
      </c>
    </row>
    <row r="5214" spans="1:16" s="619" customFormat="1" ht="24" x14ac:dyDescent="0.2">
      <c r="A5214" s="626" t="s">
        <v>10134</v>
      </c>
      <c r="B5214" s="626" t="s">
        <v>1908</v>
      </c>
      <c r="C5214" s="638" t="s">
        <v>104</v>
      </c>
      <c r="D5214" s="626" t="s">
        <v>1919</v>
      </c>
      <c r="E5214" s="636">
        <v>1200</v>
      </c>
      <c r="F5214" s="749" t="s">
        <v>10594</v>
      </c>
      <c r="G5214" s="626" t="s">
        <v>10595</v>
      </c>
      <c r="H5214" s="626" t="s">
        <v>1919</v>
      </c>
      <c r="I5214" s="638" t="s">
        <v>1919</v>
      </c>
      <c r="J5214" s="626" t="s">
        <v>10192</v>
      </c>
      <c r="K5214" s="750">
        <v>4</v>
      </c>
      <c r="L5214" s="752">
        <v>12</v>
      </c>
      <c r="M5214" s="636">
        <f t="shared" si="67"/>
        <v>14400</v>
      </c>
      <c r="N5214" s="752">
        <v>1</v>
      </c>
      <c r="O5214" s="750">
        <v>6</v>
      </c>
      <c r="P5214" s="643">
        <f t="shared" si="68"/>
        <v>7200</v>
      </c>
    </row>
    <row r="5215" spans="1:16" s="619" customFormat="1" ht="36" x14ac:dyDescent="0.2">
      <c r="A5215" s="626" t="s">
        <v>10134</v>
      </c>
      <c r="B5215" s="626" t="s">
        <v>1908</v>
      </c>
      <c r="C5215" s="638" t="s">
        <v>104</v>
      </c>
      <c r="D5215" s="626" t="s">
        <v>5662</v>
      </c>
      <c r="E5215" s="636">
        <v>3100</v>
      </c>
      <c r="F5215" s="749" t="s">
        <v>10596</v>
      </c>
      <c r="G5215" s="626" t="s">
        <v>10597</v>
      </c>
      <c r="H5215" s="626" t="s">
        <v>5662</v>
      </c>
      <c r="I5215" s="638" t="s">
        <v>5662</v>
      </c>
      <c r="J5215" s="626" t="s">
        <v>1913</v>
      </c>
      <c r="K5215" s="750"/>
      <c r="L5215" s="752"/>
      <c r="M5215" s="636">
        <f t="shared" si="67"/>
        <v>0</v>
      </c>
      <c r="N5215" s="752">
        <v>1</v>
      </c>
      <c r="O5215" s="750">
        <v>2</v>
      </c>
      <c r="P5215" s="643">
        <f t="shared" si="68"/>
        <v>6200</v>
      </c>
    </row>
    <row r="5216" spans="1:16" s="619" customFormat="1" ht="48" x14ac:dyDescent="0.2">
      <c r="A5216" s="626" t="s">
        <v>10134</v>
      </c>
      <c r="B5216" s="626" t="s">
        <v>1908</v>
      </c>
      <c r="C5216" s="638" t="s">
        <v>104</v>
      </c>
      <c r="D5216" s="626" t="s">
        <v>5662</v>
      </c>
      <c r="E5216" s="636">
        <v>3100</v>
      </c>
      <c r="F5216" s="749" t="s">
        <v>10598</v>
      </c>
      <c r="G5216" s="626" t="s">
        <v>10599</v>
      </c>
      <c r="H5216" s="626" t="s">
        <v>5662</v>
      </c>
      <c r="I5216" s="638" t="s">
        <v>5662</v>
      </c>
      <c r="J5216" s="626" t="s">
        <v>1913</v>
      </c>
      <c r="K5216" s="750"/>
      <c r="L5216" s="752"/>
      <c r="M5216" s="636">
        <f t="shared" si="67"/>
        <v>0</v>
      </c>
      <c r="N5216" s="752">
        <v>1</v>
      </c>
      <c r="O5216" s="750">
        <v>1</v>
      </c>
      <c r="P5216" s="643">
        <f t="shared" si="68"/>
        <v>3100</v>
      </c>
    </row>
    <row r="5217" spans="1:16" s="619" customFormat="1" ht="36" x14ac:dyDescent="0.2">
      <c r="A5217" s="626" t="s">
        <v>10134</v>
      </c>
      <c r="B5217" s="626" t="s">
        <v>1908</v>
      </c>
      <c r="C5217" s="638" t="s">
        <v>104</v>
      </c>
      <c r="D5217" s="626" t="s">
        <v>4782</v>
      </c>
      <c r="E5217" s="636">
        <v>1000</v>
      </c>
      <c r="F5217" s="749" t="s">
        <v>10600</v>
      </c>
      <c r="G5217" s="626" t="s">
        <v>10601</v>
      </c>
      <c r="H5217" s="626" t="s">
        <v>10602</v>
      </c>
      <c r="I5217" s="638" t="s">
        <v>10602</v>
      </c>
      <c r="J5217" s="626" t="s">
        <v>3878</v>
      </c>
      <c r="K5217" s="750">
        <v>1</v>
      </c>
      <c r="L5217" s="752">
        <v>4</v>
      </c>
      <c r="M5217" s="636">
        <f t="shared" si="67"/>
        <v>4000</v>
      </c>
      <c r="N5217" s="752"/>
      <c r="O5217" s="750"/>
      <c r="P5217" s="643"/>
    </row>
    <row r="5218" spans="1:16" s="619" customFormat="1" ht="36" x14ac:dyDescent="0.2">
      <c r="A5218" s="626" t="s">
        <v>10134</v>
      </c>
      <c r="B5218" s="626" t="s">
        <v>1908</v>
      </c>
      <c r="C5218" s="638" t="s">
        <v>104</v>
      </c>
      <c r="D5218" s="626" t="s">
        <v>2764</v>
      </c>
      <c r="E5218" s="636">
        <v>3100</v>
      </c>
      <c r="F5218" s="749" t="s">
        <v>10603</v>
      </c>
      <c r="G5218" s="626" t="s">
        <v>10604</v>
      </c>
      <c r="H5218" s="626" t="s">
        <v>2764</v>
      </c>
      <c r="I5218" s="638" t="s">
        <v>2764</v>
      </c>
      <c r="J5218" s="626" t="s">
        <v>1913</v>
      </c>
      <c r="K5218" s="750">
        <v>4</v>
      </c>
      <c r="L5218" s="752">
        <v>12</v>
      </c>
      <c r="M5218" s="636">
        <f t="shared" si="67"/>
        <v>37200</v>
      </c>
      <c r="N5218" s="752">
        <v>1</v>
      </c>
      <c r="O5218" s="750">
        <v>6</v>
      </c>
      <c r="P5218" s="643">
        <f t="shared" si="68"/>
        <v>18600</v>
      </c>
    </row>
    <row r="5219" spans="1:16" s="619" customFormat="1" ht="24" x14ac:dyDescent="0.2">
      <c r="A5219" s="626" t="s">
        <v>10134</v>
      </c>
      <c r="B5219" s="626" t="s">
        <v>1908</v>
      </c>
      <c r="C5219" s="638" t="s">
        <v>104</v>
      </c>
      <c r="D5219" s="626" t="s">
        <v>2764</v>
      </c>
      <c r="E5219" s="636">
        <v>3100</v>
      </c>
      <c r="F5219" s="749" t="s">
        <v>10605</v>
      </c>
      <c r="G5219" s="626" t="s">
        <v>10606</v>
      </c>
      <c r="H5219" s="626" t="s">
        <v>2764</v>
      </c>
      <c r="I5219" s="638" t="s">
        <v>2764</v>
      </c>
      <c r="J5219" s="626" t="s">
        <v>10573</v>
      </c>
      <c r="K5219" s="750">
        <v>4</v>
      </c>
      <c r="L5219" s="752">
        <v>12</v>
      </c>
      <c r="M5219" s="636">
        <f t="shared" si="67"/>
        <v>37200</v>
      </c>
      <c r="N5219" s="752">
        <v>1</v>
      </c>
      <c r="O5219" s="750">
        <v>6</v>
      </c>
      <c r="P5219" s="643">
        <f t="shared" si="68"/>
        <v>18600</v>
      </c>
    </row>
    <row r="5220" spans="1:16" s="619" customFormat="1" ht="24" x14ac:dyDescent="0.2">
      <c r="A5220" s="626" t="s">
        <v>10134</v>
      </c>
      <c r="B5220" s="626" t="s">
        <v>1908</v>
      </c>
      <c r="C5220" s="638" t="s">
        <v>104</v>
      </c>
      <c r="D5220" s="626" t="s">
        <v>3709</v>
      </c>
      <c r="E5220" s="636">
        <v>1800</v>
      </c>
      <c r="F5220" s="749" t="s">
        <v>10607</v>
      </c>
      <c r="G5220" s="626" t="s">
        <v>10608</v>
      </c>
      <c r="H5220" s="626" t="s">
        <v>3709</v>
      </c>
      <c r="I5220" s="638" t="s">
        <v>3709</v>
      </c>
      <c r="J5220" s="626" t="s">
        <v>3125</v>
      </c>
      <c r="K5220" s="750"/>
      <c r="L5220" s="752"/>
      <c r="M5220" s="636">
        <f t="shared" si="67"/>
        <v>0</v>
      </c>
      <c r="N5220" s="752">
        <v>1</v>
      </c>
      <c r="O5220" s="750">
        <v>6</v>
      </c>
      <c r="P5220" s="643">
        <f t="shared" si="68"/>
        <v>10800</v>
      </c>
    </row>
    <row r="5221" spans="1:16" s="619" customFormat="1" ht="24" x14ac:dyDescent="0.2">
      <c r="A5221" s="626" t="s">
        <v>10134</v>
      </c>
      <c r="B5221" s="626" t="s">
        <v>1908</v>
      </c>
      <c r="C5221" s="638" t="s">
        <v>104</v>
      </c>
      <c r="D5221" s="626" t="s">
        <v>1919</v>
      </c>
      <c r="E5221" s="636">
        <v>1100</v>
      </c>
      <c r="F5221" s="749" t="s">
        <v>10609</v>
      </c>
      <c r="G5221" s="626" t="s">
        <v>10610</v>
      </c>
      <c r="H5221" s="626" t="s">
        <v>1919</v>
      </c>
      <c r="I5221" s="638" t="s">
        <v>1919</v>
      </c>
      <c r="J5221" s="626" t="s">
        <v>10192</v>
      </c>
      <c r="K5221" s="750"/>
      <c r="L5221" s="752"/>
      <c r="M5221" s="636">
        <f t="shared" si="67"/>
        <v>0</v>
      </c>
      <c r="N5221" s="752">
        <v>1</v>
      </c>
      <c r="O5221" s="750">
        <v>6</v>
      </c>
      <c r="P5221" s="643">
        <f t="shared" si="68"/>
        <v>6600</v>
      </c>
    </row>
    <row r="5222" spans="1:16" s="619" customFormat="1" ht="24" x14ac:dyDescent="0.2">
      <c r="A5222" s="626" t="s">
        <v>10134</v>
      </c>
      <c r="B5222" s="626" t="s">
        <v>1908</v>
      </c>
      <c r="C5222" s="638" t="s">
        <v>104</v>
      </c>
      <c r="D5222" s="626" t="s">
        <v>1919</v>
      </c>
      <c r="E5222" s="636">
        <v>1100</v>
      </c>
      <c r="F5222" s="749" t="s">
        <v>10611</v>
      </c>
      <c r="G5222" s="626" t="s">
        <v>10612</v>
      </c>
      <c r="H5222" s="626" t="s">
        <v>1919</v>
      </c>
      <c r="I5222" s="638" t="s">
        <v>1919</v>
      </c>
      <c r="J5222" s="626" t="s">
        <v>10192</v>
      </c>
      <c r="K5222" s="750">
        <v>4</v>
      </c>
      <c r="L5222" s="752">
        <v>12</v>
      </c>
      <c r="M5222" s="636">
        <f t="shared" si="67"/>
        <v>13200</v>
      </c>
      <c r="N5222" s="752">
        <v>1</v>
      </c>
      <c r="O5222" s="750">
        <v>6</v>
      </c>
      <c r="P5222" s="643">
        <f t="shared" si="68"/>
        <v>6600</v>
      </c>
    </row>
    <row r="5223" spans="1:16" s="619" customFormat="1" ht="24" x14ac:dyDescent="0.2">
      <c r="A5223" s="626" t="s">
        <v>10134</v>
      </c>
      <c r="B5223" s="626" t="s">
        <v>1908</v>
      </c>
      <c r="C5223" s="638" t="s">
        <v>104</v>
      </c>
      <c r="D5223" s="626" t="s">
        <v>10183</v>
      </c>
      <c r="E5223" s="636">
        <v>1800</v>
      </c>
      <c r="F5223" s="749" t="s">
        <v>10613</v>
      </c>
      <c r="G5223" s="626" t="s">
        <v>10614</v>
      </c>
      <c r="H5223" s="626" t="s">
        <v>10183</v>
      </c>
      <c r="I5223" s="638" t="s">
        <v>10183</v>
      </c>
      <c r="J5223" s="626" t="s">
        <v>3125</v>
      </c>
      <c r="K5223" s="750"/>
      <c r="L5223" s="752"/>
      <c r="M5223" s="636">
        <f t="shared" si="67"/>
        <v>0</v>
      </c>
      <c r="N5223" s="752">
        <v>1</v>
      </c>
      <c r="O5223" s="750">
        <v>2</v>
      </c>
      <c r="P5223" s="643">
        <f t="shared" si="68"/>
        <v>3600</v>
      </c>
    </row>
    <row r="5224" spans="1:16" s="619" customFormat="1" ht="24" x14ac:dyDescent="0.2">
      <c r="A5224" s="626" t="s">
        <v>10134</v>
      </c>
      <c r="B5224" s="626" t="s">
        <v>1908</v>
      </c>
      <c r="C5224" s="638" t="s">
        <v>104</v>
      </c>
      <c r="D5224" s="626" t="s">
        <v>1919</v>
      </c>
      <c r="E5224" s="636">
        <v>1100</v>
      </c>
      <c r="F5224" s="749" t="s">
        <v>10615</v>
      </c>
      <c r="G5224" s="626" t="s">
        <v>10616</v>
      </c>
      <c r="H5224" s="626" t="s">
        <v>1919</v>
      </c>
      <c r="I5224" s="638" t="s">
        <v>1919</v>
      </c>
      <c r="J5224" s="626" t="s">
        <v>10192</v>
      </c>
      <c r="K5224" s="750"/>
      <c r="L5224" s="752"/>
      <c r="M5224" s="636">
        <f t="shared" si="67"/>
        <v>0</v>
      </c>
      <c r="N5224" s="752">
        <v>1</v>
      </c>
      <c r="O5224" s="750">
        <v>6</v>
      </c>
      <c r="P5224" s="643">
        <f t="shared" si="68"/>
        <v>6600</v>
      </c>
    </row>
    <row r="5225" spans="1:16" s="619" customFormat="1" ht="24" x14ac:dyDescent="0.2">
      <c r="A5225" s="626" t="s">
        <v>10134</v>
      </c>
      <c r="B5225" s="626" t="s">
        <v>1908</v>
      </c>
      <c r="C5225" s="638" t="s">
        <v>104</v>
      </c>
      <c r="D5225" s="626" t="s">
        <v>10617</v>
      </c>
      <c r="E5225" s="636">
        <v>2200</v>
      </c>
      <c r="F5225" s="749" t="s">
        <v>10618</v>
      </c>
      <c r="G5225" s="626" t="s">
        <v>10619</v>
      </c>
      <c r="H5225" s="626" t="s">
        <v>4253</v>
      </c>
      <c r="I5225" s="638" t="s">
        <v>4253</v>
      </c>
      <c r="J5225" s="626" t="s">
        <v>1913</v>
      </c>
      <c r="K5225" s="750">
        <v>3</v>
      </c>
      <c r="L5225" s="752">
        <v>10</v>
      </c>
      <c r="M5225" s="636">
        <f t="shared" si="67"/>
        <v>22000</v>
      </c>
      <c r="N5225" s="752">
        <v>1</v>
      </c>
      <c r="O5225" s="750">
        <v>6</v>
      </c>
      <c r="P5225" s="643">
        <f t="shared" si="68"/>
        <v>13200</v>
      </c>
    </row>
    <row r="5226" spans="1:16" s="619" customFormat="1" ht="36" x14ac:dyDescent="0.2">
      <c r="A5226" s="626" t="s">
        <v>10134</v>
      </c>
      <c r="B5226" s="626" t="s">
        <v>1908</v>
      </c>
      <c r="C5226" s="638" t="s">
        <v>104</v>
      </c>
      <c r="D5226" s="626" t="s">
        <v>10620</v>
      </c>
      <c r="E5226" s="636">
        <v>2200</v>
      </c>
      <c r="F5226" s="749" t="s">
        <v>10621</v>
      </c>
      <c r="G5226" s="626" t="s">
        <v>10622</v>
      </c>
      <c r="H5226" s="626" t="s">
        <v>8927</v>
      </c>
      <c r="I5226" s="638" t="s">
        <v>8927</v>
      </c>
      <c r="J5226" s="626" t="s">
        <v>1931</v>
      </c>
      <c r="K5226" s="750">
        <v>1</v>
      </c>
      <c r="L5226" s="752">
        <v>3</v>
      </c>
      <c r="M5226" s="636">
        <f t="shared" si="67"/>
        <v>6600</v>
      </c>
      <c r="N5226" s="752">
        <v>1</v>
      </c>
      <c r="O5226" s="750">
        <v>2</v>
      </c>
      <c r="P5226" s="643">
        <f t="shared" si="68"/>
        <v>4400</v>
      </c>
    </row>
    <row r="5227" spans="1:16" s="619" customFormat="1" ht="36" x14ac:dyDescent="0.2">
      <c r="A5227" s="626" t="s">
        <v>10134</v>
      </c>
      <c r="B5227" s="626" t="s">
        <v>1908</v>
      </c>
      <c r="C5227" s="638" t="s">
        <v>104</v>
      </c>
      <c r="D5227" s="626" t="s">
        <v>10623</v>
      </c>
      <c r="E5227" s="636">
        <v>1700</v>
      </c>
      <c r="F5227" s="749" t="s">
        <v>10624</v>
      </c>
      <c r="G5227" s="626" t="s">
        <v>10625</v>
      </c>
      <c r="H5227" s="626" t="s">
        <v>4589</v>
      </c>
      <c r="I5227" s="638" t="s">
        <v>4589</v>
      </c>
      <c r="J5227" s="626" t="s">
        <v>1931</v>
      </c>
      <c r="K5227" s="750">
        <v>4</v>
      </c>
      <c r="L5227" s="752">
        <v>12</v>
      </c>
      <c r="M5227" s="636">
        <f t="shared" si="67"/>
        <v>20400</v>
      </c>
      <c r="N5227" s="752">
        <v>1</v>
      </c>
      <c r="O5227" s="750">
        <v>6</v>
      </c>
      <c r="P5227" s="643">
        <f t="shared" si="68"/>
        <v>10200</v>
      </c>
    </row>
    <row r="5228" spans="1:16" s="619" customFormat="1" ht="36" x14ac:dyDescent="0.2">
      <c r="A5228" s="626" t="s">
        <v>10134</v>
      </c>
      <c r="B5228" s="626" t="s">
        <v>1908</v>
      </c>
      <c r="C5228" s="638" t="s">
        <v>104</v>
      </c>
      <c r="D5228" s="626" t="s">
        <v>10626</v>
      </c>
      <c r="E5228" s="636">
        <v>1400</v>
      </c>
      <c r="F5228" s="749" t="s">
        <v>10627</v>
      </c>
      <c r="G5228" s="626" t="s">
        <v>10628</v>
      </c>
      <c r="H5228" s="626" t="s">
        <v>1919</v>
      </c>
      <c r="I5228" s="638" t="s">
        <v>1919</v>
      </c>
      <c r="J5228" s="626" t="s">
        <v>10192</v>
      </c>
      <c r="K5228" s="750">
        <v>4</v>
      </c>
      <c r="L5228" s="752">
        <v>12</v>
      </c>
      <c r="M5228" s="636">
        <f t="shared" si="67"/>
        <v>16800</v>
      </c>
      <c r="N5228" s="752">
        <v>1</v>
      </c>
      <c r="O5228" s="750">
        <v>6</v>
      </c>
      <c r="P5228" s="643">
        <f t="shared" si="68"/>
        <v>8400</v>
      </c>
    </row>
    <row r="5229" spans="1:16" s="619" customFormat="1" ht="48" x14ac:dyDescent="0.2">
      <c r="A5229" s="626" t="s">
        <v>10134</v>
      </c>
      <c r="B5229" s="626" t="s">
        <v>1908</v>
      </c>
      <c r="C5229" s="638" t="s">
        <v>104</v>
      </c>
      <c r="D5229" s="626" t="s">
        <v>10629</v>
      </c>
      <c r="E5229" s="636">
        <v>3100</v>
      </c>
      <c r="F5229" s="749" t="s">
        <v>10630</v>
      </c>
      <c r="G5229" s="626" t="s">
        <v>10631</v>
      </c>
      <c r="H5229" s="626" t="s">
        <v>6152</v>
      </c>
      <c r="I5229" s="638" t="s">
        <v>6152</v>
      </c>
      <c r="J5229" s="626" t="s">
        <v>1913</v>
      </c>
      <c r="K5229" s="750"/>
      <c r="L5229" s="752"/>
      <c r="M5229" s="636">
        <f t="shared" si="67"/>
        <v>0</v>
      </c>
      <c r="N5229" s="752">
        <v>1</v>
      </c>
      <c r="O5229" s="750">
        <v>4</v>
      </c>
      <c r="P5229" s="643">
        <f t="shared" si="68"/>
        <v>12400</v>
      </c>
    </row>
    <row r="5230" spans="1:16" s="619" customFormat="1" ht="36" x14ac:dyDescent="0.2">
      <c r="A5230" s="626" t="s">
        <v>10134</v>
      </c>
      <c r="B5230" s="626" t="s">
        <v>1908</v>
      </c>
      <c r="C5230" s="638" t="s">
        <v>104</v>
      </c>
      <c r="D5230" s="626" t="s">
        <v>4246</v>
      </c>
      <c r="E5230" s="636">
        <v>3100</v>
      </c>
      <c r="F5230" s="749" t="s">
        <v>10632</v>
      </c>
      <c r="G5230" s="626" t="s">
        <v>10633</v>
      </c>
      <c r="H5230" s="626" t="s">
        <v>2101</v>
      </c>
      <c r="I5230" s="638" t="s">
        <v>2101</v>
      </c>
      <c r="J5230" s="626" t="s">
        <v>1913</v>
      </c>
      <c r="K5230" s="750">
        <v>1</v>
      </c>
      <c r="L5230" s="752">
        <v>5</v>
      </c>
      <c r="M5230" s="636">
        <f t="shared" si="67"/>
        <v>15500</v>
      </c>
      <c r="N5230" s="752">
        <v>1</v>
      </c>
      <c r="O5230" s="750">
        <v>6</v>
      </c>
      <c r="P5230" s="643">
        <f t="shared" si="68"/>
        <v>18600</v>
      </c>
    </row>
    <row r="5231" spans="1:16" s="619" customFormat="1" ht="36" x14ac:dyDescent="0.2">
      <c r="A5231" s="626" t="s">
        <v>10134</v>
      </c>
      <c r="B5231" s="626" t="s">
        <v>1908</v>
      </c>
      <c r="C5231" s="638" t="s">
        <v>104</v>
      </c>
      <c r="D5231" s="626" t="s">
        <v>10634</v>
      </c>
      <c r="E5231" s="636">
        <v>3500</v>
      </c>
      <c r="F5231" s="749" t="s">
        <v>10635</v>
      </c>
      <c r="G5231" s="626" t="s">
        <v>10636</v>
      </c>
      <c r="H5231" s="626" t="s">
        <v>2551</v>
      </c>
      <c r="I5231" s="638" t="s">
        <v>2551</v>
      </c>
      <c r="J5231" s="626" t="s">
        <v>1913</v>
      </c>
      <c r="K5231" s="750">
        <v>4</v>
      </c>
      <c r="L5231" s="752">
        <v>12</v>
      </c>
      <c r="M5231" s="636">
        <f t="shared" si="67"/>
        <v>42000</v>
      </c>
      <c r="N5231" s="752">
        <v>1</v>
      </c>
      <c r="O5231" s="750">
        <v>6</v>
      </c>
      <c r="P5231" s="643">
        <f t="shared" si="68"/>
        <v>21000</v>
      </c>
    </row>
    <row r="5232" spans="1:16" s="619" customFormat="1" ht="36" x14ac:dyDescent="0.2">
      <c r="A5232" s="626" t="s">
        <v>10134</v>
      </c>
      <c r="B5232" s="626" t="s">
        <v>1908</v>
      </c>
      <c r="C5232" s="638" t="s">
        <v>104</v>
      </c>
      <c r="D5232" s="626" t="s">
        <v>6030</v>
      </c>
      <c r="E5232" s="636">
        <v>2200</v>
      </c>
      <c r="F5232" s="749" t="s">
        <v>10637</v>
      </c>
      <c r="G5232" s="626" t="s">
        <v>10638</v>
      </c>
      <c r="H5232" s="626" t="s">
        <v>1999</v>
      </c>
      <c r="I5232" s="638" t="s">
        <v>1999</v>
      </c>
      <c r="J5232" s="626"/>
      <c r="K5232" s="750"/>
      <c r="L5232" s="752"/>
      <c r="M5232" s="636">
        <f t="shared" si="67"/>
        <v>0</v>
      </c>
      <c r="N5232" s="752">
        <v>1</v>
      </c>
      <c r="O5232" s="750">
        <v>1</v>
      </c>
      <c r="P5232" s="643">
        <f t="shared" si="68"/>
        <v>2200</v>
      </c>
    </row>
    <row r="5233" spans="1:16" s="619" customFormat="1" ht="24" x14ac:dyDescent="0.2">
      <c r="A5233" s="626" t="s">
        <v>10134</v>
      </c>
      <c r="B5233" s="626" t="s">
        <v>1908</v>
      </c>
      <c r="C5233" s="638" t="s">
        <v>104</v>
      </c>
      <c r="D5233" s="626" t="s">
        <v>10639</v>
      </c>
      <c r="E5233" s="636">
        <v>3300</v>
      </c>
      <c r="F5233" s="749" t="s">
        <v>10640</v>
      </c>
      <c r="G5233" s="626" t="s">
        <v>10641</v>
      </c>
      <c r="H5233" s="626" t="s">
        <v>1982</v>
      </c>
      <c r="I5233" s="638" t="s">
        <v>1982</v>
      </c>
      <c r="J5233" s="626" t="s">
        <v>1913</v>
      </c>
      <c r="K5233" s="750">
        <v>4</v>
      </c>
      <c r="L5233" s="752">
        <v>12</v>
      </c>
      <c r="M5233" s="636">
        <f t="shared" si="67"/>
        <v>39600</v>
      </c>
      <c r="N5233" s="752">
        <v>1</v>
      </c>
      <c r="O5233" s="750">
        <v>6</v>
      </c>
      <c r="P5233" s="643">
        <f t="shared" si="68"/>
        <v>19800</v>
      </c>
    </row>
    <row r="5234" spans="1:16" s="619" customFormat="1" ht="24" x14ac:dyDescent="0.2">
      <c r="A5234" s="626" t="s">
        <v>10134</v>
      </c>
      <c r="B5234" s="626" t="s">
        <v>1908</v>
      </c>
      <c r="C5234" s="638" t="s">
        <v>104</v>
      </c>
      <c r="D5234" s="626" t="s">
        <v>10642</v>
      </c>
      <c r="E5234" s="636">
        <v>3500</v>
      </c>
      <c r="F5234" s="749">
        <v>72725287</v>
      </c>
      <c r="G5234" s="626" t="s">
        <v>8587</v>
      </c>
      <c r="H5234" s="626" t="s">
        <v>10643</v>
      </c>
      <c r="I5234" s="638" t="s">
        <v>10643</v>
      </c>
      <c r="J5234" s="626" t="s">
        <v>1913</v>
      </c>
      <c r="K5234" s="750">
        <v>1</v>
      </c>
      <c r="L5234" s="752">
        <v>3</v>
      </c>
      <c r="M5234" s="636">
        <f t="shared" si="67"/>
        <v>10500</v>
      </c>
      <c r="N5234" s="752">
        <v>1</v>
      </c>
      <c r="O5234" s="750">
        <v>4</v>
      </c>
      <c r="P5234" s="643">
        <f t="shared" si="68"/>
        <v>14000</v>
      </c>
    </row>
    <row r="5235" spans="1:16" s="619" customFormat="1" ht="36" x14ac:dyDescent="0.2">
      <c r="A5235" s="626" t="s">
        <v>10134</v>
      </c>
      <c r="B5235" s="626" t="s">
        <v>1908</v>
      </c>
      <c r="C5235" s="638" t="s">
        <v>104</v>
      </c>
      <c r="D5235" s="626" t="s">
        <v>4621</v>
      </c>
      <c r="E5235" s="636">
        <v>3100</v>
      </c>
      <c r="F5235" s="749" t="s">
        <v>10644</v>
      </c>
      <c r="G5235" s="626" t="s">
        <v>10645</v>
      </c>
      <c r="H5235" s="626" t="s">
        <v>10643</v>
      </c>
      <c r="I5235" s="638" t="s">
        <v>10643</v>
      </c>
      <c r="J5235" s="626" t="s">
        <v>1913</v>
      </c>
      <c r="K5235" s="750">
        <v>3</v>
      </c>
      <c r="L5235" s="752">
        <v>10</v>
      </c>
      <c r="M5235" s="636">
        <f t="shared" si="67"/>
        <v>31000</v>
      </c>
      <c r="N5235" s="752">
        <v>1</v>
      </c>
      <c r="O5235" s="750">
        <v>6</v>
      </c>
      <c r="P5235" s="643">
        <f t="shared" si="68"/>
        <v>18600</v>
      </c>
    </row>
    <row r="5236" spans="1:16" s="619" customFormat="1" ht="24" x14ac:dyDescent="0.2">
      <c r="A5236" s="626" t="s">
        <v>10134</v>
      </c>
      <c r="B5236" s="626" t="s">
        <v>1908</v>
      </c>
      <c r="C5236" s="638" t="s">
        <v>104</v>
      </c>
      <c r="D5236" s="626" t="s">
        <v>10646</v>
      </c>
      <c r="E5236" s="636">
        <v>1700</v>
      </c>
      <c r="F5236" s="749">
        <v>46247771</v>
      </c>
      <c r="G5236" s="626" t="s">
        <v>10647</v>
      </c>
      <c r="H5236" s="626" t="s">
        <v>10648</v>
      </c>
      <c r="I5236" s="638" t="s">
        <v>10648</v>
      </c>
      <c r="J5236" s="626" t="s">
        <v>1931</v>
      </c>
      <c r="K5236" s="750">
        <v>4</v>
      </c>
      <c r="L5236" s="752">
        <v>12</v>
      </c>
      <c r="M5236" s="636">
        <f t="shared" si="67"/>
        <v>20400</v>
      </c>
      <c r="N5236" s="752">
        <v>1</v>
      </c>
      <c r="O5236" s="750">
        <v>6</v>
      </c>
      <c r="P5236" s="643">
        <f t="shared" si="68"/>
        <v>10200</v>
      </c>
    </row>
    <row r="5237" spans="1:16" s="619" customFormat="1" ht="24" x14ac:dyDescent="0.2">
      <c r="A5237" s="626" t="s">
        <v>10134</v>
      </c>
      <c r="B5237" s="626" t="s">
        <v>1908</v>
      </c>
      <c r="C5237" s="638" t="s">
        <v>104</v>
      </c>
      <c r="D5237" s="626" t="s">
        <v>10649</v>
      </c>
      <c r="E5237" s="636">
        <v>2500</v>
      </c>
      <c r="F5237" s="749" t="s">
        <v>10650</v>
      </c>
      <c r="G5237" s="626" t="s">
        <v>10651</v>
      </c>
      <c r="H5237" s="626" t="s">
        <v>10652</v>
      </c>
      <c r="I5237" s="638" t="s">
        <v>10652</v>
      </c>
      <c r="J5237" s="626" t="s">
        <v>1931</v>
      </c>
      <c r="K5237" s="750">
        <v>4</v>
      </c>
      <c r="L5237" s="752">
        <v>12</v>
      </c>
      <c r="M5237" s="636">
        <f t="shared" si="67"/>
        <v>30000</v>
      </c>
      <c r="N5237" s="752">
        <v>1</v>
      </c>
      <c r="O5237" s="750">
        <v>6</v>
      </c>
      <c r="P5237" s="643">
        <f t="shared" si="68"/>
        <v>15000</v>
      </c>
    </row>
    <row r="5238" spans="1:16" s="619" customFormat="1" ht="24" x14ac:dyDescent="0.2">
      <c r="A5238" s="626" t="s">
        <v>10134</v>
      </c>
      <c r="B5238" s="626" t="s">
        <v>1908</v>
      </c>
      <c r="C5238" s="638" t="s">
        <v>104</v>
      </c>
      <c r="D5238" s="626" t="s">
        <v>3583</v>
      </c>
      <c r="E5238" s="636">
        <v>1800</v>
      </c>
      <c r="F5238" s="749" t="s">
        <v>10653</v>
      </c>
      <c r="G5238" s="626" t="s">
        <v>10654</v>
      </c>
      <c r="H5238" s="626" t="s">
        <v>4589</v>
      </c>
      <c r="I5238" s="638" t="s">
        <v>4589</v>
      </c>
      <c r="J5238" s="626" t="s">
        <v>1931</v>
      </c>
      <c r="K5238" s="750">
        <v>4</v>
      </c>
      <c r="L5238" s="752">
        <v>12</v>
      </c>
      <c r="M5238" s="636">
        <f t="shared" si="67"/>
        <v>21600</v>
      </c>
      <c r="N5238" s="752">
        <v>1</v>
      </c>
      <c r="O5238" s="750">
        <v>0</v>
      </c>
      <c r="P5238" s="643">
        <f t="shared" si="68"/>
        <v>0</v>
      </c>
    </row>
    <row r="5239" spans="1:16" s="619" customFormat="1" ht="24" x14ac:dyDescent="0.2">
      <c r="A5239" s="626" t="s">
        <v>10134</v>
      </c>
      <c r="B5239" s="626" t="s">
        <v>1908</v>
      </c>
      <c r="C5239" s="638" t="s">
        <v>104</v>
      </c>
      <c r="D5239" s="626" t="s">
        <v>10655</v>
      </c>
      <c r="E5239" s="636">
        <v>1100</v>
      </c>
      <c r="F5239" s="749" t="s">
        <v>10656</v>
      </c>
      <c r="G5239" s="626" t="s">
        <v>10657</v>
      </c>
      <c r="H5239" s="626" t="s">
        <v>2558</v>
      </c>
      <c r="I5239" s="638" t="s">
        <v>2558</v>
      </c>
      <c r="J5239" s="626" t="s">
        <v>1931</v>
      </c>
      <c r="K5239" s="750">
        <v>4</v>
      </c>
      <c r="L5239" s="752">
        <v>12</v>
      </c>
      <c r="M5239" s="636">
        <f t="shared" si="67"/>
        <v>13200</v>
      </c>
      <c r="N5239" s="752">
        <v>1</v>
      </c>
      <c r="O5239" s="750">
        <v>6</v>
      </c>
      <c r="P5239" s="643">
        <f t="shared" si="68"/>
        <v>6600</v>
      </c>
    </row>
    <row r="5240" spans="1:16" s="619" customFormat="1" ht="24" x14ac:dyDescent="0.2">
      <c r="A5240" s="626" t="s">
        <v>10134</v>
      </c>
      <c r="B5240" s="626" t="s">
        <v>1908</v>
      </c>
      <c r="C5240" s="638" t="s">
        <v>104</v>
      </c>
      <c r="D5240" s="626" t="s">
        <v>10658</v>
      </c>
      <c r="E5240" s="636">
        <v>3500</v>
      </c>
      <c r="F5240" s="749" t="s">
        <v>10659</v>
      </c>
      <c r="G5240" s="626" t="s">
        <v>10660</v>
      </c>
      <c r="H5240" s="626" t="s">
        <v>10551</v>
      </c>
      <c r="I5240" s="638" t="s">
        <v>10551</v>
      </c>
      <c r="J5240" s="626" t="s">
        <v>1913</v>
      </c>
      <c r="K5240" s="750"/>
      <c r="L5240" s="752"/>
      <c r="M5240" s="636">
        <f t="shared" si="67"/>
        <v>0</v>
      </c>
      <c r="N5240" s="752">
        <v>1</v>
      </c>
      <c r="O5240" s="750">
        <v>6</v>
      </c>
      <c r="P5240" s="643">
        <f t="shared" si="68"/>
        <v>21000</v>
      </c>
    </row>
    <row r="5241" spans="1:16" s="619" customFormat="1" ht="36" x14ac:dyDescent="0.2">
      <c r="A5241" s="626" t="s">
        <v>10134</v>
      </c>
      <c r="B5241" s="626" t="s">
        <v>1908</v>
      </c>
      <c r="C5241" s="638" t="s">
        <v>104</v>
      </c>
      <c r="D5241" s="626" t="s">
        <v>10661</v>
      </c>
      <c r="E5241" s="636">
        <v>2200</v>
      </c>
      <c r="F5241" s="749" t="s">
        <v>10662</v>
      </c>
      <c r="G5241" s="626" t="s">
        <v>10663</v>
      </c>
      <c r="H5241" s="626" t="s">
        <v>10430</v>
      </c>
      <c r="I5241" s="638" t="s">
        <v>10430</v>
      </c>
      <c r="J5241" s="626" t="s">
        <v>1931</v>
      </c>
      <c r="K5241" s="750">
        <v>4</v>
      </c>
      <c r="L5241" s="752">
        <v>12</v>
      </c>
      <c r="M5241" s="636">
        <f t="shared" si="67"/>
        <v>26400</v>
      </c>
      <c r="N5241" s="752">
        <v>1</v>
      </c>
      <c r="O5241" s="750">
        <v>6</v>
      </c>
      <c r="P5241" s="643">
        <f t="shared" si="68"/>
        <v>13200</v>
      </c>
    </row>
    <row r="5242" spans="1:16" s="619" customFormat="1" ht="36" x14ac:dyDescent="0.2">
      <c r="A5242" s="626" t="s">
        <v>10134</v>
      </c>
      <c r="B5242" s="626" t="s">
        <v>1908</v>
      </c>
      <c r="C5242" s="638" t="s">
        <v>104</v>
      </c>
      <c r="D5242" s="626" t="s">
        <v>10664</v>
      </c>
      <c r="E5242" s="636">
        <v>3500</v>
      </c>
      <c r="F5242" s="749" t="s">
        <v>10665</v>
      </c>
      <c r="G5242" s="626" t="s">
        <v>10666</v>
      </c>
      <c r="H5242" s="626" t="s">
        <v>2787</v>
      </c>
      <c r="I5242" s="638" t="s">
        <v>2787</v>
      </c>
      <c r="J5242" s="626" t="s">
        <v>10573</v>
      </c>
      <c r="K5242" s="750">
        <v>4</v>
      </c>
      <c r="L5242" s="752">
        <v>12</v>
      </c>
      <c r="M5242" s="636">
        <f t="shared" si="67"/>
        <v>42000</v>
      </c>
      <c r="N5242" s="752">
        <v>1</v>
      </c>
      <c r="O5242" s="750">
        <v>6</v>
      </c>
      <c r="P5242" s="643">
        <f t="shared" si="68"/>
        <v>21000</v>
      </c>
    </row>
    <row r="5243" spans="1:16" s="619" customFormat="1" ht="36" x14ac:dyDescent="0.2">
      <c r="A5243" s="626" t="s">
        <v>10134</v>
      </c>
      <c r="B5243" s="626" t="s">
        <v>1908</v>
      </c>
      <c r="C5243" s="638" t="s">
        <v>104</v>
      </c>
      <c r="D5243" s="626" t="s">
        <v>10667</v>
      </c>
      <c r="E5243" s="636">
        <v>1700</v>
      </c>
      <c r="F5243" s="749" t="s">
        <v>10668</v>
      </c>
      <c r="G5243" s="626" t="s">
        <v>10669</v>
      </c>
      <c r="H5243" s="626" t="s">
        <v>10670</v>
      </c>
      <c r="I5243" s="638" t="s">
        <v>10670</v>
      </c>
      <c r="J5243" s="626" t="s">
        <v>1931</v>
      </c>
      <c r="K5243" s="750">
        <v>4</v>
      </c>
      <c r="L5243" s="752">
        <v>12</v>
      </c>
      <c r="M5243" s="636">
        <f t="shared" si="67"/>
        <v>20400</v>
      </c>
      <c r="N5243" s="752">
        <v>1</v>
      </c>
      <c r="O5243" s="750">
        <v>6</v>
      </c>
      <c r="P5243" s="643">
        <f t="shared" si="68"/>
        <v>10200</v>
      </c>
    </row>
    <row r="5244" spans="1:16" s="619" customFormat="1" ht="36" x14ac:dyDescent="0.2">
      <c r="A5244" s="626" t="s">
        <v>10134</v>
      </c>
      <c r="B5244" s="626" t="s">
        <v>1908</v>
      </c>
      <c r="C5244" s="638" t="s">
        <v>104</v>
      </c>
      <c r="D5244" s="626" t="s">
        <v>10671</v>
      </c>
      <c r="E5244" s="636">
        <v>3100</v>
      </c>
      <c r="F5244" s="749">
        <v>71408315</v>
      </c>
      <c r="G5244" s="626" t="s">
        <v>10672</v>
      </c>
      <c r="H5244" s="626" t="s">
        <v>1988</v>
      </c>
      <c r="I5244" s="638" t="s">
        <v>1988</v>
      </c>
      <c r="J5244" s="626" t="s">
        <v>1913</v>
      </c>
      <c r="K5244" s="750"/>
      <c r="L5244" s="752"/>
      <c r="M5244" s="636">
        <f t="shared" si="67"/>
        <v>0</v>
      </c>
      <c r="N5244" s="752">
        <v>1</v>
      </c>
      <c r="O5244" s="750">
        <v>0</v>
      </c>
      <c r="P5244" s="643">
        <f t="shared" si="68"/>
        <v>0</v>
      </c>
    </row>
    <row r="5245" spans="1:16" s="619" customFormat="1" ht="36" x14ac:dyDescent="0.2">
      <c r="A5245" s="626" t="s">
        <v>10134</v>
      </c>
      <c r="B5245" s="626" t="s">
        <v>1908</v>
      </c>
      <c r="C5245" s="638" t="s">
        <v>104</v>
      </c>
      <c r="D5245" s="626" t="s">
        <v>10673</v>
      </c>
      <c r="E5245" s="636">
        <v>3100</v>
      </c>
      <c r="F5245" s="749" t="s">
        <v>10674</v>
      </c>
      <c r="G5245" s="626" t="s">
        <v>10675</v>
      </c>
      <c r="H5245" s="626" t="s">
        <v>10676</v>
      </c>
      <c r="I5245" s="638" t="s">
        <v>10676</v>
      </c>
      <c r="J5245" s="626" t="s">
        <v>1913</v>
      </c>
      <c r="K5245" s="750">
        <v>3</v>
      </c>
      <c r="L5245" s="752">
        <v>10</v>
      </c>
      <c r="M5245" s="636">
        <f t="shared" si="67"/>
        <v>31000</v>
      </c>
      <c r="N5245" s="752">
        <v>1</v>
      </c>
      <c r="O5245" s="750">
        <v>6</v>
      </c>
      <c r="P5245" s="643">
        <f t="shared" si="68"/>
        <v>18600</v>
      </c>
    </row>
    <row r="5246" spans="1:16" s="619" customFormat="1" ht="24" x14ac:dyDescent="0.2">
      <c r="A5246" s="626" t="s">
        <v>10134</v>
      </c>
      <c r="B5246" s="626" t="s">
        <v>1908</v>
      </c>
      <c r="C5246" s="638" t="s">
        <v>104</v>
      </c>
      <c r="D5246" s="626" t="s">
        <v>10626</v>
      </c>
      <c r="E5246" s="636">
        <v>1400</v>
      </c>
      <c r="F5246" s="749" t="s">
        <v>10677</v>
      </c>
      <c r="G5246" s="626" t="s">
        <v>10678</v>
      </c>
      <c r="H5246" s="626" t="s">
        <v>1919</v>
      </c>
      <c r="I5246" s="638" t="s">
        <v>1919</v>
      </c>
      <c r="J5246" s="626" t="s">
        <v>10192</v>
      </c>
      <c r="K5246" s="750">
        <v>4</v>
      </c>
      <c r="L5246" s="752">
        <v>12</v>
      </c>
      <c r="M5246" s="636">
        <f t="shared" si="67"/>
        <v>16800</v>
      </c>
      <c r="N5246" s="752">
        <v>1</v>
      </c>
      <c r="O5246" s="750">
        <v>6</v>
      </c>
      <c r="P5246" s="643">
        <f t="shared" si="68"/>
        <v>8400</v>
      </c>
    </row>
    <row r="5247" spans="1:16" s="619" customFormat="1" ht="36" x14ac:dyDescent="0.2">
      <c r="A5247" s="626" t="s">
        <v>10134</v>
      </c>
      <c r="B5247" s="626" t="s">
        <v>1908</v>
      </c>
      <c r="C5247" s="638" t="s">
        <v>104</v>
      </c>
      <c r="D5247" s="626" t="s">
        <v>4621</v>
      </c>
      <c r="E5247" s="636">
        <v>3100</v>
      </c>
      <c r="F5247" s="749" t="s">
        <v>10679</v>
      </c>
      <c r="G5247" s="626" t="s">
        <v>10680</v>
      </c>
      <c r="H5247" s="626" t="s">
        <v>2551</v>
      </c>
      <c r="I5247" s="638" t="s">
        <v>2551</v>
      </c>
      <c r="J5247" s="626" t="s">
        <v>1913</v>
      </c>
      <c r="K5247" s="750">
        <v>2</v>
      </c>
      <c r="L5247" s="752">
        <v>6</v>
      </c>
      <c r="M5247" s="636">
        <f t="shared" si="67"/>
        <v>18600</v>
      </c>
      <c r="N5247" s="752"/>
      <c r="O5247" s="750"/>
      <c r="P5247" s="643"/>
    </row>
    <row r="5248" spans="1:16" s="619" customFormat="1" ht="36" x14ac:dyDescent="0.2">
      <c r="A5248" s="626" t="s">
        <v>10134</v>
      </c>
      <c r="B5248" s="626" t="s">
        <v>1908</v>
      </c>
      <c r="C5248" s="638" t="s">
        <v>104</v>
      </c>
      <c r="D5248" s="626" t="s">
        <v>10681</v>
      </c>
      <c r="E5248" s="636">
        <v>1400</v>
      </c>
      <c r="F5248" s="749" t="s">
        <v>10682</v>
      </c>
      <c r="G5248" s="626" t="s">
        <v>10683</v>
      </c>
      <c r="H5248" s="626" t="s">
        <v>10684</v>
      </c>
      <c r="I5248" s="638" t="s">
        <v>10684</v>
      </c>
      <c r="J5248" s="626" t="s">
        <v>3878</v>
      </c>
      <c r="K5248" s="750">
        <v>4</v>
      </c>
      <c r="L5248" s="752">
        <v>12</v>
      </c>
      <c r="M5248" s="636">
        <f t="shared" si="67"/>
        <v>16800</v>
      </c>
      <c r="N5248" s="752">
        <v>1</v>
      </c>
      <c r="O5248" s="750">
        <v>6</v>
      </c>
      <c r="P5248" s="643">
        <f t="shared" si="68"/>
        <v>8400</v>
      </c>
    </row>
    <row r="5249" spans="1:16" s="619" customFormat="1" ht="48" x14ac:dyDescent="0.2">
      <c r="A5249" s="626" t="s">
        <v>10134</v>
      </c>
      <c r="B5249" s="626" t="s">
        <v>1908</v>
      </c>
      <c r="C5249" s="638" t="s">
        <v>104</v>
      </c>
      <c r="D5249" s="626" t="s">
        <v>1957</v>
      </c>
      <c r="E5249" s="636">
        <v>2800</v>
      </c>
      <c r="F5249" s="749" t="s">
        <v>10685</v>
      </c>
      <c r="G5249" s="626" t="s">
        <v>10686</v>
      </c>
      <c r="H5249" s="626" t="s">
        <v>4677</v>
      </c>
      <c r="I5249" s="638" t="s">
        <v>4677</v>
      </c>
      <c r="J5249" s="626" t="s">
        <v>1913</v>
      </c>
      <c r="K5249" s="750"/>
      <c r="L5249" s="752"/>
      <c r="M5249" s="636">
        <f t="shared" si="67"/>
        <v>0</v>
      </c>
      <c r="N5249" s="752">
        <v>1</v>
      </c>
      <c r="O5249" s="750">
        <v>4</v>
      </c>
      <c r="P5249" s="643">
        <f t="shared" si="68"/>
        <v>11200</v>
      </c>
    </row>
    <row r="5250" spans="1:16" s="619" customFormat="1" ht="36" x14ac:dyDescent="0.2">
      <c r="A5250" s="626" t="s">
        <v>10134</v>
      </c>
      <c r="B5250" s="626" t="s">
        <v>1908</v>
      </c>
      <c r="C5250" s="638" t="s">
        <v>104</v>
      </c>
      <c r="D5250" s="626" t="s">
        <v>3745</v>
      </c>
      <c r="E5250" s="636">
        <v>2200</v>
      </c>
      <c r="F5250" s="749" t="s">
        <v>10687</v>
      </c>
      <c r="G5250" s="626" t="s">
        <v>3839</v>
      </c>
      <c r="H5250" s="626" t="s">
        <v>10688</v>
      </c>
      <c r="I5250" s="638" t="s">
        <v>10688</v>
      </c>
      <c r="J5250" s="626" t="s">
        <v>1913</v>
      </c>
      <c r="K5250" s="750">
        <v>2</v>
      </c>
      <c r="L5250" s="752">
        <v>6</v>
      </c>
      <c r="M5250" s="636">
        <f t="shared" si="67"/>
        <v>13200</v>
      </c>
      <c r="N5250" s="752">
        <v>1</v>
      </c>
      <c r="O5250" s="750">
        <v>6</v>
      </c>
      <c r="P5250" s="643">
        <f t="shared" si="68"/>
        <v>13200</v>
      </c>
    </row>
    <row r="5251" spans="1:16" s="619" customFormat="1" ht="36" x14ac:dyDescent="0.2">
      <c r="A5251" s="626" t="s">
        <v>10134</v>
      </c>
      <c r="B5251" s="626" t="s">
        <v>1908</v>
      </c>
      <c r="C5251" s="638" t="s">
        <v>104</v>
      </c>
      <c r="D5251" s="626" t="s">
        <v>10689</v>
      </c>
      <c r="E5251" s="636">
        <v>3500</v>
      </c>
      <c r="F5251" s="749" t="s">
        <v>10690</v>
      </c>
      <c r="G5251" s="626" t="s">
        <v>10691</v>
      </c>
      <c r="H5251" s="626" t="s">
        <v>10551</v>
      </c>
      <c r="I5251" s="638" t="s">
        <v>10551</v>
      </c>
      <c r="J5251" s="626" t="s">
        <v>1913</v>
      </c>
      <c r="K5251" s="750">
        <v>4</v>
      </c>
      <c r="L5251" s="752">
        <v>12</v>
      </c>
      <c r="M5251" s="636">
        <f t="shared" si="67"/>
        <v>42000</v>
      </c>
      <c r="N5251" s="752">
        <v>1</v>
      </c>
      <c r="O5251" s="750">
        <v>6</v>
      </c>
      <c r="P5251" s="643">
        <f t="shared" si="68"/>
        <v>21000</v>
      </c>
    </row>
    <row r="5252" spans="1:16" s="619" customFormat="1" ht="24" x14ac:dyDescent="0.2">
      <c r="A5252" s="626" t="s">
        <v>10134</v>
      </c>
      <c r="B5252" s="626" t="s">
        <v>1908</v>
      </c>
      <c r="C5252" s="638" t="s">
        <v>104</v>
      </c>
      <c r="D5252" s="626" t="s">
        <v>3677</v>
      </c>
      <c r="E5252" s="636">
        <v>1100</v>
      </c>
      <c r="F5252" s="749" t="s">
        <v>10692</v>
      </c>
      <c r="G5252" s="626" t="s">
        <v>10693</v>
      </c>
      <c r="H5252" s="626" t="s">
        <v>1919</v>
      </c>
      <c r="I5252" s="638" t="s">
        <v>1919</v>
      </c>
      <c r="J5252" s="626" t="s">
        <v>10192</v>
      </c>
      <c r="K5252" s="750"/>
      <c r="L5252" s="752"/>
      <c r="M5252" s="636">
        <f t="shared" si="67"/>
        <v>0</v>
      </c>
      <c r="N5252" s="752">
        <v>1</v>
      </c>
      <c r="O5252" s="750">
        <v>2</v>
      </c>
      <c r="P5252" s="643">
        <f t="shared" si="68"/>
        <v>2200</v>
      </c>
    </row>
    <row r="5253" spans="1:16" s="619" customFormat="1" ht="36" x14ac:dyDescent="0.2">
      <c r="A5253" s="626" t="s">
        <v>10134</v>
      </c>
      <c r="B5253" s="626" t="s">
        <v>1908</v>
      </c>
      <c r="C5253" s="638" t="s">
        <v>104</v>
      </c>
      <c r="D5253" s="626" t="s">
        <v>3538</v>
      </c>
      <c r="E5253" s="636">
        <v>4500</v>
      </c>
      <c r="F5253" s="749" t="s">
        <v>10694</v>
      </c>
      <c r="G5253" s="626" t="s">
        <v>10695</v>
      </c>
      <c r="H5253" s="626" t="s">
        <v>6418</v>
      </c>
      <c r="I5253" s="638" t="s">
        <v>6418</v>
      </c>
      <c r="J5253" s="626" t="s">
        <v>1913</v>
      </c>
      <c r="K5253" s="750">
        <v>1</v>
      </c>
      <c r="L5253" s="752">
        <v>3</v>
      </c>
      <c r="M5253" s="636">
        <f t="shared" ref="M5253:M5317" si="69">E5253*L5253</f>
        <v>13500</v>
      </c>
      <c r="N5253" s="752"/>
      <c r="O5253" s="750"/>
      <c r="P5253" s="643"/>
    </row>
    <row r="5254" spans="1:16" s="619" customFormat="1" ht="36" x14ac:dyDescent="0.2">
      <c r="A5254" s="626" t="s">
        <v>10134</v>
      </c>
      <c r="B5254" s="626" t="s">
        <v>1908</v>
      </c>
      <c r="C5254" s="638" t="s">
        <v>104</v>
      </c>
      <c r="D5254" s="626" t="s">
        <v>10696</v>
      </c>
      <c r="E5254" s="636">
        <v>1700</v>
      </c>
      <c r="F5254" s="749">
        <v>48612397</v>
      </c>
      <c r="G5254" s="626" t="s">
        <v>10697</v>
      </c>
      <c r="H5254" s="626" t="s">
        <v>4589</v>
      </c>
      <c r="I5254" s="638" t="s">
        <v>4589</v>
      </c>
      <c r="J5254" s="626" t="s">
        <v>1931</v>
      </c>
      <c r="K5254" s="750">
        <v>2</v>
      </c>
      <c r="L5254" s="752">
        <v>6</v>
      </c>
      <c r="M5254" s="636">
        <f t="shared" si="69"/>
        <v>10200</v>
      </c>
      <c r="N5254" s="752">
        <v>1</v>
      </c>
      <c r="O5254" s="750">
        <v>4</v>
      </c>
      <c r="P5254" s="643">
        <f t="shared" ref="P5254:P5318" si="70">E5254*O5254</f>
        <v>6800</v>
      </c>
    </row>
    <row r="5255" spans="1:16" s="619" customFormat="1" ht="36" x14ac:dyDescent="0.2">
      <c r="A5255" s="626" t="s">
        <v>10134</v>
      </c>
      <c r="B5255" s="626" t="s">
        <v>1908</v>
      </c>
      <c r="C5255" s="638" t="s">
        <v>104</v>
      </c>
      <c r="D5255" s="626" t="s">
        <v>4337</v>
      </c>
      <c r="E5255" s="636">
        <v>4500</v>
      </c>
      <c r="F5255" s="749" t="s">
        <v>10698</v>
      </c>
      <c r="G5255" s="626" t="s">
        <v>10699</v>
      </c>
      <c r="H5255" s="626" t="s">
        <v>2193</v>
      </c>
      <c r="I5255" s="638" t="s">
        <v>2193</v>
      </c>
      <c r="J5255" s="626" t="s">
        <v>1913</v>
      </c>
      <c r="K5255" s="750"/>
      <c r="L5255" s="752"/>
      <c r="M5255" s="636">
        <f t="shared" si="69"/>
        <v>0</v>
      </c>
      <c r="N5255" s="752">
        <v>1</v>
      </c>
      <c r="O5255" s="750">
        <v>1</v>
      </c>
      <c r="P5255" s="643">
        <f t="shared" si="70"/>
        <v>4500</v>
      </c>
    </row>
    <row r="5256" spans="1:16" s="619" customFormat="1" ht="36" x14ac:dyDescent="0.2">
      <c r="A5256" s="626" t="s">
        <v>10134</v>
      </c>
      <c r="B5256" s="626" t="s">
        <v>1908</v>
      </c>
      <c r="C5256" s="638" t="s">
        <v>104</v>
      </c>
      <c r="D5256" s="626" t="s">
        <v>10700</v>
      </c>
      <c r="E5256" s="636">
        <v>4500</v>
      </c>
      <c r="F5256" s="749" t="s">
        <v>10701</v>
      </c>
      <c r="G5256" s="626" t="s">
        <v>10702</v>
      </c>
      <c r="H5256" s="626" t="s">
        <v>2232</v>
      </c>
      <c r="I5256" s="638" t="s">
        <v>2232</v>
      </c>
      <c r="J5256" s="626" t="s">
        <v>1913</v>
      </c>
      <c r="K5256" s="750">
        <v>4</v>
      </c>
      <c r="L5256" s="752">
        <v>12</v>
      </c>
      <c r="M5256" s="636">
        <f t="shared" si="69"/>
        <v>54000</v>
      </c>
      <c r="N5256" s="752">
        <v>1</v>
      </c>
      <c r="O5256" s="750">
        <v>6</v>
      </c>
      <c r="P5256" s="643">
        <f t="shared" si="70"/>
        <v>27000</v>
      </c>
    </row>
    <row r="5257" spans="1:16" s="619" customFormat="1" ht="24" x14ac:dyDescent="0.2">
      <c r="A5257" s="626" t="s">
        <v>10134</v>
      </c>
      <c r="B5257" s="626" t="s">
        <v>1908</v>
      </c>
      <c r="C5257" s="638" t="s">
        <v>104</v>
      </c>
      <c r="D5257" s="626" t="s">
        <v>10703</v>
      </c>
      <c r="E5257" s="636">
        <v>3100</v>
      </c>
      <c r="F5257" s="749" t="s">
        <v>10704</v>
      </c>
      <c r="G5257" s="626" t="s">
        <v>10705</v>
      </c>
      <c r="H5257" s="626" t="s">
        <v>10551</v>
      </c>
      <c r="I5257" s="638" t="s">
        <v>10551</v>
      </c>
      <c r="J5257" s="626" t="s">
        <v>1913</v>
      </c>
      <c r="K5257" s="750">
        <v>4</v>
      </c>
      <c r="L5257" s="752">
        <v>12</v>
      </c>
      <c r="M5257" s="636">
        <f t="shared" si="69"/>
        <v>37200</v>
      </c>
      <c r="N5257" s="752">
        <v>1</v>
      </c>
      <c r="O5257" s="750">
        <v>6</v>
      </c>
      <c r="P5257" s="643">
        <f t="shared" si="70"/>
        <v>18600</v>
      </c>
    </row>
    <row r="5258" spans="1:16" s="619" customFormat="1" ht="36" x14ac:dyDescent="0.2">
      <c r="A5258" s="626" t="s">
        <v>10134</v>
      </c>
      <c r="B5258" s="626" t="s">
        <v>1908</v>
      </c>
      <c r="C5258" s="638" t="s">
        <v>104</v>
      </c>
      <c r="D5258" s="626" t="s">
        <v>10706</v>
      </c>
      <c r="E5258" s="636">
        <v>3100</v>
      </c>
      <c r="F5258" s="749" t="s">
        <v>10707</v>
      </c>
      <c r="G5258" s="626" t="s">
        <v>10708</v>
      </c>
      <c r="H5258" s="626" t="s">
        <v>6101</v>
      </c>
      <c r="I5258" s="638" t="s">
        <v>6101</v>
      </c>
      <c r="J5258" s="626" t="s">
        <v>1913</v>
      </c>
      <c r="K5258" s="750">
        <v>4</v>
      </c>
      <c r="L5258" s="752">
        <v>12</v>
      </c>
      <c r="M5258" s="636">
        <f t="shared" si="69"/>
        <v>37200</v>
      </c>
      <c r="N5258" s="752">
        <v>1</v>
      </c>
      <c r="O5258" s="750">
        <v>6</v>
      </c>
      <c r="P5258" s="643">
        <f t="shared" si="70"/>
        <v>18600</v>
      </c>
    </row>
    <row r="5259" spans="1:16" s="619" customFormat="1" ht="48" x14ac:dyDescent="0.2">
      <c r="A5259" s="626" t="s">
        <v>10134</v>
      </c>
      <c r="B5259" s="626" t="s">
        <v>1908</v>
      </c>
      <c r="C5259" s="638" t="s">
        <v>104</v>
      </c>
      <c r="D5259" s="626" t="s">
        <v>10709</v>
      </c>
      <c r="E5259" s="636">
        <v>3100</v>
      </c>
      <c r="F5259" s="749" t="s">
        <v>10710</v>
      </c>
      <c r="G5259" s="626" t="s">
        <v>10711</v>
      </c>
      <c r="H5259" s="626" t="s">
        <v>10712</v>
      </c>
      <c r="I5259" s="638" t="s">
        <v>10712</v>
      </c>
      <c r="J5259" s="626" t="s">
        <v>1913</v>
      </c>
      <c r="K5259" s="750">
        <v>4</v>
      </c>
      <c r="L5259" s="752">
        <v>12</v>
      </c>
      <c r="M5259" s="636">
        <f t="shared" si="69"/>
        <v>37200</v>
      </c>
      <c r="N5259" s="752">
        <v>1</v>
      </c>
      <c r="O5259" s="750">
        <v>6</v>
      </c>
      <c r="P5259" s="643">
        <f t="shared" si="70"/>
        <v>18600</v>
      </c>
    </row>
    <row r="5260" spans="1:16" s="619" customFormat="1" ht="24" x14ac:dyDescent="0.2">
      <c r="A5260" s="626" t="s">
        <v>10134</v>
      </c>
      <c r="B5260" s="626" t="s">
        <v>1908</v>
      </c>
      <c r="C5260" s="638" t="s">
        <v>104</v>
      </c>
      <c r="D5260" s="626" t="s">
        <v>10713</v>
      </c>
      <c r="E5260" s="636">
        <v>3500</v>
      </c>
      <c r="F5260" s="749" t="s">
        <v>10714</v>
      </c>
      <c r="G5260" s="626" t="s">
        <v>10715</v>
      </c>
      <c r="H5260" s="626" t="s">
        <v>6548</v>
      </c>
      <c r="I5260" s="638" t="s">
        <v>6548</v>
      </c>
      <c r="J5260" s="626" t="s">
        <v>1913</v>
      </c>
      <c r="K5260" s="750">
        <v>4</v>
      </c>
      <c r="L5260" s="752">
        <v>12</v>
      </c>
      <c r="M5260" s="636">
        <f t="shared" si="69"/>
        <v>42000</v>
      </c>
      <c r="N5260" s="752">
        <v>1</v>
      </c>
      <c r="O5260" s="750">
        <v>6</v>
      </c>
      <c r="P5260" s="643">
        <f t="shared" si="70"/>
        <v>21000</v>
      </c>
    </row>
    <row r="5261" spans="1:16" s="619" customFormat="1" ht="36" x14ac:dyDescent="0.2">
      <c r="A5261" s="626" t="s">
        <v>10134</v>
      </c>
      <c r="B5261" s="626" t="s">
        <v>1908</v>
      </c>
      <c r="C5261" s="638" t="s">
        <v>104</v>
      </c>
      <c r="D5261" s="626" t="s">
        <v>10716</v>
      </c>
      <c r="E5261" s="636">
        <v>2500</v>
      </c>
      <c r="F5261" s="749" t="s">
        <v>10717</v>
      </c>
      <c r="G5261" s="626" t="s">
        <v>10718</v>
      </c>
      <c r="H5261" s="626" t="s">
        <v>10430</v>
      </c>
      <c r="I5261" s="638" t="s">
        <v>10430</v>
      </c>
      <c r="J5261" s="626" t="s">
        <v>1931</v>
      </c>
      <c r="K5261" s="750">
        <v>4</v>
      </c>
      <c r="L5261" s="752">
        <v>12</v>
      </c>
      <c r="M5261" s="636">
        <f t="shared" si="69"/>
        <v>30000</v>
      </c>
      <c r="N5261" s="752">
        <v>1</v>
      </c>
      <c r="O5261" s="750">
        <v>6</v>
      </c>
      <c r="P5261" s="643">
        <f t="shared" si="70"/>
        <v>15000</v>
      </c>
    </row>
    <row r="5262" spans="1:16" s="619" customFormat="1" ht="36" x14ac:dyDescent="0.2">
      <c r="A5262" s="626" t="s">
        <v>10134</v>
      </c>
      <c r="B5262" s="626" t="s">
        <v>1908</v>
      </c>
      <c r="C5262" s="638" t="s">
        <v>104</v>
      </c>
      <c r="D5262" s="626" t="s">
        <v>10626</v>
      </c>
      <c r="E5262" s="636">
        <v>1400</v>
      </c>
      <c r="F5262" s="749" t="s">
        <v>10719</v>
      </c>
      <c r="G5262" s="626" t="s">
        <v>10720</v>
      </c>
      <c r="H5262" s="626" t="s">
        <v>8801</v>
      </c>
      <c r="I5262" s="638" t="s">
        <v>2177</v>
      </c>
      <c r="J5262" s="626" t="s">
        <v>1931</v>
      </c>
      <c r="K5262" s="750">
        <v>4</v>
      </c>
      <c r="L5262" s="752">
        <v>9</v>
      </c>
      <c r="M5262" s="636">
        <f t="shared" si="69"/>
        <v>12600</v>
      </c>
      <c r="N5262" s="752">
        <v>1</v>
      </c>
      <c r="O5262" s="750">
        <v>6</v>
      </c>
      <c r="P5262" s="643">
        <f t="shared" si="70"/>
        <v>8400</v>
      </c>
    </row>
    <row r="5263" spans="1:16" s="619" customFormat="1" ht="24" x14ac:dyDescent="0.2">
      <c r="A5263" s="626" t="s">
        <v>10134</v>
      </c>
      <c r="B5263" s="626" t="s">
        <v>1908</v>
      </c>
      <c r="C5263" s="638" t="s">
        <v>104</v>
      </c>
      <c r="D5263" s="626" t="s">
        <v>10721</v>
      </c>
      <c r="E5263" s="636">
        <v>4500</v>
      </c>
      <c r="F5263" s="749" t="s">
        <v>10722</v>
      </c>
      <c r="G5263" s="626" t="s">
        <v>10723</v>
      </c>
      <c r="H5263" s="626" t="s">
        <v>10724</v>
      </c>
      <c r="I5263" s="638" t="s">
        <v>10724</v>
      </c>
      <c r="J5263" s="626" t="s">
        <v>1913</v>
      </c>
      <c r="K5263" s="750">
        <v>4</v>
      </c>
      <c r="L5263" s="752">
        <v>10</v>
      </c>
      <c r="M5263" s="636">
        <f t="shared" si="69"/>
        <v>45000</v>
      </c>
      <c r="N5263" s="752">
        <v>1</v>
      </c>
      <c r="O5263" s="750">
        <v>6</v>
      </c>
      <c r="P5263" s="643">
        <f t="shared" si="70"/>
        <v>27000</v>
      </c>
    </row>
    <row r="5264" spans="1:16" s="619" customFormat="1" ht="36" x14ac:dyDescent="0.2">
      <c r="A5264" s="626" t="s">
        <v>10134</v>
      </c>
      <c r="B5264" s="626" t="s">
        <v>1908</v>
      </c>
      <c r="C5264" s="638" t="s">
        <v>104</v>
      </c>
      <c r="D5264" s="626" t="s">
        <v>10725</v>
      </c>
      <c r="E5264" s="636">
        <v>3500</v>
      </c>
      <c r="F5264" s="749" t="s">
        <v>10726</v>
      </c>
      <c r="G5264" s="626" t="s">
        <v>10727</v>
      </c>
      <c r="H5264" s="626" t="s">
        <v>4298</v>
      </c>
      <c r="I5264" s="638" t="s">
        <v>4298</v>
      </c>
      <c r="J5264" s="626" t="s">
        <v>1913</v>
      </c>
      <c r="K5264" s="750">
        <v>4</v>
      </c>
      <c r="L5264" s="752">
        <v>12</v>
      </c>
      <c r="M5264" s="636">
        <f t="shared" si="69"/>
        <v>42000</v>
      </c>
      <c r="N5264" s="752">
        <v>1</v>
      </c>
      <c r="O5264" s="750">
        <v>6</v>
      </c>
      <c r="P5264" s="643">
        <f t="shared" si="70"/>
        <v>21000</v>
      </c>
    </row>
    <row r="5265" spans="1:16" s="619" customFormat="1" ht="36" x14ac:dyDescent="0.2">
      <c r="A5265" s="626" t="s">
        <v>10134</v>
      </c>
      <c r="B5265" s="626" t="s">
        <v>1908</v>
      </c>
      <c r="C5265" s="638" t="s">
        <v>104</v>
      </c>
      <c r="D5265" s="626" t="s">
        <v>10728</v>
      </c>
      <c r="E5265" s="636">
        <v>2500</v>
      </c>
      <c r="F5265" s="749" t="s">
        <v>10729</v>
      </c>
      <c r="G5265" s="626" t="s">
        <v>10730</v>
      </c>
      <c r="H5265" s="626" t="s">
        <v>2491</v>
      </c>
      <c r="I5265" s="638" t="s">
        <v>2491</v>
      </c>
      <c r="J5265" s="626" t="s">
        <v>1913</v>
      </c>
      <c r="K5265" s="750">
        <v>4</v>
      </c>
      <c r="L5265" s="752">
        <v>6</v>
      </c>
      <c r="M5265" s="636">
        <f t="shared" si="69"/>
        <v>15000</v>
      </c>
      <c r="N5265" s="752">
        <v>1</v>
      </c>
      <c r="O5265" s="750">
        <v>6</v>
      </c>
      <c r="P5265" s="643">
        <f t="shared" si="70"/>
        <v>15000</v>
      </c>
    </row>
    <row r="5266" spans="1:16" s="619" customFormat="1" ht="36" x14ac:dyDescent="0.2">
      <c r="A5266" s="626" t="s">
        <v>10134</v>
      </c>
      <c r="B5266" s="626" t="s">
        <v>1908</v>
      </c>
      <c r="C5266" s="638" t="s">
        <v>104</v>
      </c>
      <c r="D5266" s="626" t="s">
        <v>10731</v>
      </c>
      <c r="E5266" s="636">
        <v>3100</v>
      </c>
      <c r="F5266" s="749" t="s">
        <v>10732</v>
      </c>
      <c r="G5266" s="626" t="s">
        <v>10733</v>
      </c>
      <c r="H5266" s="626" t="s">
        <v>8398</v>
      </c>
      <c r="I5266" s="638" t="s">
        <v>8398</v>
      </c>
      <c r="J5266" s="626" t="s">
        <v>1913</v>
      </c>
      <c r="K5266" s="750"/>
      <c r="L5266" s="752"/>
      <c r="M5266" s="636">
        <f t="shared" si="69"/>
        <v>0</v>
      </c>
      <c r="N5266" s="752">
        <v>1</v>
      </c>
      <c r="O5266" s="750">
        <v>1</v>
      </c>
      <c r="P5266" s="643">
        <f t="shared" si="70"/>
        <v>3100</v>
      </c>
    </row>
    <row r="5267" spans="1:16" s="619" customFormat="1" ht="36" x14ac:dyDescent="0.2">
      <c r="A5267" s="626" t="s">
        <v>10134</v>
      </c>
      <c r="B5267" s="626" t="s">
        <v>1908</v>
      </c>
      <c r="C5267" s="638" t="s">
        <v>104</v>
      </c>
      <c r="D5267" s="626" t="s">
        <v>10734</v>
      </c>
      <c r="E5267" s="636">
        <v>3100</v>
      </c>
      <c r="F5267" s="749">
        <v>42190601</v>
      </c>
      <c r="G5267" s="626" t="s">
        <v>10735</v>
      </c>
      <c r="H5267" s="626" t="s">
        <v>8398</v>
      </c>
      <c r="I5267" s="638" t="s">
        <v>8398</v>
      </c>
      <c r="J5267" s="626" t="s">
        <v>1913</v>
      </c>
      <c r="K5267" s="750">
        <v>4</v>
      </c>
      <c r="L5267" s="752">
        <v>12</v>
      </c>
      <c r="M5267" s="636">
        <f t="shared" si="69"/>
        <v>37200</v>
      </c>
      <c r="N5267" s="752">
        <v>1</v>
      </c>
      <c r="O5267" s="750">
        <v>6</v>
      </c>
      <c r="P5267" s="643">
        <f t="shared" si="70"/>
        <v>18600</v>
      </c>
    </row>
    <row r="5268" spans="1:16" s="619" customFormat="1" ht="24" x14ac:dyDescent="0.2">
      <c r="A5268" s="626" t="s">
        <v>10134</v>
      </c>
      <c r="B5268" s="626" t="s">
        <v>1908</v>
      </c>
      <c r="C5268" s="638" t="s">
        <v>104</v>
      </c>
      <c r="D5268" s="626" t="s">
        <v>10736</v>
      </c>
      <c r="E5268" s="636">
        <v>2500</v>
      </c>
      <c r="F5268" s="749" t="s">
        <v>10737</v>
      </c>
      <c r="G5268" s="626" t="s">
        <v>10738</v>
      </c>
      <c r="H5268" s="626" t="s">
        <v>8927</v>
      </c>
      <c r="I5268" s="638" t="s">
        <v>8927</v>
      </c>
      <c r="J5268" s="626" t="s">
        <v>1931</v>
      </c>
      <c r="K5268" s="750">
        <v>4</v>
      </c>
      <c r="L5268" s="752">
        <v>12</v>
      </c>
      <c r="M5268" s="636">
        <f t="shared" si="69"/>
        <v>30000</v>
      </c>
      <c r="N5268" s="752">
        <v>1</v>
      </c>
      <c r="O5268" s="750">
        <v>6</v>
      </c>
      <c r="P5268" s="643">
        <f t="shared" si="70"/>
        <v>15000</v>
      </c>
    </row>
    <row r="5269" spans="1:16" s="619" customFormat="1" ht="36" x14ac:dyDescent="0.2">
      <c r="A5269" s="626" t="s">
        <v>10134</v>
      </c>
      <c r="B5269" s="626" t="s">
        <v>1908</v>
      </c>
      <c r="C5269" s="638" t="s">
        <v>104</v>
      </c>
      <c r="D5269" s="626" t="s">
        <v>10739</v>
      </c>
      <c r="E5269" s="636">
        <v>3100</v>
      </c>
      <c r="F5269" s="749" t="s">
        <v>10740</v>
      </c>
      <c r="G5269" s="626" t="s">
        <v>10741</v>
      </c>
      <c r="H5269" s="626" t="s">
        <v>10551</v>
      </c>
      <c r="I5269" s="638" t="s">
        <v>10551</v>
      </c>
      <c r="J5269" s="626" t="s">
        <v>1913</v>
      </c>
      <c r="K5269" s="750">
        <v>2</v>
      </c>
      <c r="L5269" s="752">
        <v>8</v>
      </c>
      <c r="M5269" s="636">
        <f t="shared" si="69"/>
        <v>24800</v>
      </c>
      <c r="N5269" s="752">
        <v>1</v>
      </c>
      <c r="O5269" s="750"/>
      <c r="P5269" s="643"/>
    </row>
    <row r="5270" spans="1:16" s="619" customFormat="1" ht="24" x14ac:dyDescent="0.2">
      <c r="A5270" s="626" t="s">
        <v>10134</v>
      </c>
      <c r="B5270" s="626" t="s">
        <v>1908</v>
      </c>
      <c r="C5270" s="638" t="s">
        <v>104</v>
      </c>
      <c r="D5270" s="626" t="s">
        <v>10742</v>
      </c>
      <c r="E5270" s="636">
        <v>2000</v>
      </c>
      <c r="F5270" s="749" t="s">
        <v>10743</v>
      </c>
      <c r="G5270" s="626" t="s">
        <v>10744</v>
      </c>
      <c r="H5270" s="626" t="s">
        <v>10144</v>
      </c>
      <c r="I5270" s="638" t="s">
        <v>10144</v>
      </c>
      <c r="J5270" s="626" t="s">
        <v>1931</v>
      </c>
      <c r="K5270" s="750">
        <v>4</v>
      </c>
      <c r="L5270" s="752">
        <v>12</v>
      </c>
      <c r="M5270" s="636">
        <f t="shared" si="69"/>
        <v>24000</v>
      </c>
      <c r="N5270" s="752">
        <v>1</v>
      </c>
      <c r="O5270" s="750">
        <v>6</v>
      </c>
      <c r="P5270" s="643">
        <f t="shared" si="70"/>
        <v>12000</v>
      </c>
    </row>
    <row r="5271" spans="1:16" s="619" customFormat="1" ht="36" x14ac:dyDescent="0.2">
      <c r="A5271" s="626" t="s">
        <v>10134</v>
      </c>
      <c r="B5271" s="626" t="s">
        <v>1908</v>
      </c>
      <c r="C5271" s="638" t="s">
        <v>104</v>
      </c>
      <c r="D5271" s="626" t="s">
        <v>10745</v>
      </c>
      <c r="E5271" s="636">
        <v>3100</v>
      </c>
      <c r="F5271" s="749" t="s">
        <v>10746</v>
      </c>
      <c r="G5271" s="626" t="s">
        <v>10747</v>
      </c>
      <c r="H5271" s="626" t="s">
        <v>10748</v>
      </c>
      <c r="I5271" s="638" t="s">
        <v>10748</v>
      </c>
      <c r="J5271" s="626" t="s">
        <v>1913</v>
      </c>
      <c r="K5271" s="750">
        <v>4</v>
      </c>
      <c r="L5271" s="752">
        <v>12</v>
      </c>
      <c r="M5271" s="636">
        <f t="shared" si="69"/>
        <v>37200</v>
      </c>
      <c r="N5271" s="752">
        <v>1</v>
      </c>
      <c r="O5271" s="750">
        <v>6</v>
      </c>
      <c r="P5271" s="643">
        <f t="shared" si="70"/>
        <v>18600</v>
      </c>
    </row>
    <row r="5272" spans="1:16" s="619" customFormat="1" ht="36" x14ac:dyDescent="0.2">
      <c r="A5272" s="626" t="s">
        <v>10134</v>
      </c>
      <c r="B5272" s="626" t="s">
        <v>1908</v>
      </c>
      <c r="C5272" s="638" t="s">
        <v>104</v>
      </c>
      <c r="D5272" s="626" t="s">
        <v>10749</v>
      </c>
      <c r="E5272" s="636">
        <v>3100</v>
      </c>
      <c r="F5272" s="749" t="s">
        <v>10750</v>
      </c>
      <c r="G5272" s="626" t="s">
        <v>10751</v>
      </c>
      <c r="H5272" s="626" t="s">
        <v>10551</v>
      </c>
      <c r="I5272" s="638" t="s">
        <v>10551</v>
      </c>
      <c r="J5272" s="626" t="s">
        <v>1913</v>
      </c>
      <c r="K5272" s="750">
        <v>2</v>
      </c>
      <c r="L5272" s="752">
        <v>3</v>
      </c>
      <c r="M5272" s="636">
        <f t="shared" si="69"/>
        <v>9300</v>
      </c>
      <c r="N5272" s="752"/>
      <c r="O5272" s="750"/>
      <c r="P5272" s="643"/>
    </row>
    <row r="5273" spans="1:16" s="619" customFormat="1" ht="24" x14ac:dyDescent="0.2">
      <c r="A5273" s="626" t="s">
        <v>10134</v>
      </c>
      <c r="B5273" s="626" t="s">
        <v>1908</v>
      </c>
      <c r="C5273" s="638" t="s">
        <v>104</v>
      </c>
      <c r="D5273" s="626" t="s">
        <v>10752</v>
      </c>
      <c r="E5273" s="636">
        <v>1400</v>
      </c>
      <c r="F5273" s="749" t="s">
        <v>10753</v>
      </c>
      <c r="G5273" s="626" t="s">
        <v>10754</v>
      </c>
      <c r="H5273" s="626" t="s">
        <v>1919</v>
      </c>
      <c r="I5273" s="638" t="s">
        <v>1919</v>
      </c>
      <c r="J5273" s="626" t="s">
        <v>10192</v>
      </c>
      <c r="K5273" s="750">
        <v>4</v>
      </c>
      <c r="L5273" s="752">
        <v>12</v>
      </c>
      <c r="M5273" s="636">
        <f t="shared" si="69"/>
        <v>16800</v>
      </c>
      <c r="N5273" s="752">
        <v>1</v>
      </c>
      <c r="O5273" s="750">
        <v>6</v>
      </c>
      <c r="P5273" s="643">
        <f t="shared" si="70"/>
        <v>8400</v>
      </c>
    </row>
    <row r="5274" spans="1:16" s="619" customFormat="1" ht="36" x14ac:dyDescent="0.2">
      <c r="A5274" s="626" t="s">
        <v>10134</v>
      </c>
      <c r="B5274" s="626" t="s">
        <v>1908</v>
      </c>
      <c r="C5274" s="638" t="s">
        <v>104</v>
      </c>
      <c r="D5274" s="626" t="s">
        <v>10755</v>
      </c>
      <c r="E5274" s="636">
        <v>3500</v>
      </c>
      <c r="F5274" s="749" t="s">
        <v>10756</v>
      </c>
      <c r="G5274" s="626" t="s">
        <v>10757</v>
      </c>
      <c r="H5274" s="626" t="s">
        <v>10758</v>
      </c>
      <c r="I5274" s="638" t="s">
        <v>10758</v>
      </c>
      <c r="J5274" s="626" t="s">
        <v>1913</v>
      </c>
      <c r="K5274" s="750">
        <v>1</v>
      </c>
      <c r="L5274" s="752">
        <v>2</v>
      </c>
      <c r="M5274" s="636">
        <f t="shared" si="69"/>
        <v>7000</v>
      </c>
      <c r="N5274" s="752"/>
      <c r="O5274" s="750"/>
      <c r="P5274" s="643"/>
    </row>
    <row r="5275" spans="1:16" s="619" customFormat="1" ht="48" x14ac:dyDescent="0.2">
      <c r="A5275" s="626" t="s">
        <v>10134</v>
      </c>
      <c r="B5275" s="626" t="s">
        <v>1908</v>
      </c>
      <c r="C5275" s="638" t="s">
        <v>104</v>
      </c>
      <c r="D5275" s="626" t="s">
        <v>10759</v>
      </c>
      <c r="E5275" s="636">
        <v>2400</v>
      </c>
      <c r="F5275" s="749" t="s">
        <v>10760</v>
      </c>
      <c r="G5275" s="626" t="s">
        <v>10761</v>
      </c>
      <c r="H5275" s="626" t="s">
        <v>10762</v>
      </c>
      <c r="I5275" s="638" t="s">
        <v>10762</v>
      </c>
      <c r="J5275" s="626" t="s">
        <v>1913</v>
      </c>
      <c r="K5275" s="750"/>
      <c r="L5275" s="752"/>
      <c r="M5275" s="636">
        <f t="shared" si="69"/>
        <v>0</v>
      </c>
      <c r="N5275" s="752">
        <v>1</v>
      </c>
      <c r="O5275" s="750">
        <v>4</v>
      </c>
      <c r="P5275" s="643">
        <f t="shared" si="70"/>
        <v>9600</v>
      </c>
    </row>
    <row r="5276" spans="1:16" s="619" customFormat="1" ht="24" x14ac:dyDescent="0.2">
      <c r="A5276" s="626" t="s">
        <v>10134</v>
      </c>
      <c r="B5276" s="626" t="s">
        <v>1908</v>
      </c>
      <c r="C5276" s="638" t="s">
        <v>104</v>
      </c>
      <c r="D5276" s="626" t="s">
        <v>3745</v>
      </c>
      <c r="E5276" s="636">
        <v>2200</v>
      </c>
      <c r="F5276" s="749" t="s">
        <v>10763</v>
      </c>
      <c r="G5276" s="626" t="s">
        <v>10764</v>
      </c>
      <c r="H5276" s="626" t="s">
        <v>10765</v>
      </c>
      <c r="I5276" s="638" t="s">
        <v>10765</v>
      </c>
      <c r="J5276" s="626" t="s">
        <v>1913</v>
      </c>
      <c r="K5276" s="750">
        <v>1</v>
      </c>
      <c r="L5276" s="752">
        <v>12</v>
      </c>
      <c r="M5276" s="636">
        <f t="shared" si="69"/>
        <v>26400</v>
      </c>
      <c r="N5276" s="752">
        <v>1</v>
      </c>
      <c r="O5276" s="750">
        <v>1</v>
      </c>
      <c r="P5276" s="643">
        <f t="shared" si="70"/>
        <v>2200</v>
      </c>
    </row>
    <row r="5277" spans="1:16" s="619" customFormat="1" ht="24" x14ac:dyDescent="0.2">
      <c r="A5277" s="626" t="s">
        <v>10134</v>
      </c>
      <c r="B5277" s="626" t="s">
        <v>1908</v>
      </c>
      <c r="C5277" s="638" t="s">
        <v>104</v>
      </c>
      <c r="D5277" s="626" t="s">
        <v>10766</v>
      </c>
      <c r="E5277" s="636">
        <v>2200</v>
      </c>
      <c r="F5277" s="749" t="s">
        <v>10767</v>
      </c>
      <c r="G5277" s="626" t="s">
        <v>10768</v>
      </c>
      <c r="H5277" s="626" t="s">
        <v>10769</v>
      </c>
      <c r="I5277" s="638" t="s">
        <v>10769</v>
      </c>
      <c r="J5277" s="626" t="s">
        <v>1913</v>
      </c>
      <c r="K5277" s="750">
        <v>1</v>
      </c>
      <c r="L5277" s="752">
        <v>3</v>
      </c>
      <c r="M5277" s="636">
        <f t="shared" si="69"/>
        <v>6600</v>
      </c>
      <c r="N5277" s="752">
        <v>1</v>
      </c>
      <c r="O5277" s="750">
        <v>4</v>
      </c>
      <c r="P5277" s="643">
        <f t="shared" si="70"/>
        <v>8800</v>
      </c>
    </row>
    <row r="5278" spans="1:16" s="619" customFormat="1" ht="24" x14ac:dyDescent="0.2">
      <c r="A5278" s="626" t="s">
        <v>10134</v>
      </c>
      <c r="B5278" s="626" t="s">
        <v>1908</v>
      </c>
      <c r="C5278" s="638" t="s">
        <v>104</v>
      </c>
      <c r="D5278" s="626" t="s">
        <v>4782</v>
      </c>
      <c r="E5278" s="636">
        <v>2000</v>
      </c>
      <c r="F5278" s="749" t="s">
        <v>10770</v>
      </c>
      <c r="G5278" s="626" t="s">
        <v>10771</v>
      </c>
      <c r="H5278" s="626" t="s">
        <v>2826</v>
      </c>
      <c r="I5278" s="638" t="s">
        <v>2826</v>
      </c>
      <c r="J5278" s="626"/>
      <c r="K5278" s="750">
        <v>1</v>
      </c>
      <c r="L5278" s="752">
        <v>4</v>
      </c>
      <c r="M5278" s="636">
        <f t="shared" si="69"/>
        <v>8000</v>
      </c>
      <c r="N5278" s="752"/>
      <c r="O5278" s="750"/>
      <c r="P5278" s="643"/>
    </row>
    <row r="5279" spans="1:16" s="619" customFormat="1" ht="36" x14ac:dyDescent="0.2">
      <c r="A5279" s="626" t="s">
        <v>10134</v>
      </c>
      <c r="B5279" s="626" t="s">
        <v>1908</v>
      </c>
      <c r="C5279" s="638" t="s">
        <v>104</v>
      </c>
      <c r="D5279" s="626" t="s">
        <v>3538</v>
      </c>
      <c r="E5279" s="636">
        <v>4500</v>
      </c>
      <c r="F5279" s="749" t="s">
        <v>10772</v>
      </c>
      <c r="G5279" s="626" t="s">
        <v>10773</v>
      </c>
      <c r="H5279" s="626" t="s">
        <v>1911</v>
      </c>
      <c r="I5279" s="638" t="s">
        <v>1911</v>
      </c>
      <c r="J5279" s="626" t="s">
        <v>1913</v>
      </c>
      <c r="K5279" s="750">
        <v>1</v>
      </c>
      <c r="L5279" s="752">
        <v>5</v>
      </c>
      <c r="M5279" s="636">
        <f t="shared" si="69"/>
        <v>22500</v>
      </c>
      <c r="N5279" s="752">
        <v>1</v>
      </c>
      <c r="O5279" s="750">
        <v>6</v>
      </c>
      <c r="P5279" s="643">
        <f t="shared" si="70"/>
        <v>27000</v>
      </c>
    </row>
    <row r="5280" spans="1:16" s="619" customFormat="1" ht="24" x14ac:dyDescent="0.2">
      <c r="A5280" s="626" t="s">
        <v>10134</v>
      </c>
      <c r="B5280" s="626" t="s">
        <v>1908</v>
      </c>
      <c r="C5280" s="638" t="s">
        <v>104</v>
      </c>
      <c r="D5280" s="626" t="s">
        <v>3548</v>
      </c>
      <c r="E5280" s="636">
        <v>1100</v>
      </c>
      <c r="F5280" s="749" t="s">
        <v>10774</v>
      </c>
      <c r="G5280" s="626" t="s">
        <v>10775</v>
      </c>
      <c r="H5280" s="626" t="s">
        <v>1919</v>
      </c>
      <c r="I5280" s="638" t="s">
        <v>1919</v>
      </c>
      <c r="J5280" s="626" t="s">
        <v>10192</v>
      </c>
      <c r="K5280" s="750"/>
      <c r="L5280" s="752"/>
      <c r="M5280" s="636">
        <f t="shared" si="69"/>
        <v>0</v>
      </c>
      <c r="N5280" s="752">
        <v>1</v>
      </c>
      <c r="O5280" s="750">
        <v>0</v>
      </c>
      <c r="P5280" s="643">
        <f t="shared" si="70"/>
        <v>0</v>
      </c>
    </row>
    <row r="5281" spans="1:16" s="619" customFormat="1" ht="36" x14ac:dyDescent="0.2">
      <c r="A5281" s="626" t="s">
        <v>10134</v>
      </c>
      <c r="B5281" s="626" t="s">
        <v>1908</v>
      </c>
      <c r="C5281" s="638" t="s">
        <v>104</v>
      </c>
      <c r="D5281" s="626" t="s">
        <v>3548</v>
      </c>
      <c r="E5281" s="636">
        <v>1100</v>
      </c>
      <c r="F5281" s="749" t="s">
        <v>10776</v>
      </c>
      <c r="G5281" s="626" t="s">
        <v>10777</v>
      </c>
      <c r="H5281" s="626" t="s">
        <v>1919</v>
      </c>
      <c r="I5281" s="638" t="s">
        <v>1919</v>
      </c>
      <c r="J5281" s="626" t="s">
        <v>10192</v>
      </c>
      <c r="K5281" s="750"/>
      <c r="L5281" s="752"/>
      <c r="M5281" s="636">
        <f t="shared" si="69"/>
        <v>0</v>
      </c>
      <c r="N5281" s="752">
        <v>1</v>
      </c>
      <c r="O5281" s="750">
        <v>0</v>
      </c>
      <c r="P5281" s="643">
        <f t="shared" si="70"/>
        <v>0</v>
      </c>
    </row>
    <row r="5282" spans="1:16" s="619" customFormat="1" ht="24" x14ac:dyDescent="0.2">
      <c r="A5282" s="626" t="s">
        <v>10134</v>
      </c>
      <c r="B5282" s="626" t="s">
        <v>1908</v>
      </c>
      <c r="C5282" s="638" t="s">
        <v>104</v>
      </c>
      <c r="D5282" s="626" t="s">
        <v>3548</v>
      </c>
      <c r="E5282" s="636">
        <v>1100</v>
      </c>
      <c r="F5282" s="749" t="s">
        <v>10778</v>
      </c>
      <c r="G5282" s="626" t="s">
        <v>10779</v>
      </c>
      <c r="H5282" s="626" t="s">
        <v>1919</v>
      </c>
      <c r="I5282" s="638" t="s">
        <v>1919</v>
      </c>
      <c r="J5282" s="626" t="s">
        <v>10192</v>
      </c>
      <c r="K5282" s="750"/>
      <c r="L5282" s="752"/>
      <c r="M5282" s="636">
        <f t="shared" si="69"/>
        <v>0</v>
      </c>
      <c r="N5282" s="752">
        <v>1</v>
      </c>
      <c r="O5282" s="750">
        <v>0</v>
      </c>
      <c r="P5282" s="643">
        <f t="shared" si="70"/>
        <v>0</v>
      </c>
    </row>
    <row r="5283" spans="1:16" s="619" customFormat="1" ht="36" x14ac:dyDescent="0.2">
      <c r="A5283" s="626" t="s">
        <v>10134</v>
      </c>
      <c r="B5283" s="626" t="s">
        <v>1908</v>
      </c>
      <c r="C5283" s="638" t="s">
        <v>104</v>
      </c>
      <c r="D5283" s="626" t="s">
        <v>6026</v>
      </c>
      <c r="E5283" s="636">
        <v>1400</v>
      </c>
      <c r="F5283" s="749" t="s">
        <v>10780</v>
      </c>
      <c r="G5283" s="626" t="s">
        <v>10781</v>
      </c>
      <c r="H5283" s="626" t="s">
        <v>1919</v>
      </c>
      <c r="I5283" s="638" t="s">
        <v>1919</v>
      </c>
      <c r="J5283" s="626" t="s">
        <v>10192</v>
      </c>
      <c r="K5283" s="750">
        <v>4</v>
      </c>
      <c r="L5283" s="752">
        <v>12</v>
      </c>
      <c r="M5283" s="636">
        <f t="shared" si="69"/>
        <v>16800</v>
      </c>
      <c r="N5283" s="752">
        <v>1</v>
      </c>
      <c r="O5283" s="750">
        <v>6</v>
      </c>
      <c r="P5283" s="643">
        <f t="shared" si="70"/>
        <v>8400</v>
      </c>
    </row>
    <row r="5284" spans="1:16" s="619" customFormat="1" ht="36" x14ac:dyDescent="0.2">
      <c r="A5284" s="626" t="s">
        <v>10134</v>
      </c>
      <c r="B5284" s="626" t="s">
        <v>1908</v>
      </c>
      <c r="C5284" s="638" t="s">
        <v>104</v>
      </c>
      <c r="D5284" s="626" t="s">
        <v>10782</v>
      </c>
      <c r="E5284" s="636">
        <v>1100</v>
      </c>
      <c r="F5284" s="749" t="s">
        <v>10783</v>
      </c>
      <c r="G5284" s="626" t="s">
        <v>10784</v>
      </c>
      <c r="H5284" s="626" t="s">
        <v>10785</v>
      </c>
      <c r="I5284" s="638" t="s">
        <v>10785</v>
      </c>
      <c r="J5284" s="626" t="s">
        <v>3878</v>
      </c>
      <c r="K5284" s="750"/>
      <c r="L5284" s="752"/>
      <c r="M5284" s="636">
        <f t="shared" si="69"/>
        <v>0</v>
      </c>
      <c r="N5284" s="752">
        <v>1</v>
      </c>
      <c r="O5284" s="750">
        <v>4</v>
      </c>
      <c r="P5284" s="643">
        <f t="shared" si="70"/>
        <v>4400</v>
      </c>
    </row>
    <row r="5285" spans="1:16" s="619" customFormat="1" ht="36" x14ac:dyDescent="0.2">
      <c r="A5285" s="626" t="s">
        <v>10134</v>
      </c>
      <c r="B5285" s="626" t="s">
        <v>1908</v>
      </c>
      <c r="C5285" s="638" t="s">
        <v>104</v>
      </c>
      <c r="D5285" s="626" t="s">
        <v>10661</v>
      </c>
      <c r="E5285" s="636">
        <v>2200</v>
      </c>
      <c r="F5285" s="749" t="s">
        <v>10786</v>
      </c>
      <c r="G5285" s="626" t="s">
        <v>10787</v>
      </c>
      <c r="H5285" s="626" t="s">
        <v>8801</v>
      </c>
      <c r="I5285" s="638" t="s">
        <v>8801</v>
      </c>
      <c r="J5285" s="626" t="s">
        <v>1931</v>
      </c>
      <c r="K5285" s="750">
        <v>4</v>
      </c>
      <c r="L5285" s="752">
        <v>12</v>
      </c>
      <c r="M5285" s="636">
        <f t="shared" si="69"/>
        <v>26400</v>
      </c>
      <c r="N5285" s="752">
        <v>1</v>
      </c>
      <c r="O5285" s="750">
        <v>6</v>
      </c>
      <c r="P5285" s="643">
        <f t="shared" si="70"/>
        <v>13200</v>
      </c>
    </row>
    <row r="5286" spans="1:16" s="619" customFormat="1" ht="24" x14ac:dyDescent="0.2">
      <c r="A5286" s="626" t="s">
        <v>10134</v>
      </c>
      <c r="B5286" s="626" t="s">
        <v>1908</v>
      </c>
      <c r="C5286" s="638" t="s">
        <v>104</v>
      </c>
      <c r="D5286" s="626" t="s">
        <v>4799</v>
      </c>
      <c r="E5286" s="636">
        <v>3100</v>
      </c>
      <c r="F5286" s="749" t="s">
        <v>10788</v>
      </c>
      <c r="G5286" s="626" t="s">
        <v>10789</v>
      </c>
      <c r="H5286" s="626" t="s">
        <v>10790</v>
      </c>
      <c r="I5286" s="638" t="s">
        <v>10790</v>
      </c>
      <c r="J5286" s="626" t="s">
        <v>1913</v>
      </c>
      <c r="K5286" s="750">
        <v>4</v>
      </c>
      <c r="L5286" s="752">
        <v>12</v>
      </c>
      <c r="M5286" s="636">
        <f t="shared" si="69"/>
        <v>37200</v>
      </c>
      <c r="N5286" s="752">
        <v>1</v>
      </c>
      <c r="O5286" s="750">
        <v>6</v>
      </c>
      <c r="P5286" s="643">
        <f t="shared" si="70"/>
        <v>18600</v>
      </c>
    </row>
    <row r="5287" spans="1:16" s="619" customFormat="1" ht="24" x14ac:dyDescent="0.2">
      <c r="A5287" s="626" t="s">
        <v>10134</v>
      </c>
      <c r="B5287" s="626" t="s">
        <v>1908</v>
      </c>
      <c r="C5287" s="638" t="s">
        <v>104</v>
      </c>
      <c r="D5287" s="626" t="s">
        <v>10791</v>
      </c>
      <c r="E5287" s="636">
        <v>1800</v>
      </c>
      <c r="F5287" s="749" t="s">
        <v>10792</v>
      </c>
      <c r="G5287" s="626" t="s">
        <v>10793</v>
      </c>
      <c r="H5287" s="626" t="s">
        <v>6240</v>
      </c>
      <c r="I5287" s="638" t="s">
        <v>6240</v>
      </c>
      <c r="J5287" s="626" t="s">
        <v>1931</v>
      </c>
      <c r="K5287" s="750">
        <v>4</v>
      </c>
      <c r="L5287" s="752">
        <v>10</v>
      </c>
      <c r="M5287" s="636">
        <f t="shared" si="69"/>
        <v>18000</v>
      </c>
      <c r="N5287" s="752">
        <v>1</v>
      </c>
      <c r="O5287" s="750">
        <v>6</v>
      </c>
      <c r="P5287" s="643">
        <f t="shared" si="70"/>
        <v>10800</v>
      </c>
    </row>
    <row r="5288" spans="1:16" s="619" customFormat="1" ht="36" x14ac:dyDescent="0.2">
      <c r="A5288" s="626" t="s">
        <v>10134</v>
      </c>
      <c r="B5288" s="626" t="s">
        <v>1908</v>
      </c>
      <c r="C5288" s="638" t="s">
        <v>104</v>
      </c>
      <c r="D5288" s="626" t="s">
        <v>4621</v>
      </c>
      <c r="E5288" s="636">
        <v>3100</v>
      </c>
      <c r="F5288" s="749" t="s">
        <v>10794</v>
      </c>
      <c r="G5288" s="626" t="s">
        <v>10795</v>
      </c>
      <c r="H5288" s="626" t="s">
        <v>2193</v>
      </c>
      <c r="I5288" s="638" t="s">
        <v>2193</v>
      </c>
      <c r="J5288" s="626" t="s">
        <v>1913</v>
      </c>
      <c r="K5288" s="750"/>
      <c r="L5288" s="752"/>
      <c r="M5288" s="636">
        <f t="shared" si="69"/>
        <v>0</v>
      </c>
      <c r="N5288" s="752">
        <v>1</v>
      </c>
      <c r="O5288" s="750">
        <v>5</v>
      </c>
      <c r="P5288" s="643">
        <f t="shared" si="70"/>
        <v>15500</v>
      </c>
    </row>
    <row r="5289" spans="1:16" s="619" customFormat="1" ht="36" x14ac:dyDescent="0.2">
      <c r="A5289" s="626" t="s">
        <v>10134</v>
      </c>
      <c r="B5289" s="626" t="s">
        <v>1908</v>
      </c>
      <c r="C5289" s="638" t="s">
        <v>104</v>
      </c>
      <c r="D5289" s="626" t="s">
        <v>10782</v>
      </c>
      <c r="E5289" s="636">
        <v>1400</v>
      </c>
      <c r="F5289" s="749" t="s">
        <v>10796</v>
      </c>
      <c r="G5289" s="626" t="s">
        <v>10797</v>
      </c>
      <c r="H5289" s="626" t="s">
        <v>8927</v>
      </c>
      <c r="I5289" s="638" t="s">
        <v>8927</v>
      </c>
      <c r="J5289" s="626" t="s">
        <v>1913</v>
      </c>
      <c r="K5289" s="750"/>
      <c r="L5289" s="752"/>
      <c r="M5289" s="636">
        <f t="shared" si="69"/>
        <v>0</v>
      </c>
      <c r="N5289" s="752">
        <v>1</v>
      </c>
      <c r="O5289" s="750">
        <v>3</v>
      </c>
      <c r="P5289" s="643">
        <f t="shared" si="70"/>
        <v>4200</v>
      </c>
    </row>
    <row r="5290" spans="1:16" s="619" customFormat="1" ht="36" x14ac:dyDescent="0.2">
      <c r="A5290" s="626" t="s">
        <v>10134</v>
      </c>
      <c r="B5290" s="626" t="s">
        <v>1908</v>
      </c>
      <c r="C5290" s="638" t="s">
        <v>104</v>
      </c>
      <c r="D5290" s="626" t="s">
        <v>10791</v>
      </c>
      <c r="E5290" s="636">
        <v>1800</v>
      </c>
      <c r="F5290" s="749" t="s">
        <v>10798</v>
      </c>
      <c r="G5290" s="626" t="s">
        <v>10799</v>
      </c>
      <c r="H5290" s="626" t="s">
        <v>10144</v>
      </c>
      <c r="I5290" s="638" t="s">
        <v>10144</v>
      </c>
      <c r="J5290" s="626" t="s">
        <v>1931</v>
      </c>
      <c r="K5290" s="750">
        <v>4</v>
      </c>
      <c r="L5290" s="752">
        <v>12</v>
      </c>
      <c r="M5290" s="636">
        <f t="shared" si="69"/>
        <v>21600</v>
      </c>
      <c r="N5290" s="752">
        <v>1</v>
      </c>
      <c r="O5290" s="750">
        <v>6</v>
      </c>
      <c r="P5290" s="643">
        <f t="shared" si="70"/>
        <v>10800</v>
      </c>
    </row>
    <row r="5291" spans="1:16" s="619" customFormat="1" ht="36" x14ac:dyDescent="0.2">
      <c r="A5291" s="626" t="s">
        <v>10134</v>
      </c>
      <c r="B5291" s="626" t="s">
        <v>1908</v>
      </c>
      <c r="C5291" s="638" t="s">
        <v>104</v>
      </c>
      <c r="D5291" s="626" t="s">
        <v>3745</v>
      </c>
      <c r="E5291" s="636">
        <v>2200</v>
      </c>
      <c r="F5291" s="749" t="s">
        <v>10800</v>
      </c>
      <c r="G5291" s="626" t="s">
        <v>10801</v>
      </c>
      <c r="H5291" s="626" t="s">
        <v>2826</v>
      </c>
      <c r="I5291" s="638" t="s">
        <v>2826</v>
      </c>
      <c r="J5291" s="626" t="s">
        <v>1931</v>
      </c>
      <c r="K5291" s="750">
        <v>4</v>
      </c>
      <c r="L5291" s="752">
        <v>12</v>
      </c>
      <c r="M5291" s="636">
        <f t="shared" si="69"/>
        <v>26400</v>
      </c>
      <c r="N5291" s="752">
        <v>1</v>
      </c>
      <c r="O5291" s="750">
        <v>6</v>
      </c>
      <c r="P5291" s="643">
        <f t="shared" si="70"/>
        <v>13200</v>
      </c>
    </row>
    <row r="5292" spans="1:16" s="619" customFormat="1" ht="36" x14ac:dyDescent="0.2">
      <c r="A5292" s="626" t="s">
        <v>10134</v>
      </c>
      <c r="B5292" s="626" t="s">
        <v>1908</v>
      </c>
      <c r="C5292" s="638" t="s">
        <v>104</v>
      </c>
      <c r="D5292" s="626" t="s">
        <v>3692</v>
      </c>
      <c r="E5292" s="636">
        <v>2200</v>
      </c>
      <c r="F5292" s="749" t="s">
        <v>10802</v>
      </c>
      <c r="G5292" s="626" t="s">
        <v>10803</v>
      </c>
      <c r="H5292" s="626" t="s">
        <v>3079</v>
      </c>
      <c r="I5292" s="638" t="s">
        <v>3079</v>
      </c>
      <c r="J5292" s="626" t="s">
        <v>1913</v>
      </c>
      <c r="K5292" s="750">
        <v>2</v>
      </c>
      <c r="L5292" s="752">
        <v>6</v>
      </c>
      <c r="M5292" s="636">
        <f t="shared" si="69"/>
        <v>13200</v>
      </c>
      <c r="N5292" s="752">
        <v>1</v>
      </c>
      <c r="O5292" s="750">
        <v>6</v>
      </c>
      <c r="P5292" s="643">
        <f t="shared" si="70"/>
        <v>13200</v>
      </c>
    </row>
    <row r="5293" spans="1:16" s="619" customFormat="1" ht="24" x14ac:dyDescent="0.2">
      <c r="A5293" s="626" t="s">
        <v>10134</v>
      </c>
      <c r="B5293" s="626" t="s">
        <v>1908</v>
      </c>
      <c r="C5293" s="638" t="s">
        <v>104</v>
      </c>
      <c r="D5293" s="626" t="s">
        <v>10804</v>
      </c>
      <c r="E5293" s="636">
        <v>2200</v>
      </c>
      <c r="F5293" s="749" t="s">
        <v>10805</v>
      </c>
      <c r="G5293" s="626" t="s">
        <v>10806</v>
      </c>
      <c r="H5293" s="626" t="s">
        <v>10430</v>
      </c>
      <c r="I5293" s="638" t="s">
        <v>10430</v>
      </c>
      <c r="J5293" s="626" t="s">
        <v>1931</v>
      </c>
      <c r="K5293" s="750">
        <v>3</v>
      </c>
      <c r="L5293" s="752">
        <v>10</v>
      </c>
      <c r="M5293" s="636">
        <f t="shared" si="69"/>
        <v>22000</v>
      </c>
      <c r="N5293" s="752">
        <v>1</v>
      </c>
      <c r="O5293" s="750">
        <v>6</v>
      </c>
      <c r="P5293" s="643">
        <f t="shared" si="70"/>
        <v>13200</v>
      </c>
    </row>
    <row r="5294" spans="1:16" s="619" customFormat="1" ht="36" x14ac:dyDescent="0.2">
      <c r="A5294" s="626" t="s">
        <v>10134</v>
      </c>
      <c r="B5294" s="626" t="s">
        <v>1908</v>
      </c>
      <c r="C5294" s="638" t="s">
        <v>104</v>
      </c>
      <c r="D5294" s="626" t="s">
        <v>10807</v>
      </c>
      <c r="E5294" s="636">
        <v>3100</v>
      </c>
      <c r="F5294" s="749" t="s">
        <v>10808</v>
      </c>
      <c r="G5294" s="626" t="s">
        <v>10809</v>
      </c>
      <c r="H5294" s="626" t="s">
        <v>10762</v>
      </c>
      <c r="I5294" s="638" t="s">
        <v>10762</v>
      </c>
      <c r="J5294" s="626" t="s">
        <v>1913</v>
      </c>
      <c r="K5294" s="750">
        <v>4</v>
      </c>
      <c r="L5294" s="752">
        <v>12</v>
      </c>
      <c r="M5294" s="636">
        <f t="shared" si="69"/>
        <v>37200</v>
      </c>
      <c r="N5294" s="752">
        <v>1</v>
      </c>
      <c r="O5294" s="750">
        <v>6</v>
      </c>
      <c r="P5294" s="643">
        <f t="shared" si="70"/>
        <v>18600</v>
      </c>
    </row>
    <row r="5295" spans="1:16" s="619" customFormat="1" ht="36" x14ac:dyDescent="0.2">
      <c r="A5295" s="626" t="s">
        <v>10134</v>
      </c>
      <c r="B5295" s="626" t="s">
        <v>1908</v>
      </c>
      <c r="C5295" s="638" t="s">
        <v>104</v>
      </c>
      <c r="D5295" s="626" t="s">
        <v>6086</v>
      </c>
      <c r="E5295" s="636">
        <v>1100</v>
      </c>
      <c r="F5295" s="749" t="s">
        <v>10810</v>
      </c>
      <c r="G5295" s="626" t="s">
        <v>10811</v>
      </c>
      <c r="H5295" s="626" t="s">
        <v>10812</v>
      </c>
      <c r="I5295" s="638" t="s">
        <v>10812</v>
      </c>
      <c r="J5295" s="626" t="s">
        <v>10247</v>
      </c>
      <c r="K5295" s="750"/>
      <c r="L5295" s="752"/>
      <c r="M5295" s="636">
        <f t="shared" si="69"/>
        <v>0</v>
      </c>
      <c r="N5295" s="752">
        <v>1</v>
      </c>
      <c r="O5295" s="750">
        <v>0</v>
      </c>
      <c r="P5295" s="643">
        <f t="shared" si="70"/>
        <v>0</v>
      </c>
    </row>
    <row r="5296" spans="1:16" s="619" customFormat="1" ht="36" x14ac:dyDescent="0.2">
      <c r="A5296" s="626" t="s">
        <v>10134</v>
      </c>
      <c r="B5296" s="626" t="s">
        <v>1908</v>
      </c>
      <c r="C5296" s="638" t="s">
        <v>104</v>
      </c>
      <c r="D5296" s="626" t="s">
        <v>10813</v>
      </c>
      <c r="E5296" s="636">
        <v>2500</v>
      </c>
      <c r="F5296" s="749" t="s">
        <v>10814</v>
      </c>
      <c r="G5296" s="626" t="s">
        <v>10815</v>
      </c>
      <c r="H5296" s="626" t="s">
        <v>10430</v>
      </c>
      <c r="I5296" s="638" t="s">
        <v>10430</v>
      </c>
      <c r="J5296" s="626" t="s">
        <v>1931</v>
      </c>
      <c r="K5296" s="750">
        <v>4</v>
      </c>
      <c r="L5296" s="752">
        <v>12</v>
      </c>
      <c r="M5296" s="636">
        <f t="shared" si="69"/>
        <v>30000</v>
      </c>
      <c r="N5296" s="752">
        <v>1</v>
      </c>
      <c r="O5296" s="750">
        <v>6</v>
      </c>
      <c r="P5296" s="643">
        <f t="shared" si="70"/>
        <v>15000</v>
      </c>
    </row>
    <row r="5297" spans="1:16" s="619" customFormat="1" ht="36" x14ac:dyDescent="0.2">
      <c r="A5297" s="626" t="s">
        <v>10134</v>
      </c>
      <c r="B5297" s="626" t="s">
        <v>1908</v>
      </c>
      <c r="C5297" s="638" t="s">
        <v>104</v>
      </c>
      <c r="D5297" s="626" t="s">
        <v>10816</v>
      </c>
      <c r="E5297" s="636">
        <v>3500</v>
      </c>
      <c r="F5297" s="749">
        <v>70560327</v>
      </c>
      <c r="G5297" s="626" t="s">
        <v>10817</v>
      </c>
      <c r="H5297" s="626" t="s">
        <v>4298</v>
      </c>
      <c r="I5297" s="638" t="s">
        <v>4298</v>
      </c>
      <c r="J5297" s="626" t="s">
        <v>1913</v>
      </c>
      <c r="K5297" s="750">
        <v>1</v>
      </c>
      <c r="L5297" s="752">
        <v>3</v>
      </c>
      <c r="M5297" s="636">
        <f t="shared" si="69"/>
        <v>10500</v>
      </c>
      <c r="N5297" s="752">
        <v>1</v>
      </c>
      <c r="O5297" s="750">
        <v>4</v>
      </c>
      <c r="P5297" s="643">
        <f t="shared" si="70"/>
        <v>14000</v>
      </c>
    </row>
    <row r="5298" spans="1:16" s="619" customFormat="1" ht="36" x14ac:dyDescent="0.2">
      <c r="A5298" s="626" t="s">
        <v>10134</v>
      </c>
      <c r="B5298" s="626" t="s">
        <v>1908</v>
      </c>
      <c r="C5298" s="638" t="s">
        <v>104</v>
      </c>
      <c r="D5298" s="626" t="s">
        <v>10818</v>
      </c>
      <c r="E5298" s="636">
        <v>1700</v>
      </c>
      <c r="F5298" s="749" t="s">
        <v>10819</v>
      </c>
      <c r="G5298" s="626" t="s">
        <v>10820</v>
      </c>
      <c r="H5298" s="626" t="s">
        <v>4589</v>
      </c>
      <c r="I5298" s="638" t="s">
        <v>4589</v>
      </c>
      <c r="J5298" s="626" t="s">
        <v>3125</v>
      </c>
      <c r="K5298" s="750">
        <v>4</v>
      </c>
      <c r="L5298" s="752">
        <v>12</v>
      </c>
      <c r="M5298" s="636">
        <f t="shared" si="69"/>
        <v>20400</v>
      </c>
      <c r="N5298" s="752">
        <v>1</v>
      </c>
      <c r="O5298" s="750">
        <v>6</v>
      </c>
      <c r="P5298" s="643">
        <f t="shared" si="70"/>
        <v>10200</v>
      </c>
    </row>
    <row r="5299" spans="1:16" s="619" customFormat="1" ht="36" x14ac:dyDescent="0.2">
      <c r="A5299" s="626" t="s">
        <v>10134</v>
      </c>
      <c r="B5299" s="626" t="s">
        <v>1908</v>
      </c>
      <c r="C5299" s="638" t="s">
        <v>104</v>
      </c>
      <c r="D5299" s="626" t="s">
        <v>10821</v>
      </c>
      <c r="E5299" s="636">
        <v>1800</v>
      </c>
      <c r="F5299" s="749" t="s">
        <v>10822</v>
      </c>
      <c r="G5299" s="626" t="s">
        <v>10823</v>
      </c>
      <c r="H5299" s="626" t="s">
        <v>10824</v>
      </c>
      <c r="I5299" s="638" t="s">
        <v>10824</v>
      </c>
      <c r="J5299" s="626" t="s">
        <v>10247</v>
      </c>
      <c r="K5299" s="750">
        <v>4</v>
      </c>
      <c r="L5299" s="752">
        <v>12</v>
      </c>
      <c r="M5299" s="636">
        <f t="shared" si="69"/>
        <v>21600</v>
      </c>
      <c r="N5299" s="752">
        <v>1</v>
      </c>
      <c r="O5299" s="750">
        <v>6</v>
      </c>
      <c r="P5299" s="643">
        <f t="shared" si="70"/>
        <v>10800</v>
      </c>
    </row>
    <row r="5300" spans="1:16" s="619" customFormat="1" ht="24" x14ac:dyDescent="0.2">
      <c r="A5300" s="626" t="s">
        <v>10134</v>
      </c>
      <c r="B5300" s="626" t="s">
        <v>1908</v>
      </c>
      <c r="C5300" s="638" t="s">
        <v>104</v>
      </c>
      <c r="D5300" s="626" t="s">
        <v>10825</v>
      </c>
      <c r="E5300" s="636">
        <v>3500</v>
      </c>
      <c r="F5300" s="749" t="s">
        <v>10826</v>
      </c>
      <c r="G5300" s="626" t="s">
        <v>10827</v>
      </c>
      <c r="H5300" s="626" t="s">
        <v>10551</v>
      </c>
      <c r="I5300" s="638" t="s">
        <v>10551</v>
      </c>
      <c r="J5300" s="626" t="s">
        <v>1913</v>
      </c>
      <c r="K5300" s="750">
        <v>4</v>
      </c>
      <c r="L5300" s="752">
        <v>12</v>
      </c>
      <c r="M5300" s="636">
        <f t="shared" si="69"/>
        <v>42000</v>
      </c>
      <c r="N5300" s="752">
        <v>1</v>
      </c>
      <c r="O5300" s="750">
        <v>6</v>
      </c>
      <c r="P5300" s="643">
        <f t="shared" si="70"/>
        <v>21000</v>
      </c>
    </row>
    <row r="5301" spans="1:16" s="619" customFormat="1" ht="24" x14ac:dyDescent="0.2">
      <c r="A5301" s="626" t="s">
        <v>10134</v>
      </c>
      <c r="B5301" s="626" t="s">
        <v>1908</v>
      </c>
      <c r="C5301" s="638" t="s">
        <v>104</v>
      </c>
      <c r="D5301" s="626" t="s">
        <v>10828</v>
      </c>
      <c r="E5301" s="636">
        <v>1400</v>
      </c>
      <c r="F5301" s="749" t="s">
        <v>10829</v>
      </c>
      <c r="G5301" s="626" t="s">
        <v>10830</v>
      </c>
      <c r="H5301" s="626" t="s">
        <v>10831</v>
      </c>
      <c r="I5301" s="638" t="s">
        <v>10831</v>
      </c>
      <c r="J5301" s="626" t="s">
        <v>1931</v>
      </c>
      <c r="K5301" s="750"/>
      <c r="L5301" s="752"/>
      <c r="M5301" s="636">
        <f t="shared" si="69"/>
        <v>0</v>
      </c>
      <c r="N5301" s="752">
        <v>1</v>
      </c>
      <c r="O5301" s="750">
        <v>3</v>
      </c>
      <c r="P5301" s="643">
        <f t="shared" si="70"/>
        <v>4200</v>
      </c>
    </row>
    <row r="5302" spans="1:16" s="619" customFormat="1" ht="36" x14ac:dyDescent="0.2">
      <c r="A5302" s="626" t="s">
        <v>10134</v>
      </c>
      <c r="B5302" s="626" t="s">
        <v>1908</v>
      </c>
      <c r="C5302" s="638" t="s">
        <v>104</v>
      </c>
      <c r="D5302" s="626" t="s">
        <v>10832</v>
      </c>
      <c r="E5302" s="636">
        <v>1400</v>
      </c>
      <c r="F5302" s="749">
        <v>47574438</v>
      </c>
      <c r="G5302" s="626" t="s">
        <v>6992</v>
      </c>
      <c r="H5302" s="626" t="s">
        <v>10833</v>
      </c>
      <c r="I5302" s="638" t="s">
        <v>10833</v>
      </c>
      <c r="J5302" s="626" t="s">
        <v>10192</v>
      </c>
      <c r="K5302" s="750">
        <v>4</v>
      </c>
      <c r="L5302" s="752">
        <v>12</v>
      </c>
      <c r="M5302" s="636">
        <f t="shared" si="69"/>
        <v>16800</v>
      </c>
      <c r="N5302" s="752">
        <v>1</v>
      </c>
      <c r="O5302" s="750">
        <v>6</v>
      </c>
      <c r="P5302" s="643">
        <f t="shared" si="70"/>
        <v>8400</v>
      </c>
    </row>
    <row r="5303" spans="1:16" s="619" customFormat="1" ht="24" x14ac:dyDescent="0.2">
      <c r="A5303" s="626" t="s">
        <v>10134</v>
      </c>
      <c r="B5303" s="626" t="s">
        <v>1908</v>
      </c>
      <c r="C5303" s="638" t="s">
        <v>104</v>
      </c>
      <c r="D5303" s="626" t="s">
        <v>4120</v>
      </c>
      <c r="E5303" s="636">
        <v>2200</v>
      </c>
      <c r="F5303" s="749" t="s">
        <v>10834</v>
      </c>
      <c r="G5303" s="626" t="s">
        <v>10835</v>
      </c>
      <c r="H5303" s="626" t="s">
        <v>10652</v>
      </c>
      <c r="I5303" s="638" t="s">
        <v>10652</v>
      </c>
      <c r="J5303" s="626" t="s">
        <v>1931</v>
      </c>
      <c r="K5303" s="750">
        <v>4</v>
      </c>
      <c r="L5303" s="752">
        <v>12</v>
      </c>
      <c r="M5303" s="636">
        <f t="shared" si="69"/>
        <v>26400</v>
      </c>
      <c r="N5303" s="752">
        <v>1</v>
      </c>
      <c r="O5303" s="750">
        <v>6</v>
      </c>
      <c r="P5303" s="643">
        <f t="shared" si="70"/>
        <v>13200</v>
      </c>
    </row>
    <row r="5304" spans="1:16" s="619" customFormat="1" ht="48" x14ac:dyDescent="0.2">
      <c r="A5304" s="626" t="s">
        <v>10134</v>
      </c>
      <c r="B5304" s="626" t="s">
        <v>10836</v>
      </c>
      <c r="C5304" s="638" t="s">
        <v>10837</v>
      </c>
      <c r="D5304" s="626" t="s">
        <v>6179</v>
      </c>
      <c r="E5304" s="636">
        <v>9000</v>
      </c>
      <c r="F5304" s="749" t="s">
        <v>10838</v>
      </c>
      <c r="G5304" s="626" t="s">
        <v>10839</v>
      </c>
      <c r="H5304" s="626" t="s">
        <v>6182</v>
      </c>
      <c r="I5304" s="638" t="s">
        <v>6182</v>
      </c>
      <c r="J5304" s="626" t="s">
        <v>1913</v>
      </c>
      <c r="K5304" s="662">
        <v>2</v>
      </c>
      <c r="L5304" s="637">
        <v>5</v>
      </c>
      <c r="M5304" s="636">
        <f t="shared" si="69"/>
        <v>45000</v>
      </c>
      <c r="N5304" s="637">
        <v>1</v>
      </c>
      <c r="O5304" s="662">
        <v>1</v>
      </c>
      <c r="P5304" s="643">
        <f t="shared" si="70"/>
        <v>9000</v>
      </c>
    </row>
    <row r="5305" spans="1:16" s="619" customFormat="1" ht="48" x14ac:dyDescent="0.2">
      <c r="A5305" s="626" t="s">
        <v>10134</v>
      </c>
      <c r="B5305" s="626" t="s">
        <v>10836</v>
      </c>
      <c r="C5305" s="638" t="s">
        <v>10837</v>
      </c>
      <c r="D5305" s="626" t="s">
        <v>10158</v>
      </c>
      <c r="E5305" s="636">
        <v>6000</v>
      </c>
      <c r="F5305" s="749" t="s">
        <v>10840</v>
      </c>
      <c r="G5305" s="626" t="s">
        <v>10841</v>
      </c>
      <c r="H5305" s="626" t="s">
        <v>2764</v>
      </c>
      <c r="I5305" s="638" t="s">
        <v>2764</v>
      </c>
      <c r="J5305" s="626" t="s">
        <v>1913</v>
      </c>
      <c r="K5305" s="662">
        <v>2</v>
      </c>
      <c r="L5305" s="637">
        <v>6</v>
      </c>
      <c r="M5305" s="636">
        <f t="shared" si="69"/>
        <v>36000</v>
      </c>
      <c r="N5305" s="637">
        <v>1</v>
      </c>
      <c r="O5305" s="662">
        <v>6</v>
      </c>
      <c r="P5305" s="643">
        <f t="shared" si="70"/>
        <v>36000</v>
      </c>
    </row>
    <row r="5306" spans="1:16" s="619" customFormat="1" ht="48" x14ac:dyDescent="0.2">
      <c r="A5306" s="626" t="s">
        <v>10134</v>
      </c>
      <c r="B5306" s="626" t="s">
        <v>10836</v>
      </c>
      <c r="C5306" s="638" t="s">
        <v>10837</v>
      </c>
      <c r="D5306" s="626" t="s">
        <v>10158</v>
      </c>
      <c r="E5306" s="636">
        <v>6000</v>
      </c>
      <c r="F5306" s="749" t="s">
        <v>10842</v>
      </c>
      <c r="G5306" s="626" t="s">
        <v>10843</v>
      </c>
      <c r="H5306" s="626" t="s">
        <v>2764</v>
      </c>
      <c r="I5306" s="638" t="s">
        <v>2764</v>
      </c>
      <c r="J5306" s="626" t="s">
        <v>1913</v>
      </c>
      <c r="K5306" s="662">
        <v>1</v>
      </c>
      <c r="L5306" s="637">
        <v>2</v>
      </c>
      <c r="M5306" s="636">
        <f t="shared" si="69"/>
        <v>12000</v>
      </c>
      <c r="N5306" s="637">
        <v>1</v>
      </c>
      <c r="O5306" s="662">
        <v>6</v>
      </c>
      <c r="P5306" s="643">
        <f t="shared" si="70"/>
        <v>36000</v>
      </c>
    </row>
    <row r="5307" spans="1:16" s="619" customFormat="1" ht="48" x14ac:dyDescent="0.2">
      <c r="A5307" s="626" t="s">
        <v>10134</v>
      </c>
      <c r="B5307" s="626" t="s">
        <v>10836</v>
      </c>
      <c r="C5307" s="638" t="s">
        <v>10837</v>
      </c>
      <c r="D5307" s="626" t="s">
        <v>10844</v>
      </c>
      <c r="E5307" s="636">
        <v>6000</v>
      </c>
      <c r="F5307" s="749" t="s">
        <v>10845</v>
      </c>
      <c r="G5307" s="626" t="s">
        <v>10846</v>
      </c>
      <c r="H5307" s="626" t="s">
        <v>10844</v>
      </c>
      <c r="I5307" s="638" t="s">
        <v>10844</v>
      </c>
      <c r="J5307" s="626" t="s">
        <v>1913</v>
      </c>
      <c r="K5307" s="662">
        <v>1</v>
      </c>
      <c r="L5307" s="637">
        <v>6</v>
      </c>
      <c r="M5307" s="636">
        <f t="shared" si="69"/>
        <v>36000</v>
      </c>
      <c r="N5307" s="637">
        <v>0</v>
      </c>
      <c r="O5307" s="662">
        <v>0</v>
      </c>
      <c r="P5307" s="643">
        <f t="shared" si="70"/>
        <v>0</v>
      </c>
    </row>
    <row r="5308" spans="1:16" s="619" customFormat="1" ht="48" x14ac:dyDescent="0.2">
      <c r="A5308" s="626" t="s">
        <v>10134</v>
      </c>
      <c r="B5308" s="626" t="s">
        <v>10836</v>
      </c>
      <c r="C5308" s="638" t="s">
        <v>10837</v>
      </c>
      <c r="D5308" s="626" t="s">
        <v>6198</v>
      </c>
      <c r="E5308" s="636">
        <v>6000</v>
      </c>
      <c r="F5308" s="749" t="s">
        <v>10238</v>
      </c>
      <c r="G5308" s="626" t="s">
        <v>10239</v>
      </c>
      <c r="H5308" s="626" t="s">
        <v>10256</v>
      </c>
      <c r="I5308" s="638" t="s">
        <v>10256</v>
      </c>
      <c r="J5308" s="626" t="s">
        <v>1913</v>
      </c>
      <c r="K5308" s="662">
        <v>1</v>
      </c>
      <c r="L5308" s="637">
        <v>6</v>
      </c>
      <c r="M5308" s="636">
        <f t="shared" si="69"/>
        <v>36000</v>
      </c>
      <c r="N5308" s="637">
        <v>0</v>
      </c>
      <c r="O5308" s="662">
        <v>0</v>
      </c>
      <c r="P5308" s="643">
        <f t="shared" si="70"/>
        <v>0</v>
      </c>
    </row>
    <row r="5309" spans="1:16" s="619" customFormat="1" ht="48" x14ac:dyDescent="0.2">
      <c r="A5309" s="626" t="s">
        <v>10134</v>
      </c>
      <c r="B5309" s="626" t="s">
        <v>10836</v>
      </c>
      <c r="C5309" s="638" t="s">
        <v>10837</v>
      </c>
      <c r="D5309" s="626" t="s">
        <v>6876</v>
      </c>
      <c r="E5309" s="636">
        <v>2000</v>
      </c>
      <c r="F5309" s="749" t="s">
        <v>10847</v>
      </c>
      <c r="G5309" s="626" t="s">
        <v>10848</v>
      </c>
      <c r="H5309" s="626" t="s">
        <v>1919</v>
      </c>
      <c r="I5309" s="638" t="s">
        <v>1919</v>
      </c>
      <c r="J5309" s="626" t="s">
        <v>10192</v>
      </c>
      <c r="K5309" s="662">
        <v>1</v>
      </c>
      <c r="L5309" s="637">
        <v>6</v>
      </c>
      <c r="M5309" s="636">
        <f t="shared" si="69"/>
        <v>12000</v>
      </c>
      <c r="N5309" s="637">
        <v>0</v>
      </c>
      <c r="O5309" s="662">
        <v>0</v>
      </c>
      <c r="P5309" s="643">
        <f t="shared" si="70"/>
        <v>0</v>
      </c>
    </row>
    <row r="5310" spans="1:16" s="619" customFormat="1" ht="48" x14ac:dyDescent="0.2">
      <c r="A5310" s="626" t="s">
        <v>10134</v>
      </c>
      <c r="B5310" s="626" t="s">
        <v>10836</v>
      </c>
      <c r="C5310" s="638" t="s">
        <v>10837</v>
      </c>
      <c r="D5310" s="626" t="s">
        <v>6876</v>
      </c>
      <c r="E5310" s="636">
        <v>2000</v>
      </c>
      <c r="F5310" s="749" t="s">
        <v>10849</v>
      </c>
      <c r="G5310" s="626" t="s">
        <v>10850</v>
      </c>
      <c r="H5310" s="626" t="s">
        <v>1919</v>
      </c>
      <c r="I5310" s="638" t="s">
        <v>1919</v>
      </c>
      <c r="J5310" s="626" t="s">
        <v>10192</v>
      </c>
      <c r="K5310" s="662">
        <v>1</v>
      </c>
      <c r="L5310" s="637">
        <v>6</v>
      </c>
      <c r="M5310" s="636">
        <f t="shared" si="69"/>
        <v>12000</v>
      </c>
      <c r="N5310" s="637">
        <v>0</v>
      </c>
      <c r="O5310" s="662">
        <v>0</v>
      </c>
      <c r="P5310" s="643">
        <f t="shared" si="70"/>
        <v>0</v>
      </c>
    </row>
    <row r="5311" spans="1:16" s="619" customFormat="1" ht="48" x14ac:dyDescent="0.2">
      <c r="A5311" s="626" t="s">
        <v>10134</v>
      </c>
      <c r="B5311" s="626" t="s">
        <v>10836</v>
      </c>
      <c r="C5311" s="638" t="s">
        <v>10837</v>
      </c>
      <c r="D5311" s="626" t="s">
        <v>6198</v>
      </c>
      <c r="E5311" s="636">
        <v>6000</v>
      </c>
      <c r="F5311" s="749" t="s">
        <v>6481</v>
      </c>
      <c r="G5311" s="626" t="s">
        <v>6482</v>
      </c>
      <c r="H5311" s="626" t="s">
        <v>10256</v>
      </c>
      <c r="I5311" s="638" t="s">
        <v>10256</v>
      </c>
      <c r="J5311" s="626" t="s">
        <v>1913</v>
      </c>
      <c r="K5311" s="662">
        <v>1</v>
      </c>
      <c r="L5311" s="637">
        <v>7</v>
      </c>
      <c r="M5311" s="636">
        <f t="shared" si="69"/>
        <v>42000</v>
      </c>
      <c r="N5311" s="637">
        <v>1</v>
      </c>
      <c r="O5311" s="662">
        <v>3</v>
      </c>
      <c r="P5311" s="643">
        <f t="shared" si="70"/>
        <v>18000</v>
      </c>
    </row>
    <row r="5312" spans="1:16" s="619" customFormat="1" ht="48" x14ac:dyDescent="0.2">
      <c r="A5312" s="626" t="s">
        <v>10134</v>
      </c>
      <c r="B5312" s="626" t="s">
        <v>10836</v>
      </c>
      <c r="C5312" s="638" t="s">
        <v>10837</v>
      </c>
      <c r="D5312" s="626" t="s">
        <v>10851</v>
      </c>
      <c r="E5312" s="636">
        <v>6000</v>
      </c>
      <c r="F5312" s="749" t="s">
        <v>10852</v>
      </c>
      <c r="G5312" s="626" t="s">
        <v>10853</v>
      </c>
      <c r="H5312" s="626" t="s">
        <v>8662</v>
      </c>
      <c r="I5312" s="638" t="s">
        <v>8662</v>
      </c>
      <c r="J5312" s="626" t="s">
        <v>1913</v>
      </c>
      <c r="K5312" s="662">
        <v>1</v>
      </c>
      <c r="L5312" s="637">
        <v>6</v>
      </c>
      <c r="M5312" s="636">
        <f t="shared" si="69"/>
        <v>36000</v>
      </c>
      <c r="N5312" s="637">
        <v>1</v>
      </c>
      <c r="O5312" s="662">
        <v>6</v>
      </c>
      <c r="P5312" s="643">
        <f t="shared" si="70"/>
        <v>36000</v>
      </c>
    </row>
    <row r="5313" spans="1:16" s="619" customFormat="1" ht="48" x14ac:dyDescent="0.2">
      <c r="A5313" s="626" t="s">
        <v>10134</v>
      </c>
      <c r="B5313" s="626" t="s">
        <v>10836</v>
      </c>
      <c r="C5313" s="638" t="s">
        <v>10837</v>
      </c>
      <c r="D5313" s="626" t="s">
        <v>10158</v>
      </c>
      <c r="E5313" s="636">
        <v>6000</v>
      </c>
      <c r="F5313" s="749" t="s">
        <v>10854</v>
      </c>
      <c r="G5313" s="626" t="s">
        <v>10855</v>
      </c>
      <c r="H5313" s="626" t="s">
        <v>2764</v>
      </c>
      <c r="I5313" s="638" t="s">
        <v>2764</v>
      </c>
      <c r="J5313" s="626" t="s">
        <v>1913</v>
      </c>
      <c r="K5313" s="662">
        <v>1</v>
      </c>
      <c r="L5313" s="637">
        <v>6</v>
      </c>
      <c r="M5313" s="636">
        <f t="shared" si="69"/>
        <v>36000</v>
      </c>
      <c r="N5313" s="637">
        <v>1</v>
      </c>
      <c r="O5313" s="662">
        <v>1</v>
      </c>
      <c r="P5313" s="643">
        <f t="shared" si="70"/>
        <v>6000</v>
      </c>
    </row>
    <row r="5314" spans="1:16" s="619" customFormat="1" ht="48" x14ac:dyDescent="0.2">
      <c r="A5314" s="626" t="s">
        <v>10134</v>
      </c>
      <c r="B5314" s="626" t="s">
        <v>10836</v>
      </c>
      <c r="C5314" s="638" t="s">
        <v>10837</v>
      </c>
      <c r="D5314" s="626" t="s">
        <v>10158</v>
      </c>
      <c r="E5314" s="636">
        <v>6000</v>
      </c>
      <c r="F5314" s="749" t="s">
        <v>10856</v>
      </c>
      <c r="G5314" s="626" t="s">
        <v>10857</v>
      </c>
      <c r="H5314" s="626" t="s">
        <v>2764</v>
      </c>
      <c r="I5314" s="638" t="s">
        <v>2764</v>
      </c>
      <c r="J5314" s="626" t="s">
        <v>1913</v>
      </c>
      <c r="K5314" s="662">
        <v>1</v>
      </c>
      <c r="L5314" s="637">
        <v>6</v>
      </c>
      <c r="M5314" s="636">
        <f t="shared" si="69"/>
        <v>36000</v>
      </c>
      <c r="N5314" s="637">
        <v>1</v>
      </c>
      <c r="O5314" s="662">
        <v>5</v>
      </c>
      <c r="P5314" s="643">
        <f t="shared" si="70"/>
        <v>30000</v>
      </c>
    </row>
    <row r="5315" spans="1:16" s="619" customFormat="1" ht="48" x14ac:dyDescent="0.2">
      <c r="A5315" s="626" t="s">
        <v>10134</v>
      </c>
      <c r="B5315" s="626" t="s">
        <v>10836</v>
      </c>
      <c r="C5315" s="638" t="s">
        <v>10837</v>
      </c>
      <c r="D5315" s="626" t="s">
        <v>6198</v>
      </c>
      <c r="E5315" s="636">
        <v>6000</v>
      </c>
      <c r="F5315" s="749" t="s">
        <v>10858</v>
      </c>
      <c r="G5315" s="626" t="s">
        <v>10859</v>
      </c>
      <c r="H5315" s="626" t="s">
        <v>10256</v>
      </c>
      <c r="I5315" s="638" t="s">
        <v>10256</v>
      </c>
      <c r="J5315" s="626" t="s">
        <v>1913</v>
      </c>
      <c r="K5315" s="662">
        <v>1</v>
      </c>
      <c r="L5315" s="637">
        <v>6</v>
      </c>
      <c r="M5315" s="636">
        <f t="shared" si="69"/>
        <v>36000</v>
      </c>
      <c r="N5315" s="637">
        <v>1</v>
      </c>
      <c r="O5315" s="662">
        <v>3</v>
      </c>
      <c r="P5315" s="643">
        <f t="shared" si="70"/>
        <v>18000</v>
      </c>
    </row>
    <row r="5316" spans="1:16" s="619" customFormat="1" ht="48" x14ac:dyDescent="0.2">
      <c r="A5316" s="626" t="s">
        <v>10134</v>
      </c>
      <c r="B5316" s="626" t="s">
        <v>10836</v>
      </c>
      <c r="C5316" s="638" t="s">
        <v>10837</v>
      </c>
      <c r="D5316" s="626" t="s">
        <v>2660</v>
      </c>
      <c r="E5316" s="636">
        <v>3300</v>
      </c>
      <c r="F5316" s="749" t="s">
        <v>10860</v>
      </c>
      <c r="G5316" s="626" t="s">
        <v>10861</v>
      </c>
      <c r="H5316" s="626" t="s">
        <v>2660</v>
      </c>
      <c r="I5316" s="638" t="s">
        <v>2660</v>
      </c>
      <c r="J5316" s="626" t="s">
        <v>1913</v>
      </c>
      <c r="K5316" s="662">
        <v>1</v>
      </c>
      <c r="L5316" s="637">
        <v>6</v>
      </c>
      <c r="M5316" s="636">
        <f t="shared" si="69"/>
        <v>19800</v>
      </c>
      <c r="N5316" s="637">
        <v>1</v>
      </c>
      <c r="O5316" s="662">
        <v>6</v>
      </c>
      <c r="P5316" s="643">
        <f t="shared" si="70"/>
        <v>19800</v>
      </c>
    </row>
    <row r="5317" spans="1:16" s="619" customFormat="1" ht="48" x14ac:dyDescent="0.2">
      <c r="A5317" s="626" t="s">
        <v>10134</v>
      </c>
      <c r="B5317" s="626" t="s">
        <v>10836</v>
      </c>
      <c r="C5317" s="638" t="s">
        <v>10837</v>
      </c>
      <c r="D5317" s="626" t="s">
        <v>3548</v>
      </c>
      <c r="E5317" s="636">
        <v>1100</v>
      </c>
      <c r="F5317" s="749" t="s">
        <v>10862</v>
      </c>
      <c r="G5317" s="626" t="s">
        <v>10863</v>
      </c>
      <c r="H5317" s="626" t="s">
        <v>1919</v>
      </c>
      <c r="I5317" s="638" t="s">
        <v>1919</v>
      </c>
      <c r="J5317" s="626" t="s">
        <v>10192</v>
      </c>
      <c r="K5317" s="662">
        <v>1</v>
      </c>
      <c r="L5317" s="637">
        <v>6</v>
      </c>
      <c r="M5317" s="636">
        <f t="shared" si="69"/>
        <v>6600</v>
      </c>
      <c r="N5317" s="637">
        <v>0</v>
      </c>
      <c r="O5317" s="662">
        <v>0</v>
      </c>
      <c r="P5317" s="643">
        <f t="shared" si="70"/>
        <v>0</v>
      </c>
    </row>
    <row r="5318" spans="1:16" s="619" customFormat="1" ht="48" x14ac:dyDescent="0.2">
      <c r="A5318" s="626" t="s">
        <v>10134</v>
      </c>
      <c r="B5318" s="626" t="s">
        <v>10836</v>
      </c>
      <c r="C5318" s="638" t="s">
        <v>10837</v>
      </c>
      <c r="D5318" s="626" t="s">
        <v>6198</v>
      </c>
      <c r="E5318" s="636">
        <v>6000</v>
      </c>
      <c r="F5318" s="749" t="s">
        <v>10864</v>
      </c>
      <c r="G5318" s="626" t="s">
        <v>10865</v>
      </c>
      <c r="H5318" s="626" t="s">
        <v>10256</v>
      </c>
      <c r="I5318" s="638" t="s">
        <v>10256</v>
      </c>
      <c r="J5318" s="626" t="s">
        <v>1913</v>
      </c>
      <c r="K5318" s="662">
        <v>1</v>
      </c>
      <c r="L5318" s="637">
        <v>6</v>
      </c>
      <c r="M5318" s="636">
        <f t="shared" ref="M5318:M5385" si="71">E5318*L5318</f>
        <v>36000</v>
      </c>
      <c r="N5318" s="637">
        <v>1</v>
      </c>
      <c r="O5318" s="662">
        <v>2</v>
      </c>
      <c r="P5318" s="643">
        <f t="shared" si="70"/>
        <v>12000</v>
      </c>
    </row>
    <row r="5319" spans="1:16" s="619" customFormat="1" ht="48" x14ac:dyDescent="0.2">
      <c r="A5319" s="626" t="s">
        <v>10134</v>
      </c>
      <c r="B5319" s="626" t="s">
        <v>10836</v>
      </c>
      <c r="C5319" s="638" t="s">
        <v>10837</v>
      </c>
      <c r="D5319" s="626" t="s">
        <v>2660</v>
      </c>
      <c r="E5319" s="636">
        <v>3300</v>
      </c>
      <c r="F5319" s="749" t="s">
        <v>9388</v>
      </c>
      <c r="G5319" s="626" t="s">
        <v>9389</v>
      </c>
      <c r="H5319" s="626" t="s">
        <v>2660</v>
      </c>
      <c r="I5319" s="638" t="s">
        <v>2660</v>
      </c>
      <c r="J5319" s="626" t="s">
        <v>1931</v>
      </c>
      <c r="K5319" s="662">
        <v>1</v>
      </c>
      <c r="L5319" s="637">
        <v>6</v>
      </c>
      <c r="M5319" s="636">
        <f t="shared" si="71"/>
        <v>19800</v>
      </c>
      <c r="N5319" s="637">
        <v>1</v>
      </c>
      <c r="O5319" s="662">
        <v>3</v>
      </c>
      <c r="P5319" s="643">
        <f t="shared" ref="P5319:P5386" si="72">E5319*O5319</f>
        <v>9900</v>
      </c>
    </row>
    <row r="5320" spans="1:16" s="619" customFormat="1" ht="48" x14ac:dyDescent="0.2">
      <c r="A5320" s="626" t="s">
        <v>10134</v>
      </c>
      <c r="B5320" s="626" t="s">
        <v>10836</v>
      </c>
      <c r="C5320" s="638" t="s">
        <v>10837</v>
      </c>
      <c r="D5320" s="626" t="s">
        <v>2660</v>
      </c>
      <c r="E5320" s="636">
        <v>3300</v>
      </c>
      <c r="F5320" s="749" t="s">
        <v>8544</v>
      </c>
      <c r="G5320" s="626" t="s">
        <v>8545</v>
      </c>
      <c r="H5320" s="626" t="s">
        <v>2660</v>
      </c>
      <c r="I5320" s="638" t="s">
        <v>2660</v>
      </c>
      <c r="J5320" s="626" t="s">
        <v>1931</v>
      </c>
      <c r="K5320" s="662">
        <v>1</v>
      </c>
      <c r="L5320" s="637">
        <v>6</v>
      </c>
      <c r="M5320" s="636">
        <f t="shared" si="71"/>
        <v>19800</v>
      </c>
      <c r="N5320" s="637">
        <v>1</v>
      </c>
      <c r="O5320" s="662">
        <v>1</v>
      </c>
      <c r="P5320" s="643">
        <f t="shared" si="72"/>
        <v>3300</v>
      </c>
    </row>
    <row r="5321" spans="1:16" s="619" customFormat="1" ht="48" x14ac:dyDescent="0.2">
      <c r="A5321" s="626" t="s">
        <v>10134</v>
      </c>
      <c r="B5321" s="626" t="s">
        <v>10836</v>
      </c>
      <c r="C5321" s="638" t="s">
        <v>10837</v>
      </c>
      <c r="D5321" s="626" t="s">
        <v>3548</v>
      </c>
      <c r="E5321" s="636">
        <v>1400</v>
      </c>
      <c r="F5321" s="749" t="s">
        <v>10207</v>
      </c>
      <c r="G5321" s="626" t="s">
        <v>10208</v>
      </c>
      <c r="H5321" s="626" t="s">
        <v>1919</v>
      </c>
      <c r="I5321" s="638" t="s">
        <v>1919</v>
      </c>
      <c r="J5321" s="626" t="s">
        <v>10192</v>
      </c>
      <c r="K5321" s="662">
        <v>1</v>
      </c>
      <c r="L5321" s="637">
        <v>6</v>
      </c>
      <c r="M5321" s="636">
        <f t="shared" si="71"/>
        <v>8400</v>
      </c>
      <c r="N5321" s="637">
        <v>0</v>
      </c>
      <c r="O5321" s="662">
        <v>0</v>
      </c>
      <c r="P5321" s="643">
        <f t="shared" si="72"/>
        <v>0</v>
      </c>
    </row>
    <row r="5322" spans="1:16" s="619" customFormat="1" ht="48" x14ac:dyDescent="0.2">
      <c r="A5322" s="626" t="s">
        <v>10134</v>
      </c>
      <c r="B5322" s="626" t="s">
        <v>10836</v>
      </c>
      <c r="C5322" s="638" t="s">
        <v>10837</v>
      </c>
      <c r="D5322" s="626" t="s">
        <v>2660</v>
      </c>
      <c r="E5322" s="636">
        <v>3300</v>
      </c>
      <c r="F5322" s="749" t="s">
        <v>10866</v>
      </c>
      <c r="G5322" s="626" t="s">
        <v>10867</v>
      </c>
      <c r="H5322" s="626" t="s">
        <v>2660</v>
      </c>
      <c r="I5322" s="638" t="s">
        <v>2660</v>
      </c>
      <c r="J5322" s="626" t="s">
        <v>1931</v>
      </c>
      <c r="K5322" s="662">
        <v>1</v>
      </c>
      <c r="L5322" s="637">
        <v>6</v>
      </c>
      <c r="M5322" s="636">
        <f t="shared" si="71"/>
        <v>19800</v>
      </c>
      <c r="N5322" s="637">
        <v>1</v>
      </c>
      <c r="O5322" s="662">
        <v>6</v>
      </c>
      <c r="P5322" s="643">
        <f t="shared" si="72"/>
        <v>19800</v>
      </c>
    </row>
    <row r="5323" spans="1:16" s="619" customFormat="1" ht="48" x14ac:dyDescent="0.2">
      <c r="A5323" s="626" t="s">
        <v>10134</v>
      </c>
      <c r="B5323" s="626" t="s">
        <v>10836</v>
      </c>
      <c r="C5323" s="638" t="s">
        <v>10837</v>
      </c>
      <c r="D5323" s="626" t="s">
        <v>2660</v>
      </c>
      <c r="E5323" s="636">
        <v>3300</v>
      </c>
      <c r="F5323" s="749" t="s">
        <v>10868</v>
      </c>
      <c r="G5323" s="626" t="s">
        <v>10869</v>
      </c>
      <c r="H5323" s="626" t="s">
        <v>2660</v>
      </c>
      <c r="I5323" s="638" t="s">
        <v>2660</v>
      </c>
      <c r="J5323" s="626" t="s">
        <v>1931</v>
      </c>
      <c r="K5323" s="662">
        <v>1</v>
      </c>
      <c r="L5323" s="637">
        <v>6</v>
      </c>
      <c r="M5323" s="636">
        <f t="shared" si="71"/>
        <v>19800</v>
      </c>
      <c r="N5323" s="637">
        <v>1</v>
      </c>
      <c r="O5323" s="662">
        <v>6</v>
      </c>
      <c r="P5323" s="643">
        <f t="shared" si="72"/>
        <v>19800</v>
      </c>
    </row>
    <row r="5324" spans="1:16" s="619" customFormat="1" ht="48" x14ac:dyDescent="0.2">
      <c r="A5324" s="626" t="s">
        <v>10134</v>
      </c>
      <c r="B5324" s="626" t="s">
        <v>10836</v>
      </c>
      <c r="C5324" s="638" t="s">
        <v>10837</v>
      </c>
      <c r="D5324" s="626" t="s">
        <v>6152</v>
      </c>
      <c r="E5324" s="636">
        <v>6000</v>
      </c>
      <c r="F5324" s="749" t="s">
        <v>10870</v>
      </c>
      <c r="G5324" s="626" t="s">
        <v>10871</v>
      </c>
      <c r="H5324" s="626" t="s">
        <v>6152</v>
      </c>
      <c r="I5324" s="638" t="s">
        <v>6152</v>
      </c>
      <c r="J5324" s="626" t="s">
        <v>1913</v>
      </c>
      <c r="K5324" s="662"/>
      <c r="L5324" s="637"/>
      <c r="M5324" s="636">
        <f t="shared" si="71"/>
        <v>0</v>
      </c>
      <c r="N5324" s="637">
        <v>1</v>
      </c>
      <c r="O5324" s="662">
        <v>2</v>
      </c>
      <c r="P5324" s="643">
        <f t="shared" si="72"/>
        <v>12000</v>
      </c>
    </row>
    <row r="5325" spans="1:16" s="619" customFormat="1" ht="48" x14ac:dyDescent="0.2">
      <c r="A5325" s="626" t="s">
        <v>10134</v>
      </c>
      <c r="B5325" s="626" t="s">
        <v>10836</v>
      </c>
      <c r="C5325" s="638" t="s">
        <v>10837</v>
      </c>
      <c r="D5325" s="626" t="s">
        <v>10872</v>
      </c>
      <c r="E5325" s="636">
        <v>6000</v>
      </c>
      <c r="F5325" s="749" t="s">
        <v>10873</v>
      </c>
      <c r="G5325" s="626" t="s">
        <v>10874</v>
      </c>
      <c r="H5325" s="626" t="s">
        <v>10872</v>
      </c>
      <c r="I5325" s="638" t="s">
        <v>10872</v>
      </c>
      <c r="J5325" s="626" t="s">
        <v>1913</v>
      </c>
      <c r="K5325" s="662"/>
      <c r="L5325" s="637"/>
      <c r="M5325" s="636">
        <f t="shared" si="71"/>
        <v>0</v>
      </c>
      <c r="N5325" s="637">
        <v>1</v>
      </c>
      <c r="O5325" s="662">
        <v>2</v>
      </c>
      <c r="P5325" s="643">
        <f t="shared" si="72"/>
        <v>12000</v>
      </c>
    </row>
    <row r="5326" spans="1:16" s="619" customFormat="1" ht="48" x14ac:dyDescent="0.2">
      <c r="A5326" s="626" t="s">
        <v>10134</v>
      </c>
      <c r="B5326" s="626" t="s">
        <v>10836</v>
      </c>
      <c r="C5326" s="638" t="s">
        <v>10837</v>
      </c>
      <c r="D5326" s="626" t="s">
        <v>6182</v>
      </c>
      <c r="E5326" s="636">
        <v>9000</v>
      </c>
      <c r="F5326" s="749" t="s">
        <v>10875</v>
      </c>
      <c r="G5326" s="626" t="s">
        <v>10876</v>
      </c>
      <c r="H5326" s="626" t="s">
        <v>6182</v>
      </c>
      <c r="I5326" s="638" t="s">
        <v>6182</v>
      </c>
      <c r="J5326" s="626" t="s">
        <v>1913</v>
      </c>
      <c r="K5326" s="662"/>
      <c r="L5326" s="637"/>
      <c r="M5326" s="636">
        <f t="shared" si="71"/>
        <v>0</v>
      </c>
      <c r="N5326" s="637">
        <v>1</v>
      </c>
      <c r="O5326" s="662">
        <v>0</v>
      </c>
      <c r="P5326" s="643">
        <f t="shared" si="72"/>
        <v>0</v>
      </c>
    </row>
    <row r="5327" spans="1:16" s="619" customFormat="1" ht="48" x14ac:dyDescent="0.2">
      <c r="A5327" s="626" t="s">
        <v>10134</v>
      </c>
      <c r="B5327" s="626" t="s">
        <v>10836</v>
      </c>
      <c r="C5327" s="638" t="s">
        <v>10837</v>
      </c>
      <c r="D5327" s="626" t="s">
        <v>10877</v>
      </c>
      <c r="E5327" s="636">
        <v>3300</v>
      </c>
      <c r="F5327" s="749" t="s">
        <v>10878</v>
      </c>
      <c r="G5327" s="626" t="s">
        <v>10879</v>
      </c>
      <c r="H5327" s="626" t="s">
        <v>10877</v>
      </c>
      <c r="I5327" s="638" t="s">
        <v>10877</v>
      </c>
      <c r="J5327" s="626" t="s">
        <v>1931</v>
      </c>
      <c r="K5327" s="662"/>
      <c r="L5327" s="637"/>
      <c r="M5327" s="636">
        <f t="shared" si="71"/>
        <v>0</v>
      </c>
      <c r="N5327" s="637">
        <v>1</v>
      </c>
      <c r="O5327" s="662">
        <v>2</v>
      </c>
      <c r="P5327" s="643">
        <f t="shared" si="72"/>
        <v>6600</v>
      </c>
    </row>
    <row r="5328" spans="1:16" s="619" customFormat="1" ht="48" x14ac:dyDescent="0.2">
      <c r="A5328" s="626" t="s">
        <v>10134</v>
      </c>
      <c r="B5328" s="626" t="s">
        <v>10836</v>
      </c>
      <c r="C5328" s="638" t="s">
        <v>10837</v>
      </c>
      <c r="D5328" s="626" t="s">
        <v>10877</v>
      </c>
      <c r="E5328" s="636">
        <v>3300</v>
      </c>
      <c r="F5328" s="749" t="s">
        <v>10880</v>
      </c>
      <c r="G5328" s="626" t="s">
        <v>10881</v>
      </c>
      <c r="H5328" s="626" t="s">
        <v>10877</v>
      </c>
      <c r="I5328" s="638" t="s">
        <v>10877</v>
      </c>
      <c r="J5328" s="626" t="s">
        <v>1931</v>
      </c>
      <c r="K5328" s="662"/>
      <c r="L5328" s="637"/>
      <c r="M5328" s="636">
        <f t="shared" si="71"/>
        <v>0</v>
      </c>
      <c r="N5328" s="637">
        <v>1</v>
      </c>
      <c r="O5328" s="662">
        <v>0</v>
      </c>
      <c r="P5328" s="643">
        <f t="shared" si="72"/>
        <v>0</v>
      </c>
    </row>
    <row r="5329" spans="1:16" s="619" customFormat="1" ht="48" x14ac:dyDescent="0.2">
      <c r="A5329" s="626" t="s">
        <v>10134</v>
      </c>
      <c r="B5329" s="626" t="s">
        <v>10836</v>
      </c>
      <c r="C5329" s="638" t="s">
        <v>10837</v>
      </c>
      <c r="D5329" s="626" t="s">
        <v>10882</v>
      </c>
      <c r="E5329" s="636">
        <v>6000</v>
      </c>
      <c r="F5329" s="749" t="s">
        <v>10883</v>
      </c>
      <c r="G5329" s="626" t="s">
        <v>10884</v>
      </c>
      <c r="H5329" s="626" t="s">
        <v>10882</v>
      </c>
      <c r="I5329" s="638" t="s">
        <v>10882</v>
      </c>
      <c r="J5329" s="626" t="s">
        <v>1913</v>
      </c>
      <c r="K5329" s="662"/>
      <c r="L5329" s="637"/>
      <c r="M5329" s="636">
        <f t="shared" si="71"/>
        <v>0</v>
      </c>
      <c r="N5329" s="637">
        <v>1</v>
      </c>
      <c r="O5329" s="662">
        <v>2</v>
      </c>
      <c r="P5329" s="643">
        <f t="shared" si="72"/>
        <v>12000</v>
      </c>
    </row>
    <row r="5330" spans="1:16" s="619" customFormat="1" ht="48" x14ac:dyDescent="0.2">
      <c r="A5330" s="626" t="s">
        <v>10134</v>
      </c>
      <c r="B5330" s="626" t="s">
        <v>10836</v>
      </c>
      <c r="C5330" s="638" t="s">
        <v>10837</v>
      </c>
      <c r="D5330" s="626" t="s">
        <v>10877</v>
      </c>
      <c r="E5330" s="636">
        <v>3300</v>
      </c>
      <c r="F5330" s="749" t="s">
        <v>10885</v>
      </c>
      <c r="G5330" s="626" t="s">
        <v>10886</v>
      </c>
      <c r="H5330" s="626" t="s">
        <v>10877</v>
      </c>
      <c r="I5330" s="638" t="s">
        <v>10877</v>
      </c>
      <c r="J5330" s="626" t="s">
        <v>1931</v>
      </c>
      <c r="K5330" s="662"/>
      <c r="L5330" s="637"/>
      <c r="M5330" s="636">
        <f t="shared" si="71"/>
        <v>0</v>
      </c>
      <c r="N5330" s="637">
        <v>1</v>
      </c>
      <c r="O5330" s="662">
        <v>2</v>
      </c>
      <c r="P5330" s="643">
        <f t="shared" si="72"/>
        <v>6600</v>
      </c>
    </row>
    <row r="5331" spans="1:16" s="619" customFormat="1" ht="48" x14ac:dyDescent="0.2">
      <c r="A5331" s="626" t="s">
        <v>10134</v>
      </c>
      <c r="B5331" s="626" t="s">
        <v>10836</v>
      </c>
      <c r="C5331" s="638" t="s">
        <v>10837</v>
      </c>
      <c r="D5331" s="626" t="s">
        <v>10872</v>
      </c>
      <c r="E5331" s="636">
        <v>6000</v>
      </c>
      <c r="F5331" s="749" t="s">
        <v>10887</v>
      </c>
      <c r="G5331" s="626" t="s">
        <v>10888</v>
      </c>
      <c r="H5331" s="626" t="s">
        <v>10872</v>
      </c>
      <c r="I5331" s="638" t="s">
        <v>10872</v>
      </c>
      <c r="J5331" s="626" t="s">
        <v>1913</v>
      </c>
      <c r="K5331" s="662"/>
      <c r="L5331" s="637"/>
      <c r="M5331" s="636">
        <f t="shared" si="71"/>
        <v>0</v>
      </c>
      <c r="N5331" s="637">
        <v>1</v>
      </c>
      <c r="O5331" s="662">
        <v>2</v>
      </c>
      <c r="P5331" s="643">
        <f t="shared" si="72"/>
        <v>12000</v>
      </c>
    </row>
    <row r="5332" spans="1:16" s="619" customFormat="1" ht="48" x14ac:dyDescent="0.2">
      <c r="A5332" s="626" t="s">
        <v>10134</v>
      </c>
      <c r="B5332" s="626" t="s">
        <v>10836</v>
      </c>
      <c r="C5332" s="638" t="s">
        <v>10837</v>
      </c>
      <c r="D5332" s="626" t="s">
        <v>10882</v>
      </c>
      <c r="E5332" s="636">
        <v>6000</v>
      </c>
      <c r="F5332" s="749" t="s">
        <v>10889</v>
      </c>
      <c r="G5332" s="626" t="s">
        <v>10890</v>
      </c>
      <c r="H5332" s="626" t="s">
        <v>10882</v>
      </c>
      <c r="I5332" s="638" t="s">
        <v>10882</v>
      </c>
      <c r="J5332" s="626" t="s">
        <v>1913</v>
      </c>
      <c r="K5332" s="662"/>
      <c r="L5332" s="637"/>
      <c r="M5332" s="636">
        <f t="shared" si="71"/>
        <v>0</v>
      </c>
      <c r="N5332" s="637">
        <v>1</v>
      </c>
      <c r="O5332" s="662">
        <v>2</v>
      </c>
      <c r="P5332" s="643">
        <f t="shared" si="72"/>
        <v>12000</v>
      </c>
    </row>
    <row r="5333" spans="1:16" s="619" customFormat="1" ht="48" x14ac:dyDescent="0.2">
      <c r="A5333" s="626" t="s">
        <v>10134</v>
      </c>
      <c r="B5333" s="626" t="s">
        <v>10836</v>
      </c>
      <c r="C5333" s="638" t="s">
        <v>10837</v>
      </c>
      <c r="D5333" s="626" t="s">
        <v>10877</v>
      </c>
      <c r="E5333" s="636">
        <v>3300</v>
      </c>
      <c r="F5333" s="749" t="s">
        <v>10891</v>
      </c>
      <c r="G5333" s="626" t="s">
        <v>10892</v>
      </c>
      <c r="H5333" s="626" t="s">
        <v>10877</v>
      </c>
      <c r="I5333" s="638" t="s">
        <v>10877</v>
      </c>
      <c r="J5333" s="626" t="s">
        <v>1931</v>
      </c>
      <c r="K5333" s="662"/>
      <c r="L5333" s="637"/>
      <c r="M5333" s="636">
        <f t="shared" si="71"/>
        <v>0</v>
      </c>
      <c r="N5333" s="637">
        <v>1</v>
      </c>
      <c r="O5333" s="662">
        <v>2</v>
      </c>
      <c r="P5333" s="643">
        <f t="shared" si="72"/>
        <v>6600</v>
      </c>
    </row>
    <row r="5334" spans="1:16" s="619" customFormat="1" ht="48" x14ac:dyDescent="0.2">
      <c r="A5334" s="626" t="s">
        <v>10134</v>
      </c>
      <c r="B5334" s="626" t="s">
        <v>10836</v>
      </c>
      <c r="C5334" s="638" t="s">
        <v>10837</v>
      </c>
      <c r="D5334" s="626" t="s">
        <v>10877</v>
      </c>
      <c r="E5334" s="636">
        <v>3300</v>
      </c>
      <c r="F5334" s="749" t="s">
        <v>10360</v>
      </c>
      <c r="G5334" s="626" t="s">
        <v>10361</v>
      </c>
      <c r="H5334" s="626" t="s">
        <v>10877</v>
      </c>
      <c r="I5334" s="638" t="s">
        <v>10877</v>
      </c>
      <c r="J5334" s="626" t="s">
        <v>1931</v>
      </c>
      <c r="K5334" s="753"/>
      <c r="L5334" s="754"/>
      <c r="M5334" s="636">
        <f t="shared" si="71"/>
        <v>0</v>
      </c>
      <c r="N5334" s="637">
        <v>1</v>
      </c>
      <c r="O5334" s="662">
        <v>0</v>
      </c>
      <c r="P5334" s="643">
        <f t="shared" si="72"/>
        <v>0</v>
      </c>
    </row>
    <row r="5335" spans="1:16" s="619" customFormat="1" ht="48" x14ac:dyDescent="0.2">
      <c r="A5335" s="626" t="s">
        <v>10134</v>
      </c>
      <c r="B5335" s="626" t="s">
        <v>10836</v>
      </c>
      <c r="C5335" s="638" t="s">
        <v>10837</v>
      </c>
      <c r="D5335" s="626" t="s">
        <v>6182</v>
      </c>
      <c r="E5335" s="636">
        <v>9000</v>
      </c>
      <c r="F5335" s="749" t="s">
        <v>10893</v>
      </c>
      <c r="G5335" s="626" t="s">
        <v>10894</v>
      </c>
      <c r="H5335" s="626" t="s">
        <v>6182</v>
      </c>
      <c r="I5335" s="638" t="s">
        <v>6182</v>
      </c>
      <c r="J5335" s="626" t="s">
        <v>1913</v>
      </c>
      <c r="K5335" s="753"/>
      <c r="L5335" s="754"/>
      <c r="M5335" s="636">
        <f t="shared" si="71"/>
        <v>0</v>
      </c>
      <c r="N5335" s="637">
        <v>1</v>
      </c>
      <c r="O5335" s="662">
        <v>2</v>
      </c>
      <c r="P5335" s="643">
        <f t="shared" si="72"/>
        <v>18000</v>
      </c>
    </row>
    <row r="5336" spans="1:16" s="619" customFormat="1" ht="48" x14ac:dyDescent="0.2">
      <c r="A5336" s="626" t="s">
        <v>10134</v>
      </c>
      <c r="B5336" s="626" t="s">
        <v>10836</v>
      </c>
      <c r="C5336" s="638" t="s">
        <v>10837</v>
      </c>
      <c r="D5336" s="626" t="s">
        <v>10882</v>
      </c>
      <c r="E5336" s="636">
        <v>6000</v>
      </c>
      <c r="F5336" s="749" t="s">
        <v>10895</v>
      </c>
      <c r="G5336" s="626" t="s">
        <v>10896</v>
      </c>
      <c r="H5336" s="626" t="s">
        <v>10882</v>
      </c>
      <c r="I5336" s="638" t="s">
        <v>10882</v>
      </c>
      <c r="J5336" s="626" t="s">
        <v>1913</v>
      </c>
      <c r="K5336" s="753"/>
      <c r="L5336" s="754"/>
      <c r="M5336" s="636">
        <f t="shared" si="71"/>
        <v>0</v>
      </c>
      <c r="N5336" s="637">
        <v>1</v>
      </c>
      <c r="O5336" s="662">
        <v>2</v>
      </c>
      <c r="P5336" s="643">
        <f t="shared" si="72"/>
        <v>12000</v>
      </c>
    </row>
    <row r="5337" spans="1:16" s="619" customFormat="1" ht="48" x14ac:dyDescent="0.2">
      <c r="A5337" s="626" t="s">
        <v>10134</v>
      </c>
      <c r="B5337" s="626" t="s">
        <v>10836</v>
      </c>
      <c r="C5337" s="638" t="s">
        <v>10837</v>
      </c>
      <c r="D5337" s="626" t="s">
        <v>10877</v>
      </c>
      <c r="E5337" s="636">
        <v>3300</v>
      </c>
      <c r="F5337" s="749" t="s">
        <v>10897</v>
      </c>
      <c r="G5337" s="626" t="s">
        <v>10898</v>
      </c>
      <c r="H5337" s="626" t="s">
        <v>10877</v>
      </c>
      <c r="I5337" s="638" t="s">
        <v>10877</v>
      </c>
      <c r="J5337" s="626" t="s">
        <v>1931</v>
      </c>
      <c r="K5337" s="753"/>
      <c r="L5337" s="754"/>
      <c r="M5337" s="636">
        <f t="shared" si="71"/>
        <v>0</v>
      </c>
      <c r="N5337" s="637">
        <v>1</v>
      </c>
      <c r="O5337" s="662">
        <v>2</v>
      </c>
      <c r="P5337" s="643">
        <f t="shared" si="72"/>
        <v>6600</v>
      </c>
    </row>
    <row r="5338" spans="1:16" s="619" customFormat="1" ht="48" x14ac:dyDescent="0.2">
      <c r="A5338" s="626" t="s">
        <v>10134</v>
      </c>
      <c r="B5338" s="626" t="s">
        <v>10836</v>
      </c>
      <c r="C5338" s="638" t="s">
        <v>10837</v>
      </c>
      <c r="D5338" s="626" t="s">
        <v>6152</v>
      </c>
      <c r="E5338" s="636">
        <v>6000</v>
      </c>
      <c r="F5338" s="749" t="s">
        <v>10870</v>
      </c>
      <c r="G5338" s="626" t="s">
        <v>10899</v>
      </c>
      <c r="H5338" s="626" t="s">
        <v>6152</v>
      </c>
      <c r="I5338" s="638" t="s">
        <v>6152</v>
      </c>
      <c r="J5338" s="626" t="s">
        <v>1913</v>
      </c>
      <c r="K5338" s="753"/>
      <c r="L5338" s="754"/>
      <c r="M5338" s="636">
        <f t="shared" si="71"/>
        <v>0</v>
      </c>
      <c r="N5338" s="637">
        <v>1</v>
      </c>
      <c r="O5338" s="662">
        <v>2</v>
      </c>
      <c r="P5338" s="643">
        <f t="shared" si="72"/>
        <v>12000</v>
      </c>
    </row>
    <row r="5339" spans="1:16" s="619" customFormat="1" ht="48" x14ac:dyDescent="0.2">
      <c r="A5339" s="626" t="s">
        <v>10134</v>
      </c>
      <c r="B5339" s="626" t="s">
        <v>10836</v>
      </c>
      <c r="C5339" s="638" t="s">
        <v>10837</v>
      </c>
      <c r="D5339" s="626" t="s">
        <v>10877</v>
      </c>
      <c r="E5339" s="636">
        <v>3300</v>
      </c>
      <c r="F5339" s="749" t="s">
        <v>10900</v>
      </c>
      <c r="G5339" s="626" t="s">
        <v>10901</v>
      </c>
      <c r="H5339" s="626" t="s">
        <v>10877</v>
      </c>
      <c r="I5339" s="638" t="s">
        <v>10877</v>
      </c>
      <c r="J5339" s="626" t="s">
        <v>1931</v>
      </c>
      <c r="K5339" s="753"/>
      <c r="L5339" s="754"/>
      <c r="M5339" s="636">
        <f t="shared" si="71"/>
        <v>0</v>
      </c>
      <c r="N5339" s="637">
        <v>1</v>
      </c>
      <c r="O5339" s="662">
        <v>2</v>
      </c>
      <c r="P5339" s="643">
        <f t="shared" si="72"/>
        <v>6600</v>
      </c>
    </row>
    <row r="5340" spans="1:16" s="619" customFormat="1" ht="48" x14ac:dyDescent="0.2">
      <c r="A5340" s="626" t="s">
        <v>10134</v>
      </c>
      <c r="B5340" s="626" t="s">
        <v>10836</v>
      </c>
      <c r="C5340" s="638" t="s">
        <v>10837</v>
      </c>
      <c r="D5340" s="626" t="s">
        <v>10882</v>
      </c>
      <c r="E5340" s="636">
        <v>6000</v>
      </c>
      <c r="F5340" s="749" t="s">
        <v>10902</v>
      </c>
      <c r="G5340" s="626" t="s">
        <v>10903</v>
      </c>
      <c r="H5340" s="626" t="s">
        <v>10882</v>
      </c>
      <c r="I5340" s="638" t="s">
        <v>10882</v>
      </c>
      <c r="J5340" s="626" t="s">
        <v>1913</v>
      </c>
      <c r="K5340" s="753"/>
      <c r="L5340" s="754"/>
      <c r="M5340" s="636">
        <f t="shared" si="71"/>
        <v>0</v>
      </c>
      <c r="N5340" s="637">
        <v>1</v>
      </c>
      <c r="O5340" s="662">
        <v>2</v>
      </c>
      <c r="P5340" s="643">
        <f t="shared" si="72"/>
        <v>12000</v>
      </c>
    </row>
    <row r="5341" spans="1:16" s="619" customFormat="1" ht="48" x14ac:dyDescent="0.2">
      <c r="A5341" s="626" t="s">
        <v>10134</v>
      </c>
      <c r="B5341" s="626" t="s">
        <v>10836</v>
      </c>
      <c r="C5341" s="638" t="s">
        <v>10837</v>
      </c>
      <c r="D5341" s="626" t="s">
        <v>10872</v>
      </c>
      <c r="E5341" s="636">
        <v>6000</v>
      </c>
      <c r="F5341" s="749" t="s">
        <v>10904</v>
      </c>
      <c r="G5341" s="626" t="s">
        <v>10905</v>
      </c>
      <c r="H5341" s="626" t="s">
        <v>10872</v>
      </c>
      <c r="I5341" s="638" t="s">
        <v>10872</v>
      </c>
      <c r="J5341" s="626" t="s">
        <v>1913</v>
      </c>
      <c r="K5341" s="753"/>
      <c r="L5341" s="754"/>
      <c r="M5341" s="636">
        <f t="shared" si="71"/>
        <v>0</v>
      </c>
      <c r="N5341" s="637">
        <v>1</v>
      </c>
      <c r="O5341" s="662">
        <v>1</v>
      </c>
      <c r="P5341" s="643">
        <f t="shared" si="72"/>
        <v>6000</v>
      </c>
    </row>
    <row r="5342" spans="1:16" s="619" customFormat="1" ht="48" x14ac:dyDescent="0.2">
      <c r="A5342" s="626" t="s">
        <v>10134</v>
      </c>
      <c r="B5342" s="626" t="s">
        <v>10836</v>
      </c>
      <c r="C5342" s="638" t="s">
        <v>10837</v>
      </c>
      <c r="D5342" s="626" t="s">
        <v>10877</v>
      </c>
      <c r="E5342" s="636">
        <v>3300</v>
      </c>
      <c r="F5342" s="749" t="s">
        <v>10906</v>
      </c>
      <c r="G5342" s="626" t="s">
        <v>10907</v>
      </c>
      <c r="H5342" s="626" t="s">
        <v>10877</v>
      </c>
      <c r="I5342" s="638" t="s">
        <v>10877</v>
      </c>
      <c r="J5342" s="626" t="s">
        <v>1931</v>
      </c>
      <c r="K5342" s="753"/>
      <c r="L5342" s="754"/>
      <c r="M5342" s="636">
        <f t="shared" si="71"/>
        <v>0</v>
      </c>
      <c r="N5342" s="637">
        <v>1</v>
      </c>
      <c r="O5342" s="662">
        <v>2</v>
      </c>
      <c r="P5342" s="643">
        <f t="shared" si="72"/>
        <v>6600</v>
      </c>
    </row>
    <row r="5343" spans="1:16" s="619" customFormat="1" ht="48" x14ac:dyDescent="0.2">
      <c r="A5343" s="626" t="s">
        <v>10134</v>
      </c>
      <c r="B5343" s="626" t="s">
        <v>10836</v>
      </c>
      <c r="C5343" s="638" t="s">
        <v>10837</v>
      </c>
      <c r="D5343" s="626" t="s">
        <v>10872</v>
      </c>
      <c r="E5343" s="636">
        <v>6000</v>
      </c>
      <c r="F5343" s="749" t="s">
        <v>10908</v>
      </c>
      <c r="G5343" s="626" t="s">
        <v>10909</v>
      </c>
      <c r="H5343" s="626" t="s">
        <v>10872</v>
      </c>
      <c r="I5343" s="638" t="s">
        <v>10872</v>
      </c>
      <c r="J5343" s="626" t="s">
        <v>1913</v>
      </c>
      <c r="K5343" s="753"/>
      <c r="L5343" s="754"/>
      <c r="M5343" s="636">
        <f t="shared" si="71"/>
        <v>0</v>
      </c>
      <c r="N5343" s="637">
        <v>1</v>
      </c>
      <c r="O5343" s="662">
        <v>1</v>
      </c>
      <c r="P5343" s="643">
        <f t="shared" si="72"/>
        <v>6000</v>
      </c>
    </row>
    <row r="5344" spans="1:16" s="619" customFormat="1" ht="48" x14ac:dyDescent="0.2">
      <c r="A5344" s="626" t="s">
        <v>10134</v>
      </c>
      <c r="B5344" s="626" t="s">
        <v>10836</v>
      </c>
      <c r="C5344" s="638" t="s">
        <v>10837</v>
      </c>
      <c r="D5344" s="626" t="s">
        <v>6152</v>
      </c>
      <c r="E5344" s="636">
        <v>6000</v>
      </c>
      <c r="F5344" s="749" t="s">
        <v>10910</v>
      </c>
      <c r="G5344" s="626" t="s">
        <v>10911</v>
      </c>
      <c r="H5344" s="626" t="s">
        <v>6152</v>
      </c>
      <c r="I5344" s="638" t="s">
        <v>6152</v>
      </c>
      <c r="J5344" s="626" t="s">
        <v>1913</v>
      </c>
      <c r="K5344" s="753"/>
      <c r="L5344" s="754"/>
      <c r="M5344" s="636">
        <f t="shared" si="71"/>
        <v>0</v>
      </c>
      <c r="N5344" s="637">
        <v>1</v>
      </c>
      <c r="O5344" s="662">
        <v>0</v>
      </c>
      <c r="P5344" s="643">
        <f t="shared" si="72"/>
        <v>0</v>
      </c>
    </row>
    <row r="5345" spans="1:16" s="619" customFormat="1" ht="48" x14ac:dyDescent="0.2">
      <c r="A5345" s="626" t="s">
        <v>10134</v>
      </c>
      <c r="B5345" s="626" t="s">
        <v>10836</v>
      </c>
      <c r="C5345" s="638" t="s">
        <v>10837</v>
      </c>
      <c r="D5345" s="626" t="s">
        <v>6182</v>
      </c>
      <c r="E5345" s="636">
        <v>9000</v>
      </c>
      <c r="F5345" s="749" t="s">
        <v>10912</v>
      </c>
      <c r="G5345" s="626" t="s">
        <v>10913</v>
      </c>
      <c r="H5345" s="626" t="s">
        <v>6182</v>
      </c>
      <c r="I5345" s="638" t="s">
        <v>6182</v>
      </c>
      <c r="J5345" s="626" t="s">
        <v>1913</v>
      </c>
      <c r="K5345" s="753"/>
      <c r="L5345" s="754"/>
      <c r="M5345" s="636">
        <f t="shared" si="71"/>
        <v>0</v>
      </c>
      <c r="N5345" s="637">
        <v>1</v>
      </c>
      <c r="O5345" s="662">
        <v>2</v>
      </c>
      <c r="P5345" s="643">
        <f t="shared" si="72"/>
        <v>18000</v>
      </c>
    </row>
    <row r="5346" spans="1:16" s="619" customFormat="1" ht="48" x14ac:dyDescent="0.2">
      <c r="A5346" s="626" t="s">
        <v>10134</v>
      </c>
      <c r="B5346" s="626" t="s">
        <v>10836</v>
      </c>
      <c r="C5346" s="638" t="s">
        <v>10837</v>
      </c>
      <c r="D5346" s="626" t="s">
        <v>10882</v>
      </c>
      <c r="E5346" s="636">
        <v>6000</v>
      </c>
      <c r="F5346" s="749" t="s">
        <v>9111</v>
      </c>
      <c r="G5346" s="626" t="s">
        <v>9112</v>
      </c>
      <c r="H5346" s="626" t="s">
        <v>10882</v>
      </c>
      <c r="I5346" s="638" t="s">
        <v>10882</v>
      </c>
      <c r="J5346" s="626" t="s">
        <v>1913</v>
      </c>
      <c r="K5346" s="753"/>
      <c r="L5346" s="754"/>
      <c r="M5346" s="636">
        <f t="shared" si="71"/>
        <v>0</v>
      </c>
      <c r="N5346" s="637">
        <v>1</v>
      </c>
      <c r="O5346" s="662">
        <v>1</v>
      </c>
      <c r="P5346" s="643">
        <f t="shared" si="72"/>
        <v>6000</v>
      </c>
    </row>
    <row r="5347" spans="1:16" s="619" customFormat="1" ht="48" x14ac:dyDescent="0.2">
      <c r="A5347" s="626" t="s">
        <v>10134</v>
      </c>
      <c r="B5347" s="626" t="s">
        <v>10836</v>
      </c>
      <c r="C5347" s="638" t="s">
        <v>10837</v>
      </c>
      <c r="D5347" s="626" t="s">
        <v>6182</v>
      </c>
      <c r="E5347" s="636">
        <v>9000</v>
      </c>
      <c r="F5347" s="749">
        <v>41185199</v>
      </c>
      <c r="G5347" s="626" t="s">
        <v>10914</v>
      </c>
      <c r="H5347" s="626" t="s">
        <v>6182</v>
      </c>
      <c r="I5347" s="638" t="s">
        <v>6182</v>
      </c>
      <c r="J5347" s="626" t="s">
        <v>1913</v>
      </c>
      <c r="K5347" s="753"/>
      <c r="L5347" s="754"/>
      <c r="M5347" s="636">
        <f t="shared" si="71"/>
        <v>0</v>
      </c>
      <c r="N5347" s="637">
        <v>1</v>
      </c>
      <c r="O5347" s="662">
        <v>0</v>
      </c>
      <c r="P5347" s="643">
        <f t="shared" si="72"/>
        <v>0</v>
      </c>
    </row>
    <row r="5348" spans="1:16" s="619" customFormat="1" ht="48" x14ac:dyDescent="0.2">
      <c r="A5348" s="626" t="s">
        <v>10134</v>
      </c>
      <c r="B5348" s="626" t="s">
        <v>10836</v>
      </c>
      <c r="C5348" s="638" t="s">
        <v>10837</v>
      </c>
      <c r="D5348" s="626" t="s">
        <v>10877</v>
      </c>
      <c r="E5348" s="636">
        <v>3300</v>
      </c>
      <c r="F5348" s="749" t="s">
        <v>10915</v>
      </c>
      <c r="G5348" s="626" t="s">
        <v>10916</v>
      </c>
      <c r="H5348" s="626" t="s">
        <v>10877</v>
      </c>
      <c r="I5348" s="638" t="s">
        <v>10877</v>
      </c>
      <c r="J5348" s="626" t="s">
        <v>1931</v>
      </c>
      <c r="K5348" s="753"/>
      <c r="L5348" s="754"/>
      <c r="M5348" s="636">
        <f t="shared" si="71"/>
        <v>0</v>
      </c>
      <c r="N5348" s="637">
        <v>1</v>
      </c>
      <c r="O5348" s="662">
        <v>0</v>
      </c>
      <c r="P5348" s="643">
        <f t="shared" si="72"/>
        <v>0</v>
      </c>
    </row>
    <row r="5349" spans="1:16" s="619" customFormat="1" ht="48" x14ac:dyDescent="0.2">
      <c r="A5349" s="626" t="s">
        <v>10134</v>
      </c>
      <c r="B5349" s="626" t="s">
        <v>10836</v>
      </c>
      <c r="C5349" s="638" t="s">
        <v>10837</v>
      </c>
      <c r="D5349" s="626" t="s">
        <v>10877</v>
      </c>
      <c r="E5349" s="636">
        <v>3300</v>
      </c>
      <c r="F5349" s="749" t="s">
        <v>10917</v>
      </c>
      <c r="G5349" s="626" t="s">
        <v>10918</v>
      </c>
      <c r="H5349" s="626" t="s">
        <v>10877</v>
      </c>
      <c r="I5349" s="638" t="s">
        <v>10877</v>
      </c>
      <c r="J5349" s="626" t="s">
        <v>1931</v>
      </c>
      <c r="K5349" s="753"/>
      <c r="L5349" s="754"/>
      <c r="M5349" s="636">
        <f t="shared" si="71"/>
        <v>0</v>
      </c>
      <c r="N5349" s="637">
        <v>1</v>
      </c>
      <c r="O5349" s="662">
        <v>2</v>
      </c>
      <c r="P5349" s="643">
        <f t="shared" si="72"/>
        <v>6600</v>
      </c>
    </row>
    <row r="5350" spans="1:16" s="619" customFormat="1" ht="48" x14ac:dyDescent="0.2">
      <c r="A5350" s="626" t="s">
        <v>10134</v>
      </c>
      <c r="B5350" s="626" t="s">
        <v>10836</v>
      </c>
      <c r="C5350" s="638" t="s">
        <v>10837</v>
      </c>
      <c r="D5350" s="626" t="s">
        <v>10872</v>
      </c>
      <c r="E5350" s="636">
        <v>6000</v>
      </c>
      <c r="F5350" s="749" t="s">
        <v>10919</v>
      </c>
      <c r="G5350" s="626" t="s">
        <v>10920</v>
      </c>
      <c r="H5350" s="626" t="s">
        <v>10872</v>
      </c>
      <c r="I5350" s="638" t="s">
        <v>10872</v>
      </c>
      <c r="J5350" s="626" t="s">
        <v>1913</v>
      </c>
      <c r="K5350" s="753"/>
      <c r="L5350" s="754"/>
      <c r="M5350" s="636">
        <f t="shared" si="71"/>
        <v>0</v>
      </c>
      <c r="N5350" s="637">
        <v>1</v>
      </c>
      <c r="O5350" s="662">
        <v>0</v>
      </c>
      <c r="P5350" s="643">
        <f t="shared" si="72"/>
        <v>0</v>
      </c>
    </row>
    <row r="5351" spans="1:16" s="619" customFormat="1" ht="48" x14ac:dyDescent="0.2">
      <c r="A5351" s="626" t="s">
        <v>10134</v>
      </c>
      <c r="B5351" s="626" t="s">
        <v>10836</v>
      </c>
      <c r="C5351" s="638" t="s">
        <v>10837</v>
      </c>
      <c r="D5351" s="626" t="s">
        <v>8662</v>
      </c>
      <c r="E5351" s="636">
        <v>6000</v>
      </c>
      <c r="F5351" s="749" t="s">
        <v>10852</v>
      </c>
      <c r="G5351" s="626" t="s">
        <v>10853</v>
      </c>
      <c r="H5351" s="626" t="s">
        <v>8662</v>
      </c>
      <c r="I5351" s="638" t="s">
        <v>8662</v>
      </c>
      <c r="J5351" s="626" t="s">
        <v>1913</v>
      </c>
      <c r="K5351" s="753"/>
      <c r="L5351" s="754"/>
      <c r="M5351" s="636">
        <f t="shared" si="71"/>
        <v>0</v>
      </c>
      <c r="N5351" s="637">
        <v>1</v>
      </c>
      <c r="O5351" s="662">
        <v>1</v>
      </c>
      <c r="P5351" s="643">
        <f t="shared" si="72"/>
        <v>6000</v>
      </c>
    </row>
    <row r="5352" spans="1:16" s="619" customFormat="1" ht="48" x14ac:dyDescent="0.2">
      <c r="A5352" s="626" t="s">
        <v>10134</v>
      </c>
      <c r="B5352" s="626" t="s">
        <v>10836</v>
      </c>
      <c r="C5352" s="638" t="s">
        <v>10837</v>
      </c>
      <c r="D5352" s="626" t="s">
        <v>10872</v>
      </c>
      <c r="E5352" s="636">
        <v>6000</v>
      </c>
      <c r="F5352" s="749" t="s">
        <v>10921</v>
      </c>
      <c r="G5352" s="626" t="s">
        <v>10922</v>
      </c>
      <c r="H5352" s="626" t="s">
        <v>10872</v>
      </c>
      <c r="I5352" s="638" t="s">
        <v>10872</v>
      </c>
      <c r="J5352" s="626" t="s">
        <v>1913</v>
      </c>
      <c r="K5352" s="753"/>
      <c r="L5352" s="754"/>
      <c r="M5352" s="636">
        <f t="shared" si="71"/>
        <v>0</v>
      </c>
      <c r="N5352" s="637">
        <v>1</v>
      </c>
      <c r="O5352" s="662">
        <v>1</v>
      </c>
      <c r="P5352" s="643">
        <f t="shared" si="72"/>
        <v>6000</v>
      </c>
    </row>
    <row r="5353" spans="1:16" s="619" customFormat="1" ht="48" x14ac:dyDescent="0.2">
      <c r="A5353" s="626" t="s">
        <v>10134</v>
      </c>
      <c r="B5353" s="626" t="s">
        <v>10836</v>
      </c>
      <c r="C5353" s="638" t="s">
        <v>10837</v>
      </c>
      <c r="D5353" s="626" t="s">
        <v>6152</v>
      </c>
      <c r="E5353" s="636">
        <v>6000</v>
      </c>
      <c r="F5353" s="749" t="s">
        <v>10923</v>
      </c>
      <c r="G5353" s="626" t="s">
        <v>10924</v>
      </c>
      <c r="H5353" s="626" t="s">
        <v>6152</v>
      </c>
      <c r="I5353" s="638" t="s">
        <v>6152</v>
      </c>
      <c r="J5353" s="626" t="s">
        <v>1913</v>
      </c>
      <c r="K5353" s="753"/>
      <c r="L5353" s="754"/>
      <c r="M5353" s="636">
        <f t="shared" si="71"/>
        <v>0</v>
      </c>
      <c r="N5353" s="637">
        <v>1</v>
      </c>
      <c r="O5353" s="662">
        <v>1</v>
      </c>
      <c r="P5353" s="643">
        <f t="shared" si="72"/>
        <v>6000</v>
      </c>
    </row>
    <row r="5354" spans="1:16" s="619" customFormat="1" ht="48" x14ac:dyDescent="0.2">
      <c r="A5354" s="626" t="s">
        <v>10134</v>
      </c>
      <c r="B5354" s="626" t="s">
        <v>10836</v>
      </c>
      <c r="C5354" s="638" t="s">
        <v>10837</v>
      </c>
      <c r="D5354" s="626" t="s">
        <v>6182</v>
      </c>
      <c r="E5354" s="636">
        <v>12900</v>
      </c>
      <c r="F5354" s="749">
        <v>40883749</v>
      </c>
      <c r="G5354" s="626" t="s">
        <v>10925</v>
      </c>
      <c r="H5354" s="626" t="s">
        <v>6182</v>
      </c>
      <c r="I5354" s="638" t="s">
        <v>6182</v>
      </c>
      <c r="J5354" s="626" t="s">
        <v>1913</v>
      </c>
      <c r="K5354" s="753"/>
      <c r="L5354" s="754"/>
      <c r="M5354" s="636">
        <f t="shared" si="71"/>
        <v>0</v>
      </c>
      <c r="N5354" s="637">
        <v>1</v>
      </c>
      <c r="O5354" s="662">
        <v>1</v>
      </c>
      <c r="P5354" s="643">
        <f t="shared" si="72"/>
        <v>12900</v>
      </c>
    </row>
    <row r="5355" spans="1:16" s="619" customFormat="1" ht="48" x14ac:dyDescent="0.2">
      <c r="A5355" s="626" t="s">
        <v>10134</v>
      </c>
      <c r="B5355" s="626" t="s">
        <v>10836</v>
      </c>
      <c r="C5355" s="638" t="s">
        <v>10837</v>
      </c>
      <c r="D5355" s="626" t="s">
        <v>10882</v>
      </c>
      <c r="E5355" s="636">
        <v>6000</v>
      </c>
      <c r="F5355" s="749" t="s">
        <v>10926</v>
      </c>
      <c r="G5355" s="626" t="s">
        <v>10927</v>
      </c>
      <c r="H5355" s="626" t="s">
        <v>10882</v>
      </c>
      <c r="I5355" s="638" t="s">
        <v>10882</v>
      </c>
      <c r="J5355" s="626" t="s">
        <v>1913</v>
      </c>
      <c r="K5355" s="753"/>
      <c r="L5355" s="754"/>
      <c r="M5355" s="636">
        <f t="shared" si="71"/>
        <v>0</v>
      </c>
      <c r="N5355" s="637">
        <v>1</v>
      </c>
      <c r="O5355" s="662">
        <v>2</v>
      </c>
      <c r="P5355" s="643">
        <f t="shared" si="72"/>
        <v>12000</v>
      </c>
    </row>
    <row r="5356" spans="1:16" s="619" customFormat="1" ht="48" x14ac:dyDescent="0.2">
      <c r="A5356" s="626" t="s">
        <v>10134</v>
      </c>
      <c r="B5356" s="626" t="s">
        <v>10836</v>
      </c>
      <c r="C5356" s="638" t="s">
        <v>10837</v>
      </c>
      <c r="D5356" s="626" t="s">
        <v>6182</v>
      </c>
      <c r="E5356" s="636">
        <v>12900</v>
      </c>
      <c r="F5356" s="749" t="s">
        <v>10928</v>
      </c>
      <c r="G5356" s="626" t="s">
        <v>10929</v>
      </c>
      <c r="H5356" s="626" t="s">
        <v>6182</v>
      </c>
      <c r="I5356" s="638" t="s">
        <v>6182</v>
      </c>
      <c r="J5356" s="626" t="s">
        <v>1913</v>
      </c>
      <c r="K5356" s="753"/>
      <c r="L5356" s="754"/>
      <c r="M5356" s="636">
        <f t="shared" si="71"/>
        <v>0</v>
      </c>
      <c r="N5356" s="637">
        <v>1</v>
      </c>
      <c r="O5356" s="662">
        <v>3</v>
      </c>
      <c r="P5356" s="643">
        <f t="shared" si="72"/>
        <v>38700</v>
      </c>
    </row>
    <row r="5357" spans="1:16" s="619" customFormat="1" ht="48" x14ac:dyDescent="0.2">
      <c r="A5357" s="626" t="s">
        <v>10134</v>
      </c>
      <c r="B5357" s="626" t="s">
        <v>10836</v>
      </c>
      <c r="C5357" s="638" t="s">
        <v>10837</v>
      </c>
      <c r="D5357" s="626" t="s">
        <v>10877</v>
      </c>
      <c r="E5357" s="636">
        <v>3300</v>
      </c>
      <c r="F5357" s="749" t="s">
        <v>10930</v>
      </c>
      <c r="G5357" s="626" t="s">
        <v>10931</v>
      </c>
      <c r="H5357" s="626" t="s">
        <v>10877</v>
      </c>
      <c r="I5357" s="638" t="s">
        <v>10877</v>
      </c>
      <c r="J5357" s="626" t="s">
        <v>1931</v>
      </c>
      <c r="K5357" s="753"/>
      <c r="L5357" s="754"/>
      <c r="M5357" s="636">
        <f t="shared" si="71"/>
        <v>0</v>
      </c>
      <c r="N5357" s="637">
        <v>1</v>
      </c>
      <c r="O5357" s="662">
        <v>2</v>
      </c>
      <c r="P5357" s="643">
        <f t="shared" si="72"/>
        <v>6600</v>
      </c>
    </row>
    <row r="5358" spans="1:16" s="619" customFormat="1" ht="48" x14ac:dyDescent="0.2">
      <c r="A5358" s="626" t="s">
        <v>10134</v>
      </c>
      <c r="B5358" s="626" t="s">
        <v>10836</v>
      </c>
      <c r="C5358" s="638" t="s">
        <v>10837</v>
      </c>
      <c r="D5358" s="626" t="s">
        <v>10872</v>
      </c>
      <c r="E5358" s="636">
        <v>6000</v>
      </c>
      <c r="F5358" s="749" t="s">
        <v>10932</v>
      </c>
      <c r="G5358" s="626" t="s">
        <v>10933</v>
      </c>
      <c r="H5358" s="626" t="s">
        <v>10872</v>
      </c>
      <c r="I5358" s="638" t="s">
        <v>10872</v>
      </c>
      <c r="J5358" s="626" t="s">
        <v>1913</v>
      </c>
      <c r="K5358" s="753"/>
      <c r="L5358" s="754"/>
      <c r="M5358" s="636">
        <f t="shared" si="71"/>
        <v>0</v>
      </c>
      <c r="N5358" s="637">
        <v>1</v>
      </c>
      <c r="O5358" s="662">
        <v>1</v>
      </c>
      <c r="P5358" s="643">
        <f t="shared" si="72"/>
        <v>6000</v>
      </c>
    </row>
    <row r="5359" spans="1:16" s="619" customFormat="1" ht="48" x14ac:dyDescent="0.2">
      <c r="A5359" s="626" t="s">
        <v>10134</v>
      </c>
      <c r="B5359" s="626" t="s">
        <v>10836</v>
      </c>
      <c r="C5359" s="638" t="s">
        <v>10837</v>
      </c>
      <c r="D5359" s="626" t="s">
        <v>6182</v>
      </c>
      <c r="E5359" s="636">
        <v>12900</v>
      </c>
      <c r="F5359" s="749" t="s">
        <v>10934</v>
      </c>
      <c r="G5359" s="626" t="s">
        <v>10935</v>
      </c>
      <c r="H5359" s="626" t="s">
        <v>6182</v>
      </c>
      <c r="I5359" s="638" t="s">
        <v>6182</v>
      </c>
      <c r="J5359" s="626" t="s">
        <v>1913</v>
      </c>
      <c r="K5359" s="753"/>
      <c r="L5359" s="754"/>
      <c r="M5359" s="636">
        <f t="shared" si="71"/>
        <v>0</v>
      </c>
      <c r="N5359" s="637">
        <v>1</v>
      </c>
      <c r="O5359" s="662">
        <v>3</v>
      </c>
      <c r="P5359" s="643">
        <f t="shared" si="72"/>
        <v>38700</v>
      </c>
    </row>
    <row r="5360" spans="1:16" s="619" customFormat="1" ht="48" x14ac:dyDescent="0.2">
      <c r="A5360" s="626" t="s">
        <v>10134</v>
      </c>
      <c r="B5360" s="626" t="s">
        <v>10836</v>
      </c>
      <c r="C5360" s="638" t="s">
        <v>10837</v>
      </c>
      <c r="D5360" s="626" t="s">
        <v>7061</v>
      </c>
      <c r="E5360" s="636">
        <v>2000</v>
      </c>
      <c r="F5360" s="749" t="s">
        <v>10936</v>
      </c>
      <c r="G5360" s="626" t="s">
        <v>10937</v>
      </c>
      <c r="H5360" s="626" t="s">
        <v>7061</v>
      </c>
      <c r="I5360" s="638" t="s">
        <v>7061</v>
      </c>
      <c r="J5360" s="626" t="s">
        <v>1931</v>
      </c>
      <c r="K5360" s="753"/>
      <c r="L5360" s="754"/>
      <c r="M5360" s="636">
        <f t="shared" si="71"/>
        <v>0</v>
      </c>
      <c r="N5360" s="637">
        <v>1</v>
      </c>
      <c r="O5360" s="662">
        <v>6</v>
      </c>
      <c r="P5360" s="643">
        <f t="shared" si="72"/>
        <v>12000</v>
      </c>
    </row>
    <row r="5361" spans="1:16" s="619" customFormat="1" ht="48" x14ac:dyDescent="0.2">
      <c r="A5361" s="626" t="s">
        <v>10134</v>
      </c>
      <c r="B5361" s="626" t="s">
        <v>10836</v>
      </c>
      <c r="C5361" s="638" t="s">
        <v>10837</v>
      </c>
      <c r="D5361" s="626" t="s">
        <v>1919</v>
      </c>
      <c r="E5361" s="636">
        <v>1400</v>
      </c>
      <c r="F5361" s="749" t="s">
        <v>10938</v>
      </c>
      <c r="G5361" s="626" t="s">
        <v>10939</v>
      </c>
      <c r="H5361" s="626" t="s">
        <v>1919</v>
      </c>
      <c r="I5361" s="638" t="s">
        <v>1919</v>
      </c>
      <c r="J5361" s="626"/>
      <c r="K5361" s="753"/>
      <c r="L5361" s="754"/>
      <c r="M5361" s="636">
        <f t="shared" si="71"/>
        <v>0</v>
      </c>
      <c r="N5361" s="637">
        <v>1</v>
      </c>
      <c r="O5361" s="662">
        <v>1</v>
      </c>
      <c r="P5361" s="643">
        <f t="shared" si="72"/>
        <v>1400</v>
      </c>
    </row>
    <row r="5362" spans="1:16" s="619" customFormat="1" ht="48" x14ac:dyDescent="0.2">
      <c r="A5362" s="626" t="s">
        <v>10134</v>
      </c>
      <c r="B5362" s="626" t="s">
        <v>10836</v>
      </c>
      <c r="C5362" s="638" t="s">
        <v>10837</v>
      </c>
      <c r="D5362" s="626" t="s">
        <v>6182</v>
      </c>
      <c r="E5362" s="636">
        <v>9000</v>
      </c>
      <c r="F5362" s="749" t="s">
        <v>8243</v>
      </c>
      <c r="G5362" s="626" t="s">
        <v>10940</v>
      </c>
      <c r="H5362" s="626" t="s">
        <v>6182</v>
      </c>
      <c r="I5362" s="638" t="s">
        <v>6182</v>
      </c>
      <c r="J5362" s="626" t="s">
        <v>1913</v>
      </c>
      <c r="K5362" s="753"/>
      <c r="L5362" s="754"/>
      <c r="M5362" s="636">
        <f t="shared" si="71"/>
        <v>0</v>
      </c>
      <c r="N5362" s="637">
        <v>1</v>
      </c>
      <c r="O5362" s="662">
        <v>5</v>
      </c>
      <c r="P5362" s="643">
        <f t="shared" si="72"/>
        <v>45000</v>
      </c>
    </row>
    <row r="5363" spans="1:16" s="619" customFormat="1" ht="48" x14ac:dyDescent="0.2">
      <c r="A5363" s="626" t="s">
        <v>10134</v>
      </c>
      <c r="B5363" s="626" t="s">
        <v>10836</v>
      </c>
      <c r="C5363" s="638" t="s">
        <v>10837</v>
      </c>
      <c r="D5363" s="626" t="s">
        <v>6182</v>
      </c>
      <c r="E5363" s="636">
        <v>12900</v>
      </c>
      <c r="F5363" s="749" t="s">
        <v>10941</v>
      </c>
      <c r="G5363" s="626" t="s">
        <v>10942</v>
      </c>
      <c r="H5363" s="626" t="s">
        <v>6182</v>
      </c>
      <c r="I5363" s="638" t="s">
        <v>6182</v>
      </c>
      <c r="J5363" s="626" t="s">
        <v>1913</v>
      </c>
      <c r="K5363" s="753"/>
      <c r="L5363" s="754"/>
      <c r="M5363" s="636">
        <f t="shared" si="71"/>
        <v>0</v>
      </c>
      <c r="N5363" s="637">
        <v>1</v>
      </c>
      <c r="O5363" s="662">
        <v>3</v>
      </c>
      <c r="P5363" s="643">
        <f t="shared" si="72"/>
        <v>38700</v>
      </c>
    </row>
    <row r="5364" spans="1:16" s="619" customFormat="1" ht="48" x14ac:dyDescent="0.2">
      <c r="A5364" s="626" t="s">
        <v>10134</v>
      </c>
      <c r="B5364" s="626" t="s">
        <v>10836</v>
      </c>
      <c r="C5364" s="638" t="s">
        <v>10837</v>
      </c>
      <c r="D5364" s="626" t="s">
        <v>10882</v>
      </c>
      <c r="E5364" s="636">
        <v>6000</v>
      </c>
      <c r="F5364" s="749" t="s">
        <v>10943</v>
      </c>
      <c r="G5364" s="626" t="s">
        <v>10944</v>
      </c>
      <c r="H5364" s="626" t="s">
        <v>10882</v>
      </c>
      <c r="I5364" s="638" t="s">
        <v>10882</v>
      </c>
      <c r="J5364" s="626" t="s">
        <v>1913</v>
      </c>
      <c r="K5364" s="753"/>
      <c r="L5364" s="754"/>
      <c r="M5364" s="636">
        <f t="shared" si="71"/>
        <v>0</v>
      </c>
      <c r="N5364" s="637">
        <v>1</v>
      </c>
      <c r="O5364" s="662">
        <v>0</v>
      </c>
      <c r="P5364" s="643">
        <f t="shared" si="72"/>
        <v>0</v>
      </c>
    </row>
    <row r="5365" spans="1:16" s="619" customFormat="1" ht="48" x14ac:dyDescent="0.2">
      <c r="A5365" s="626" t="s">
        <v>10134</v>
      </c>
      <c r="B5365" s="626" t="s">
        <v>10836</v>
      </c>
      <c r="C5365" s="638" t="s">
        <v>10837</v>
      </c>
      <c r="D5365" s="626" t="s">
        <v>10877</v>
      </c>
      <c r="E5365" s="636">
        <v>3300</v>
      </c>
      <c r="F5365" s="749" t="s">
        <v>10945</v>
      </c>
      <c r="G5365" s="626" t="s">
        <v>10946</v>
      </c>
      <c r="H5365" s="626" t="s">
        <v>10877</v>
      </c>
      <c r="I5365" s="638" t="s">
        <v>10877</v>
      </c>
      <c r="J5365" s="626" t="s">
        <v>1931</v>
      </c>
      <c r="K5365" s="753"/>
      <c r="L5365" s="754"/>
      <c r="M5365" s="636">
        <f t="shared" si="71"/>
        <v>0</v>
      </c>
      <c r="N5365" s="637">
        <v>1</v>
      </c>
      <c r="O5365" s="662">
        <v>2</v>
      </c>
      <c r="P5365" s="643">
        <f t="shared" si="72"/>
        <v>6600</v>
      </c>
    </row>
    <row r="5366" spans="1:16" s="619" customFormat="1" ht="48" x14ac:dyDescent="0.2">
      <c r="A5366" s="626" t="s">
        <v>10134</v>
      </c>
      <c r="B5366" s="626" t="s">
        <v>10836</v>
      </c>
      <c r="C5366" s="638" t="s">
        <v>10837</v>
      </c>
      <c r="D5366" s="626" t="s">
        <v>6182</v>
      </c>
      <c r="E5366" s="636">
        <v>9000</v>
      </c>
      <c r="F5366" s="749" t="s">
        <v>10947</v>
      </c>
      <c r="G5366" s="626" t="s">
        <v>10948</v>
      </c>
      <c r="H5366" s="626" t="s">
        <v>6182</v>
      </c>
      <c r="I5366" s="638" t="s">
        <v>6182</v>
      </c>
      <c r="J5366" s="626" t="s">
        <v>1913</v>
      </c>
      <c r="K5366" s="753"/>
      <c r="L5366" s="754"/>
      <c r="M5366" s="636">
        <f t="shared" si="71"/>
        <v>0</v>
      </c>
      <c r="N5366" s="637">
        <v>1</v>
      </c>
      <c r="O5366" s="662">
        <v>6</v>
      </c>
      <c r="P5366" s="643">
        <f t="shared" si="72"/>
        <v>54000</v>
      </c>
    </row>
    <row r="5367" spans="1:16" s="619" customFormat="1" ht="48" x14ac:dyDescent="0.2">
      <c r="A5367" s="626" t="s">
        <v>10134</v>
      </c>
      <c r="B5367" s="626" t="s">
        <v>10836</v>
      </c>
      <c r="C5367" s="638" t="s">
        <v>10837</v>
      </c>
      <c r="D5367" s="626" t="s">
        <v>10872</v>
      </c>
      <c r="E5367" s="636">
        <v>6000</v>
      </c>
      <c r="F5367" s="749">
        <v>45010530</v>
      </c>
      <c r="G5367" s="626" t="s">
        <v>10949</v>
      </c>
      <c r="H5367" s="626" t="s">
        <v>10872</v>
      </c>
      <c r="I5367" s="638" t="s">
        <v>10872</v>
      </c>
      <c r="J5367" s="626" t="s">
        <v>1913</v>
      </c>
      <c r="K5367" s="753"/>
      <c r="L5367" s="754"/>
      <c r="M5367" s="636">
        <f t="shared" si="71"/>
        <v>0</v>
      </c>
      <c r="N5367" s="637">
        <v>1</v>
      </c>
      <c r="O5367" s="662">
        <v>1</v>
      </c>
      <c r="P5367" s="643">
        <f t="shared" si="72"/>
        <v>6000</v>
      </c>
    </row>
    <row r="5368" spans="1:16" s="619" customFormat="1" ht="48" x14ac:dyDescent="0.2">
      <c r="A5368" s="626" t="s">
        <v>10134</v>
      </c>
      <c r="B5368" s="626" t="s">
        <v>10836</v>
      </c>
      <c r="C5368" s="638" t="s">
        <v>10837</v>
      </c>
      <c r="D5368" s="626" t="s">
        <v>10872</v>
      </c>
      <c r="E5368" s="636">
        <v>6000</v>
      </c>
      <c r="F5368" s="749" t="s">
        <v>10950</v>
      </c>
      <c r="G5368" s="626" t="s">
        <v>10951</v>
      </c>
      <c r="H5368" s="626" t="s">
        <v>10872</v>
      </c>
      <c r="I5368" s="638" t="s">
        <v>10872</v>
      </c>
      <c r="J5368" s="626" t="s">
        <v>1913</v>
      </c>
      <c r="K5368" s="753"/>
      <c r="L5368" s="754"/>
      <c r="M5368" s="636">
        <f t="shared" si="71"/>
        <v>0</v>
      </c>
      <c r="N5368" s="637"/>
      <c r="O5368" s="662"/>
      <c r="P5368" s="643">
        <f t="shared" si="72"/>
        <v>0</v>
      </c>
    </row>
    <row r="5369" spans="1:16" s="619" customFormat="1" ht="48" x14ac:dyDescent="0.2">
      <c r="A5369" s="626" t="s">
        <v>10134</v>
      </c>
      <c r="B5369" s="626" t="s">
        <v>10836</v>
      </c>
      <c r="C5369" s="638" t="s">
        <v>10837</v>
      </c>
      <c r="D5369" s="626" t="s">
        <v>10877</v>
      </c>
      <c r="E5369" s="636">
        <v>3300</v>
      </c>
      <c r="F5369" s="749" t="s">
        <v>10952</v>
      </c>
      <c r="G5369" s="626" t="s">
        <v>10953</v>
      </c>
      <c r="H5369" s="626" t="s">
        <v>10877</v>
      </c>
      <c r="I5369" s="638" t="s">
        <v>10877</v>
      </c>
      <c r="J5369" s="626" t="s">
        <v>1931</v>
      </c>
      <c r="K5369" s="753"/>
      <c r="L5369" s="754"/>
      <c r="M5369" s="636">
        <f t="shared" si="71"/>
        <v>0</v>
      </c>
      <c r="N5369" s="637">
        <v>1</v>
      </c>
      <c r="O5369" s="662">
        <v>3</v>
      </c>
      <c r="P5369" s="643">
        <f t="shared" si="72"/>
        <v>9900</v>
      </c>
    </row>
    <row r="5370" spans="1:16" s="619" customFormat="1" ht="48" x14ac:dyDescent="0.2">
      <c r="A5370" s="626" t="s">
        <v>10134</v>
      </c>
      <c r="B5370" s="626" t="s">
        <v>10836</v>
      </c>
      <c r="C5370" s="638" t="s">
        <v>10837</v>
      </c>
      <c r="D5370" s="626" t="s">
        <v>10882</v>
      </c>
      <c r="E5370" s="636">
        <v>6000</v>
      </c>
      <c r="F5370" s="749">
        <v>47339594</v>
      </c>
      <c r="G5370" s="626" t="s">
        <v>10954</v>
      </c>
      <c r="H5370" s="626" t="s">
        <v>10882</v>
      </c>
      <c r="I5370" s="638" t="s">
        <v>10882</v>
      </c>
      <c r="J5370" s="626" t="s">
        <v>1913</v>
      </c>
      <c r="K5370" s="753"/>
      <c r="L5370" s="754"/>
      <c r="M5370" s="636">
        <f t="shared" si="71"/>
        <v>0</v>
      </c>
      <c r="N5370" s="637">
        <v>1</v>
      </c>
      <c r="O5370" s="662">
        <v>4</v>
      </c>
      <c r="P5370" s="643">
        <f t="shared" si="72"/>
        <v>24000</v>
      </c>
    </row>
    <row r="5371" spans="1:16" s="619" customFormat="1" ht="48" x14ac:dyDescent="0.2">
      <c r="A5371" s="626" t="s">
        <v>10134</v>
      </c>
      <c r="B5371" s="626" t="s">
        <v>10836</v>
      </c>
      <c r="C5371" s="638" t="s">
        <v>10837</v>
      </c>
      <c r="D5371" s="626" t="s">
        <v>6152</v>
      </c>
      <c r="E5371" s="636">
        <v>6000</v>
      </c>
      <c r="F5371" s="749" t="s">
        <v>10955</v>
      </c>
      <c r="G5371" s="626" t="s">
        <v>10956</v>
      </c>
      <c r="H5371" s="626" t="s">
        <v>6152</v>
      </c>
      <c r="I5371" s="638" t="s">
        <v>6152</v>
      </c>
      <c r="J5371" s="626" t="s">
        <v>1913</v>
      </c>
      <c r="K5371" s="753"/>
      <c r="L5371" s="754"/>
      <c r="M5371" s="636">
        <f t="shared" si="71"/>
        <v>0</v>
      </c>
      <c r="N5371" s="637">
        <v>1</v>
      </c>
      <c r="O5371" s="662">
        <v>2</v>
      </c>
      <c r="P5371" s="643">
        <f t="shared" si="72"/>
        <v>12000</v>
      </c>
    </row>
    <row r="5372" spans="1:16" s="619" customFormat="1" ht="48" x14ac:dyDescent="0.2">
      <c r="A5372" s="626" t="s">
        <v>10134</v>
      </c>
      <c r="B5372" s="626" t="s">
        <v>10836</v>
      </c>
      <c r="C5372" s="638" t="s">
        <v>10837</v>
      </c>
      <c r="D5372" s="626" t="s">
        <v>6182</v>
      </c>
      <c r="E5372" s="636">
        <v>9000</v>
      </c>
      <c r="F5372" s="749">
        <v>43388019</v>
      </c>
      <c r="G5372" s="626" t="s">
        <v>10957</v>
      </c>
      <c r="H5372" s="626" t="s">
        <v>6182</v>
      </c>
      <c r="I5372" s="638" t="s">
        <v>6182</v>
      </c>
      <c r="J5372" s="626" t="s">
        <v>1913</v>
      </c>
      <c r="K5372" s="753"/>
      <c r="L5372" s="754"/>
      <c r="M5372" s="636">
        <f t="shared" si="71"/>
        <v>0</v>
      </c>
      <c r="N5372" s="637">
        <v>1</v>
      </c>
      <c r="O5372" s="662">
        <v>0</v>
      </c>
      <c r="P5372" s="643">
        <f t="shared" si="72"/>
        <v>0</v>
      </c>
    </row>
    <row r="5373" spans="1:16" s="619" customFormat="1" ht="48" x14ac:dyDescent="0.2">
      <c r="A5373" s="626" t="s">
        <v>10134</v>
      </c>
      <c r="B5373" s="626" t="s">
        <v>10836</v>
      </c>
      <c r="C5373" s="638" t="s">
        <v>10837</v>
      </c>
      <c r="D5373" s="626" t="s">
        <v>10877</v>
      </c>
      <c r="E5373" s="636">
        <v>3300</v>
      </c>
      <c r="F5373" s="749" t="s">
        <v>10958</v>
      </c>
      <c r="G5373" s="626" t="s">
        <v>10959</v>
      </c>
      <c r="H5373" s="626" t="s">
        <v>10877</v>
      </c>
      <c r="I5373" s="638" t="s">
        <v>10877</v>
      </c>
      <c r="J5373" s="626" t="s">
        <v>1931</v>
      </c>
      <c r="K5373" s="753"/>
      <c r="L5373" s="754"/>
      <c r="M5373" s="636">
        <f t="shared" si="71"/>
        <v>0</v>
      </c>
      <c r="N5373" s="637">
        <v>1</v>
      </c>
      <c r="O5373" s="662">
        <v>0</v>
      </c>
      <c r="P5373" s="643">
        <f t="shared" si="72"/>
        <v>0</v>
      </c>
    </row>
    <row r="5374" spans="1:16" s="619" customFormat="1" ht="48" x14ac:dyDescent="0.2">
      <c r="A5374" s="626" t="s">
        <v>10134</v>
      </c>
      <c r="B5374" s="626" t="s">
        <v>10836</v>
      </c>
      <c r="C5374" s="638" t="s">
        <v>10837</v>
      </c>
      <c r="D5374" s="626" t="s">
        <v>10877</v>
      </c>
      <c r="E5374" s="636">
        <v>3300</v>
      </c>
      <c r="F5374" s="749" t="s">
        <v>10960</v>
      </c>
      <c r="G5374" s="626" t="s">
        <v>10961</v>
      </c>
      <c r="H5374" s="626" t="s">
        <v>10877</v>
      </c>
      <c r="I5374" s="638" t="s">
        <v>10877</v>
      </c>
      <c r="J5374" s="626" t="s">
        <v>1931</v>
      </c>
      <c r="K5374" s="753"/>
      <c r="L5374" s="754"/>
      <c r="M5374" s="636">
        <f t="shared" si="71"/>
        <v>0</v>
      </c>
      <c r="N5374" s="637">
        <v>1</v>
      </c>
      <c r="O5374" s="662">
        <v>1</v>
      </c>
      <c r="P5374" s="643">
        <f t="shared" si="72"/>
        <v>3300</v>
      </c>
    </row>
    <row r="5375" spans="1:16" s="619" customFormat="1" ht="48" x14ac:dyDescent="0.2">
      <c r="A5375" s="626" t="s">
        <v>10134</v>
      </c>
      <c r="B5375" s="626" t="s">
        <v>10836</v>
      </c>
      <c r="C5375" s="638" t="s">
        <v>10837</v>
      </c>
      <c r="D5375" s="626" t="s">
        <v>10872</v>
      </c>
      <c r="E5375" s="636">
        <v>6000</v>
      </c>
      <c r="F5375" s="749" t="s">
        <v>10962</v>
      </c>
      <c r="G5375" s="626" t="s">
        <v>10963</v>
      </c>
      <c r="H5375" s="626" t="s">
        <v>10872</v>
      </c>
      <c r="I5375" s="638" t="s">
        <v>10872</v>
      </c>
      <c r="J5375" s="626" t="s">
        <v>1913</v>
      </c>
      <c r="K5375" s="753"/>
      <c r="L5375" s="754"/>
      <c r="M5375" s="636">
        <f t="shared" si="71"/>
        <v>0</v>
      </c>
      <c r="N5375" s="637">
        <v>1</v>
      </c>
      <c r="O5375" s="662">
        <v>2</v>
      </c>
      <c r="P5375" s="643">
        <f t="shared" si="72"/>
        <v>12000</v>
      </c>
    </row>
    <row r="5376" spans="1:16" s="619" customFormat="1" ht="48" x14ac:dyDescent="0.2">
      <c r="A5376" s="626" t="s">
        <v>10134</v>
      </c>
      <c r="B5376" s="626" t="s">
        <v>10836</v>
      </c>
      <c r="C5376" s="638" t="s">
        <v>10837</v>
      </c>
      <c r="D5376" s="626" t="s">
        <v>10877</v>
      </c>
      <c r="E5376" s="636">
        <v>3300</v>
      </c>
      <c r="F5376" s="749" t="s">
        <v>10964</v>
      </c>
      <c r="G5376" s="626" t="s">
        <v>10965</v>
      </c>
      <c r="H5376" s="626" t="s">
        <v>10877</v>
      </c>
      <c r="I5376" s="638" t="s">
        <v>10877</v>
      </c>
      <c r="J5376" s="626" t="s">
        <v>1931</v>
      </c>
      <c r="K5376" s="753"/>
      <c r="L5376" s="754"/>
      <c r="M5376" s="636">
        <f t="shared" si="71"/>
        <v>0</v>
      </c>
      <c r="N5376" s="637">
        <v>1</v>
      </c>
      <c r="O5376" s="662">
        <v>2</v>
      </c>
      <c r="P5376" s="643">
        <f t="shared" si="72"/>
        <v>6600</v>
      </c>
    </row>
    <row r="5377" spans="1:16" s="619" customFormat="1" ht="48" x14ac:dyDescent="0.2">
      <c r="A5377" s="626" t="s">
        <v>10134</v>
      </c>
      <c r="B5377" s="626" t="s">
        <v>10836</v>
      </c>
      <c r="C5377" s="638" t="s">
        <v>10837</v>
      </c>
      <c r="D5377" s="626" t="s">
        <v>10872</v>
      </c>
      <c r="E5377" s="636">
        <v>6000</v>
      </c>
      <c r="F5377" s="749" t="s">
        <v>10966</v>
      </c>
      <c r="G5377" s="626" t="s">
        <v>10967</v>
      </c>
      <c r="H5377" s="626" t="s">
        <v>10872</v>
      </c>
      <c r="I5377" s="638" t="s">
        <v>10872</v>
      </c>
      <c r="J5377" s="626" t="s">
        <v>1913</v>
      </c>
      <c r="K5377" s="753"/>
      <c r="L5377" s="754"/>
      <c r="M5377" s="636">
        <f t="shared" si="71"/>
        <v>0</v>
      </c>
      <c r="N5377" s="637">
        <v>1</v>
      </c>
      <c r="O5377" s="662">
        <v>1</v>
      </c>
      <c r="P5377" s="643">
        <f t="shared" si="72"/>
        <v>6000</v>
      </c>
    </row>
    <row r="5378" spans="1:16" s="619" customFormat="1" ht="48" x14ac:dyDescent="0.2">
      <c r="A5378" s="626" t="s">
        <v>10134</v>
      </c>
      <c r="B5378" s="626" t="s">
        <v>10836</v>
      </c>
      <c r="C5378" s="638" t="s">
        <v>10837</v>
      </c>
      <c r="D5378" s="626" t="s">
        <v>8662</v>
      </c>
      <c r="E5378" s="636">
        <v>3300</v>
      </c>
      <c r="F5378" s="749" t="s">
        <v>7725</v>
      </c>
      <c r="G5378" s="626" t="s">
        <v>7726</v>
      </c>
      <c r="H5378" s="626" t="s">
        <v>8662</v>
      </c>
      <c r="I5378" s="638" t="s">
        <v>8662</v>
      </c>
      <c r="J5378" s="626" t="s">
        <v>1931</v>
      </c>
      <c r="K5378" s="753"/>
      <c r="L5378" s="754"/>
      <c r="M5378" s="636">
        <f t="shared" si="71"/>
        <v>0</v>
      </c>
      <c r="N5378" s="637">
        <v>1</v>
      </c>
      <c r="O5378" s="662">
        <v>2</v>
      </c>
      <c r="P5378" s="643">
        <f t="shared" si="72"/>
        <v>6600</v>
      </c>
    </row>
    <row r="5379" spans="1:16" s="619" customFormat="1" ht="48" x14ac:dyDescent="0.2">
      <c r="A5379" s="626" t="s">
        <v>10134</v>
      </c>
      <c r="B5379" s="626" t="s">
        <v>10836</v>
      </c>
      <c r="C5379" s="638" t="s">
        <v>10837</v>
      </c>
      <c r="D5379" s="626" t="s">
        <v>10882</v>
      </c>
      <c r="E5379" s="636">
        <v>6000</v>
      </c>
      <c r="F5379" s="749" t="s">
        <v>10968</v>
      </c>
      <c r="G5379" s="626" t="s">
        <v>10969</v>
      </c>
      <c r="H5379" s="626" t="s">
        <v>10882</v>
      </c>
      <c r="I5379" s="638" t="s">
        <v>10882</v>
      </c>
      <c r="J5379" s="626" t="s">
        <v>1913</v>
      </c>
      <c r="K5379" s="753"/>
      <c r="L5379" s="754"/>
      <c r="M5379" s="636">
        <f t="shared" si="71"/>
        <v>0</v>
      </c>
      <c r="N5379" s="637">
        <v>1</v>
      </c>
      <c r="O5379" s="662">
        <v>1</v>
      </c>
      <c r="P5379" s="643">
        <f t="shared" si="72"/>
        <v>6000</v>
      </c>
    </row>
    <row r="5380" spans="1:16" s="619" customFormat="1" ht="48" x14ac:dyDescent="0.2">
      <c r="A5380" s="626" t="s">
        <v>10134</v>
      </c>
      <c r="B5380" s="626" t="s">
        <v>10836</v>
      </c>
      <c r="C5380" s="638" t="s">
        <v>10837</v>
      </c>
      <c r="D5380" s="626" t="s">
        <v>10877</v>
      </c>
      <c r="E5380" s="636">
        <v>3300</v>
      </c>
      <c r="F5380" s="749" t="s">
        <v>10970</v>
      </c>
      <c r="G5380" s="626" t="s">
        <v>10971</v>
      </c>
      <c r="H5380" s="626" t="s">
        <v>10877</v>
      </c>
      <c r="I5380" s="638" t="s">
        <v>10877</v>
      </c>
      <c r="J5380" s="626" t="s">
        <v>1931</v>
      </c>
      <c r="K5380" s="753"/>
      <c r="L5380" s="754"/>
      <c r="M5380" s="636">
        <f t="shared" si="71"/>
        <v>0</v>
      </c>
      <c r="N5380" s="637">
        <v>1</v>
      </c>
      <c r="O5380" s="662">
        <v>2</v>
      </c>
      <c r="P5380" s="643">
        <f t="shared" si="72"/>
        <v>6600</v>
      </c>
    </row>
    <row r="5381" spans="1:16" s="619" customFormat="1" ht="48" x14ac:dyDescent="0.2">
      <c r="A5381" s="626" t="s">
        <v>10134</v>
      </c>
      <c r="B5381" s="626" t="s">
        <v>10836</v>
      </c>
      <c r="C5381" s="638" t="s">
        <v>10837</v>
      </c>
      <c r="D5381" s="626" t="s">
        <v>10877</v>
      </c>
      <c r="E5381" s="636">
        <v>3300</v>
      </c>
      <c r="F5381" s="749" t="s">
        <v>10972</v>
      </c>
      <c r="G5381" s="626" t="s">
        <v>10973</v>
      </c>
      <c r="H5381" s="626" t="s">
        <v>10877</v>
      </c>
      <c r="I5381" s="638" t="s">
        <v>10877</v>
      </c>
      <c r="J5381" s="626" t="s">
        <v>1931</v>
      </c>
      <c r="K5381" s="753"/>
      <c r="L5381" s="754"/>
      <c r="M5381" s="636">
        <f t="shared" si="71"/>
        <v>0</v>
      </c>
      <c r="N5381" s="637">
        <v>1</v>
      </c>
      <c r="O5381" s="662">
        <v>2</v>
      </c>
      <c r="P5381" s="643">
        <f t="shared" si="72"/>
        <v>6600</v>
      </c>
    </row>
    <row r="5382" spans="1:16" s="619" customFormat="1" ht="48" x14ac:dyDescent="0.2">
      <c r="A5382" s="626" t="s">
        <v>10134</v>
      </c>
      <c r="B5382" s="626" t="s">
        <v>10836</v>
      </c>
      <c r="C5382" s="638" t="s">
        <v>10837</v>
      </c>
      <c r="D5382" s="626" t="s">
        <v>10872</v>
      </c>
      <c r="E5382" s="636">
        <v>6000</v>
      </c>
      <c r="F5382" s="749" t="s">
        <v>10974</v>
      </c>
      <c r="G5382" s="626" t="s">
        <v>10975</v>
      </c>
      <c r="H5382" s="626" t="s">
        <v>10872</v>
      </c>
      <c r="I5382" s="638" t="s">
        <v>10872</v>
      </c>
      <c r="J5382" s="626" t="s">
        <v>1913</v>
      </c>
      <c r="K5382" s="753"/>
      <c r="L5382" s="754"/>
      <c r="M5382" s="636">
        <f t="shared" si="71"/>
        <v>0</v>
      </c>
      <c r="N5382" s="637">
        <v>1</v>
      </c>
      <c r="O5382" s="662">
        <v>1</v>
      </c>
      <c r="P5382" s="643">
        <f t="shared" si="72"/>
        <v>6000</v>
      </c>
    </row>
    <row r="5383" spans="1:16" s="619" customFormat="1" ht="48" x14ac:dyDescent="0.2">
      <c r="A5383" s="626" t="s">
        <v>10134</v>
      </c>
      <c r="B5383" s="626" t="s">
        <v>10836</v>
      </c>
      <c r="C5383" s="638" t="s">
        <v>10837</v>
      </c>
      <c r="D5383" s="626" t="s">
        <v>6182</v>
      </c>
      <c r="E5383" s="636">
        <v>9000</v>
      </c>
      <c r="F5383" s="749" t="s">
        <v>10976</v>
      </c>
      <c r="G5383" s="626" t="s">
        <v>10977</v>
      </c>
      <c r="H5383" s="626" t="s">
        <v>6182</v>
      </c>
      <c r="I5383" s="638" t="s">
        <v>6182</v>
      </c>
      <c r="J5383" s="626" t="s">
        <v>1913</v>
      </c>
      <c r="K5383" s="753"/>
      <c r="L5383" s="754"/>
      <c r="M5383" s="636">
        <f t="shared" si="71"/>
        <v>0</v>
      </c>
      <c r="N5383" s="637">
        <v>1</v>
      </c>
      <c r="O5383" s="662">
        <v>3</v>
      </c>
      <c r="P5383" s="643">
        <f t="shared" si="72"/>
        <v>27000</v>
      </c>
    </row>
    <row r="5384" spans="1:16" s="619" customFormat="1" ht="48" x14ac:dyDescent="0.2">
      <c r="A5384" s="626" t="s">
        <v>10134</v>
      </c>
      <c r="B5384" s="626" t="s">
        <v>10836</v>
      </c>
      <c r="C5384" s="638" t="s">
        <v>10837</v>
      </c>
      <c r="D5384" s="626" t="s">
        <v>6152</v>
      </c>
      <c r="E5384" s="636">
        <v>6000</v>
      </c>
      <c r="F5384" s="749" t="s">
        <v>10978</v>
      </c>
      <c r="G5384" s="626" t="s">
        <v>10979</v>
      </c>
      <c r="H5384" s="626" t="s">
        <v>6152</v>
      </c>
      <c r="I5384" s="638" t="s">
        <v>6152</v>
      </c>
      <c r="J5384" s="626" t="s">
        <v>1913</v>
      </c>
      <c r="K5384" s="753"/>
      <c r="L5384" s="754"/>
      <c r="M5384" s="636">
        <f t="shared" si="71"/>
        <v>0</v>
      </c>
      <c r="N5384" s="637">
        <v>1</v>
      </c>
      <c r="O5384" s="662">
        <v>2</v>
      </c>
      <c r="P5384" s="643">
        <f t="shared" si="72"/>
        <v>12000</v>
      </c>
    </row>
    <row r="5385" spans="1:16" s="619" customFormat="1" ht="48" x14ac:dyDescent="0.2">
      <c r="A5385" s="626" t="s">
        <v>10134</v>
      </c>
      <c r="B5385" s="626" t="s">
        <v>10836</v>
      </c>
      <c r="C5385" s="638" t="s">
        <v>10837</v>
      </c>
      <c r="D5385" s="626" t="s">
        <v>10872</v>
      </c>
      <c r="E5385" s="636">
        <v>6000</v>
      </c>
      <c r="F5385" s="749" t="s">
        <v>10980</v>
      </c>
      <c r="G5385" s="626" t="s">
        <v>10981</v>
      </c>
      <c r="H5385" s="626" t="s">
        <v>10872</v>
      </c>
      <c r="I5385" s="638" t="s">
        <v>10872</v>
      </c>
      <c r="J5385" s="626" t="s">
        <v>1913</v>
      </c>
      <c r="K5385" s="753"/>
      <c r="L5385" s="754"/>
      <c r="M5385" s="636">
        <f t="shared" si="71"/>
        <v>0</v>
      </c>
      <c r="N5385" s="637">
        <v>1</v>
      </c>
      <c r="O5385" s="662">
        <v>1</v>
      </c>
      <c r="P5385" s="643">
        <f t="shared" si="72"/>
        <v>6000</v>
      </c>
    </row>
    <row r="5386" spans="1:16" s="619" customFormat="1" ht="48" x14ac:dyDescent="0.2">
      <c r="A5386" s="626" t="s">
        <v>10134</v>
      </c>
      <c r="B5386" s="626" t="s">
        <v>10836</v>
      </c>
      <c r="C5386" s="638" t="s">
        <v>10837</v>
      </c>
      <c r="D5386" s="626" t="s">
        <v>6152</v>
      </c>
      <c r="E5386" s="636">
        <v>6000</v>
      </c>
      <c r="F5386" s="749" t="s">
        <v>10982</v>
      </c>
      <c r="G5386" s="626" t="s">
        <v>10983</v>
      </c>
      <c r="H5386" s="626" t="s">
        <v>6152</v>
      </c>
      <c r="I5386" s="638" t="s">
        <v>6152</v>
      </c>
      <c r="J5386" s="626" t="s">
        <v>1913</v>
      </c>
      <c r="K5386" s="753"/>
      <c r="L5386" s="754"/>
      <c r="M5386" s="636">
        <f t="shared" ref="M5386:M5403" si="73">E5386*L5386</f>
        <v>0</v>
      </c>
      <c r="N5386" s="637">
        <v>1</v>
      </c>
      <c r="O5386" s="662">
        <v>0</v>
      </c>
      <c r="P5386" s="643">
        <f t="shared" si="72"/>
        <v>0</v>
      </c>
    </row>
    <row r="5387" spans="1:16" s="619" customFormat="1" ht="48" x14ac:dyDescent="0.2">
      <c r="A5387" s="626" t="s">
        <v>10134</v>
      </c>
      <c r="B5387" s="626" t="s">
        <v>10836</v>
      </c>
      <c r="C5387" s="638" t="s">
        <v>10837</v>
      </c>
      <c r="D5387" s="626" t="s">
        <v>10882</v>
      </c>
      <c r="E5387" s="636">
        <v>6000</v>
      </c>
      <c r="F5387" s="749" t="s">
        <v>10984</v>
      </c>
      <c r="G5387" s="626" t="s">
        <v>10985</v>
      </c>
      <c r="H5387" s="626" t="s">
        <v>10882</v>
      </c>
      <c r="I5387" s="638" t="s">
        <v>10882</v>
      </c>
      <c r="J5387" s="626" t="s">
        <v>1913</v>
      </c>
      <c r="K5387" s="753"/>
      <c r="L5387" s="754"/>
      <c r="M5387" s="636">
        <f t="shared" si="73"/>
        <v>0</v>
      </c>
      <c r="N5387" s="637">
        <v>1</v>
      </c>
      <c r="O5387" s="662">
        <v>1</v>
      </c>
      <c r="P5387" s="643">
        <f t="shared" ref="P5387:P5409" si="74">E5387*O5387</f>
        <v>6000</v>
      </c>
    </row>
    <row r="5388" spans="1:16" s="619" customFormat="1" ht="48" x14ac:dyDescent="0.2">
      <c r="A5388" s="626" t="s">
        <v>10134</v>
      </c>
      <c r="B5388" s="626" t="s">
        <v>10836</v>
      </c>
      <c r="C5388" s="638" t="s">
        <v>10837</v>
      </c>
      <c r="D5388" s="626" t="s">
        <v>6182</v>
      </c>
      <c r="E5388" s="636">
        <v>9000</v>
      </c>
      <c r="F5388" s="749" t="s">
        <v>10986</v>
      </c>
      <c r="G5388" s="626" t="s">
        <v>10987</v>
      </c>
      <c r="H5388" s="626" t="s">
        <v>6182</v>
      </c>
      <c r="I5388" s="638" t="s">
        <v>6182</v>
      </c>
      <c r="J5388" s="626" t="s">
        <v>1913</v>
      </c>
      <c r="K5388" s="753"/>
      <c r="L5388" s="754"/>
      <c r="M5388" s="636">
        <f t="shared" si="73"/>
        <v>0</v>
      </c>
      <c r="N5388" s="637">
        <v>1</v>
      </c>
      <c r="O5388" s="662">
        <v>0</v>
      </c>
      <c r="P5388" s="643">
        <f t="shared" si="74"/>
        <v>0</v>
      </c>
    </row>
    <row r="5389" spans="1:16" s="619" customFormat="1" ht="48" x14ac:dyDescent="0.2">
      <c r="A5389" s="626" t="s">
        <v>10134</v>
      </c>
      <c r="B5389" s="626" t="s">
        <v>10836</v>
      </c>
      <c r="C5389" s="638" t="s">
        <v>10837</v>
      </c>
      <c r="D5389" s="626" t="s">
        <v>10877</v>
      </c>
      <c r="E5389" s="636">
        <v>3300</v>
      </c>
      <c r="F5389" s="749" t="s">
        <v>10988</v>
      </c>
      <c r="G5389" s="626" t="s">
        <v>10989</v>
      </c>
      <c r="H5389" s="626" t="s">
        <v>10877</v>
      </c>
      <c r="I5389" s="638" t="s">
        <v>10877</v>
      </c>
      <c r="J5389" s="626" t="s">
        <v>1931</v>
      </c>
      <c r="K5389" s="753"/>
      <c r="L5389" s="754"/>
      <c r="M5389" s="636">
        <f t="shared" si="73"/>
        <v>0</v>
      </c>
      <c r="N5389" s="637">
        <v>1</v>
      </c>
      <c r="O5389" s="662">
        <v>2</v>
      </c>
      <c r="P5389" s="643">
        <f t="shared" si="74"/>
        <v>6600</v>
      </c>
    </row>
    <row r="5390" spans="1:16" s="619" customFormat="1" ht="48" x14ac:dyDescent="0.2">
      <c r="A5390" s="626" t="s">
        <v>10134</v>
      </c>
      <c r="B5390" s="626" t="s">
        <v>10836</v>
      </c>
      <c r="C5390" s="638" t="s">
        <v>10837</v>
      </c>
      <c r="D5390" s="626" t="s">
        <v>10877</v>
      </c>
      <c r="E5390" s="636">
        <v>3300</v>
      </c>
      <c r="F5390" s="749" t="s">
        <v>10990</v>
      </c>
      <c r="G5390" s="626" t="s">
        <v>10991</v>
      </c>
      <c r="H5390" s="626" t="s">
        <v>10877</v>
      </c>
      <c r="I5390" s="638" t="s">
        <v>10877</v>
      </c>
      <c r="J5390" s="626" t="s">
        <v>1931</v>
      </c>
      <c r="K5390" s="753"/>
      <c r="L5390" s="754"/>
      <c r="M5390" s="636">
        <f t="shared" si="73"/>
        <v>0</v>
      </c>
      <c r="N5390" s="637">
        <v>1</v>
      </c>
      <c r="O5390" s="662">
        <v>0</v>
      </c>
      <c r="P5390" s="643">
        <f t="shared" si="74"/>
        <v>0</v>
      </c>
    </row>
    <row r="5391" spans="1:16" s="619" customFormat="1" ht="48" x14ac:dyDescent="0.2">
      <c r="A5391" s="626" t="s">
        <v>10134</v>
      </c>
      <c r="B5391" s="626" t="s">
        <v>10836</v>
      </c>
      <c r="C5391" s="638" t="s">
        <v>10992</v>
      </c>
      <c r="D5391" s="626" t="s">
        <v>10158</v>
      </c>
      <c r="E5391" s="636">
        <v>7000</v>
      </c>
      <c r="F5391" s="749" t="s">
        <v>10993</v>
      </c>
      <c r="G5391" s="626" t="s">
        <v>10994</v>
      </c>
      <c r="H5391" s="626" t="s">
        <v>2764</v>
      </c>
      <c r="I5391" s="638" t="s">
        <v>2764</v>
      </c>
      <c r="J5391" s="626" t="s">
        <v>1913</v>
      </c>
      <c r="K5391" s="662">
        <v>1</v>
      </c>
      <c r="L5391" s="637">
        <v>5</v>
      </c>
      <c r="M5391" s="636">
        <f t="shared" si="73"/>
        <v>35000</v>
      </c>
      <c r="N5391" s="637"/>
      <c r="O5391" s="662"/>
      <c r="P5391" s="643">
        <f t="shared" si="74"/>
        <v>0</v>
      </c>
    </row>
    <row r="5392" spans="1:16" s="619" customFormat="1" ht="48" x14ac:dyDescent="0.2">
      <c r="A5392" s="626" t="s">
        <v>10134</v>
      </c>
      <c r="B5392" s="626" t="s">
        <v>10836</v>
      </c>
      <c r="C5392" s="638" t="s">
        <v>10992</v>
      </c>
      <c r="D5392" s="626" t="s">
        <v>10158</v>
      </c>
      <c r="E5392" s="636">
        <v>7000</v>
      </c>
      <c r="F5392" s="749" t="s">
        <v>10995</v>
      </c>
      <c r="G5392" s="626" t="s">
        <v>10996</v>
      </c>
      <c r="H5392" s="626" t="s">
        <v>2764</v>
      </c>
      <c r="I5392" s="638" t="s">
        <v>2764</v>
      </c>
      <c r="J5392" s="626" t="s">
        <v>1913</v>
      </c>
      <c r="K5392" s="662">
        <v>1</v>
      </c>
      <c r="L5392" s="637">
        <v>5</v>
      </c>
      <c r="M5392" s="636">
        <f t="shared" si="73"/>
        <v>35000</v>
      </c>
      <c r="N5392" s="637"/>
      <c r="O5392" s="662"/>
      <c r="P5392" s="643">
        <f t="shared" si="74"/>
        <v>0</v>
      </c>
    </row>
    <row r="5393" spans="1:16" s="619" customFormat="1" ht="48" x14ac:dyDescent="0.2">
      <c r="A5393" s="626" t="s">
        <v>10134</v>
      </c>
      <c r="B5393" s="626" t="s">
        <v>10836</v>
      </c>
      <c r="C5393" s="638" t="s">
        <v>10992</v>
      </c>
      <c r="D5393" s="626" t="s">
        <v>2660</v>
      </c>
      <c r="E5393" s="636">
        <v>3100</v>
      </c>
      <c r="F5393" s="749" t="s">
        <v>10406</v>
      </c>
      <c r="G5393" s="626" t="s">
        <v>10407</v>
      </c>
      <c r="H5393" s="626" t="s">
        <v>2660</v>
      </c>
      <c r="I5393" s="638" t="s">
        <v>2660</v>
      </c>
      <c r="J5393" s="626" t="s">
        <v>1931</v>
      </c>
      <c r="K5393" s="662">
        <v>1</v>
      </c>
      <c r="L5393" s="637">
        <v>5</v>
      </c>
      <c r="M5393" s="636">
        <f t="shared" si="73"/>
        <v>15500</v>
      </c>
      <c r="N5393" s="637"/>
      <c r="O5393" s="662"/>
      <c r="P5393" s="643">
        <f t="shared" si="74"/>
        <v>0</v>
      </c>
    </row>
    <row r="5394" spans="1:16" s="619" customFormat="1" ht="48" x14ac:dyDescent="0.2">
      <c r="A5394" s="626" t="s">
        <v>10134</v>
      </c>
      <c r="B5394" s="626" t="s">
        <v>10836</v>
      </c>
      <c r="C5394" s="638" t="s">
        <v>10992</v>
      </c>
      <c r="D5394" s="626" t="s">
        <v>6026</v>
      </c>
      <c r="E5394" s="636">
        <v>2600</v>
      </c>
      <c r="F5394" s="749" t="s">
        <v>10490</v>
      </c>
      <c r="G5394" s="626" t="s">
        <v>10491</v>
      </c>
      <c r="H5394" s="626" t="s">
        <v>1919</v>
      </c>
      <c r="I5394" s="638" t="s">
        <v>1919</v>
      </c>
      <c r="J5394" s="626" t="s">
        <v>10192</v>
      </c>
      <c r="K5394" s="662">
        <v>1</v>
      </c>
      <c r="L5394" s="637">
        <v>5</v>
      </c>
      <c r="M5394" s="636">
        <f t="shared" si="73"/>
        <v>13000</v>
      </c>
      <c r="N5394" s="637"/>
      <c r="O5394" s="662"/>
      <c r="P5394" s="643">
        <f t="shared" si="74"/>
        <v>0</v>
      </c>
    </row>
    <row r="5395" spans="1:16" s="619" customFormat="1" ht="48" x14ac:dyDescent="0.2">
      <c r="A5395" s="626" t="s">
        <v>10134</v>
      </c>
      <c r="B5395" s="626" t="s">
        <v>10836</v>
      </c>
      <c r="C5395" s="638" t="s">
        <v>10992</v>
      </c>
      <c r="D5395" s="626" t="s">
        <v>6026</v>
      </c>
      <c r="E5395" s="636">
        <v>2600</v>
      </c>
      <c r="F5395" s="749" t="s">
        <v>10997</v>
      </c>
      <c r="G5395" s="626" t="s">
        <v>10998</v>
      </c>
      <c r="H5395" s="626" t="s">
        <v>1919</v>
      </c>
      <c r="I5395" s="638" t="s">
        <v>1919</v>
      </c>
      <c r="J5395" s="626" t="s">
        <v>10192</v>
      </c>
      <c r="K5395" s="662">
        <v>1</v>
      </c>
      <c r="L5395" s="637">
        <v>5</v>
      </c>
      <c r="M5395" s="636">
        <f t="shared" si="73"/>
        <v>13000</v>
      </c>
      <c r="N5395" s="637"/>
      <c r="O5395" s="662"/>
      <c r="P5395" s="643">
        <f t="shared" si="74"/>
        <v>0</v>
      </c>
    </row>
    <row r="5396" spans="1:16" s="619" customFormat="1" ht="48" x14ac:dyDescent="0.2">
      <c r="A5396" s="626" t="s">
        <v>10134</v>
      </c>
      <c r="B5396" s="626" t="s">
        <v>10836</v>
      </c>
      <c r="C5396" s="638" t="s">
        <v>10992</v>
      </c>
      <c r="D5396" s="626" t="s">
        <v>6179</v>
      </c>
      <c r="E5396" s="636">
        <v>13000</v>
      </c>
      <c r="F5396" s="749" t="s">
        <v>10999</v>
      </c>
      <c r="G5396" s="626" t="s">
        <v>11000</v>
      </c>
      <c r="H5396" s="626" t="s">
        <v>6182</v>
      </c>
      <c r="I5396" s="638" t="s">
        <v>6182</v>
      </c>
      <c r="J5396" s="626" t="s">
        <v>1913</v>
      </c>
      <c r="K5396" s="662">
        <v>1</v>
      </c>
      <c r="L5396" s="637">
        <v>5</v>
      </c>
      <c r="M5396" s="636">
        <f t="shared" si="73"/>
        <v>65000</v>
      </c>
      <c r="N5396" s="637"/>
      <c r="O5396" s="662"/>
      <c r="P5396" s="643">
        <f t="shared" si="74"/>
        <v>0</v>
      </c>
    </row>
    <row r="5397" spans="1:16" s="619" customFormat="1" ht="48" x14ac:dyDescent="0.2">
      <c r="A5397" s="626" t="s">
        <v>10134</v>
      </c>
      <c r="B5397" s="626" t="s">
        <v>10836</v>
      </c>
      <c r="C5397" s="638" t="s">
        <v>10992</v>
      </c>
      <c r="D5397" s="626" t="s">
        <v>6179</v>
      </c>
      <c r="E5397" s="636">
        <v>13000</v>
      </c>
      <c r="F5397" s="749" t="s">
        <v>10912</v>
      </c>
      <c r="G5397" s="626" t="s">
        <v>10913</v>
      </c>
      <c r="H5397" s="626" t="s">
        <v>6182</v>
      </c>
      <c r="I5397" s="638" t="s">
        <v>6182</v>
      </c>
      <c r="J5397" s="626" t="s">
        <v>1913</v>
      </c>
      <c r="K5397" s="662">
        <v>1</v>
      </c>
      <c r="L5397" s="637">
        <v>5</v>
      </c>
      <c r="M5397" s="636">
        <f t="shared" si="73"/>
        <v>65000</v>
      </c>
      <c r="N5397" s="637"/>
      <c r="O5397" s="662"/>
      <c r="P5397" s="643">
        <f t="shared" si="74"/>
        <v>0</v>
      </c>
    </row>
    <row r="5398" spans="1:16" s="619" customFormat="1" ht="48" x14ac:dyDescent="0.2">
      <c r="A5398" s="626" t="s">
        <v>10134</v>
      </c>
      <c r="B5398" s="626" t="s">
        <v>10836</v>
      </c>
      <c r="C5398" s="638" t="s">
        <v>10992</v>
      </c>
      <c r="D5398" s="626" t="s">
        <v>6179</v>
      </c>
      <c r="E5398" s="636">
        <v>13000</v>
      </c>
      <c r="F5398" s="749" t="s">
        <v>11001</v>
      </c>
      <c r="G5398" s="626" t="s">
        <v>11002</v>
      </c>
      <c r="H5398" s="626" t="s">
        <v>6182</v>
      </c>
      <c r="I5398" s="638" t="s">
        <v>6182</v>
      </c>
      <c r="J5398" s="626" t="s">
        <v>1913</v>
      </c>
      <c r="K5398" s="662">
        <v>1</v>
      </c>
      <c r="L5398" s="637">
        <v>5</v>
      </c>
      <c r="M5398" s="636">
        <f t="shared" si="73"/>
        <v>65000</v>
      </c>
      <c r="N5398" s="637"/>
      <c r="O5398" s="662"/>
      <c r="P5398" s="643">
        <f t="shared" si="74"/>
        <v>0</v>
      </c>
    </row>
    <row r="5399" spans="1:16" s="619" customFormat="1" ht="48" x14ac:dyDescent="0.2">
      <c r="A5399" s="626" t="s">
        <v>10134</v>
      </c>
      <c r="B5399" s="626" t="s">
        <v>10836</v>
      </c>
      <c r="C5399" s="638" t="s">
        <v>10992</v>
      </c>
      <c r="D5399" s="626" t="s">
        <v>6026</v>
      </c>
      <c r="E5399" s="636">
        <v>2600</v>
      </c>
      <c r="F5399" s="749" t="s">
        <v>8552</v>
      </c>
      <c r="G5399" s="626" t="s">
        <v>8553</v>
      </c>
      <c r="H5399" s="626" t="s">
        <v>11003</v>
      </c>
      <c r="I5399" s="638" t="s">
        <v>11003</v>
      </c>
      <c r="J5399" s="626" t="s">
        <v>10192</v>
      </c>
      <c r="K5399" s="662">
        <v>1</v>
      </c>
      <c r="L5399" s="637">
        <v>5</v>
      </c>
      <c r="M5399" s="636">
        <f t="shared" si="73"/>
        <v>13000</v>
      </c>
      <c r="N5399" s="637"/>
      <c r="O5399" s="662"/>
      <c r="P5399" s="643">
        <f t="shared" si="74"/>
        <v>0</v>
      </c>
    </row>
    <row r="5400" spans="1:16" s="619" customFormat="1" ht="48" x14ac:dyDescent="0.2">
      <c r="A5400" s="626" t="s">
        <v>10134</v>
      </c>
      <c r="B5400" s="626" t="s">
        <v>10836</v>
      </c>
      <c r="C5400" s="638" t="s">
        <v>10992</v>
      </c>
      <c r="D5400" s="626" t="s">
        <v>10158</v>
      </c>
      <c r="E5400" s="636">
        <v>7000</v>
      </c>
      <c r="F5400" s="749" t="s">
        <v>11004</v>
      </c>
      <c r="G5400" s="626" t="s">
        <v>11005</v>
      </c>
      <c r="H5400" s="626" t="s">
        <v>2764</v>
      </c>
      <c r="I5400" s="638" t="s">
        <v>2764</v>
      </c>
      <c r="J5400" s="626" t="s">
        <v>1913</v>
      </c>
      <c r="K5400" s="662">
        <v>1</v>
      </c>
      <c r="L5400" s="637">
        <v>5</v>
      </c>
      <c r="M5400" s="636">
        <f t="shared" si="73"/>
        <v>35000</v>
      </c>
      <c r="N5400" s="637"/>
      <c r="O5400" s="662"/>
      <c r="P5400" s="643">
        <f t="shared" si="74"/>
        <v>0</v>
      </c>
    </row>
    <row r="5401" spans="1:16" s="619" customFormat="1" ht="48" x14ac:dyDescent="0.2">
      <c r="A5401" s="626" t="s">
        <v>10134</v>
      </c>
      <c r="B5401" s="626" t="s">
        <v>10836</v>
      </c>
      <c r="C5401" s="638" t="s">
        <v>10992</v>
      </c>
      <c r="D5401" s="626" t="s">
        <v>6026</v>
      </c>
      <c r="E5401" s="636">
        <v>2600</v>
      </c>
      <c r="F5401" s="749" t="s">
        <v>11006</v>
      </c>
      <c r="G5401" s="626" t="s">
        <v>11007</v>
      </c>
      <c r="H5401" s="626" t="s">
        <v>1919</v>
      </c>
      <c r="I5401" s="638" t="s">
        <v>1919</v>
      </c>
      <c r="J5401" s="626" t="s">
        <v>10192</v>
      </c>
      <c r="K5401" s="662">
        <v>1</v>
      </c>
      <c r="L5401" s="637">
        <v>5</v>
      </c>
      <c r="M5401" s="636">
        <f t="shared" si="73"/>
        <v>13000</v>
      </c>
      <c r="N5401" s="637"/>
      <c r="O5401" s="662"/>
      <c r="P5401" s="643">
        <f t="shared" si="74"/>
        <v>0</v>
      </c>
    </row>
    <row r="5402" spans="1:16" s="619" customFormat="1" ht="48" x14ac:dyDescent="0.2">
      <c r="A5402" s="626" t="s">
        <v>10134</v>
      </c>
      <c r="B5402" s="626" t="s">
        <v>10836</v>
      </c>
      <c r="C5402" s="638" t="s">
        <v>10992</v>
      </c>
      <c r="D5402" s="626" t="s">
        <v>10158</v>
      </c>
      <c r="E5402" s="636">
        <v>7000</v>
      </c>
      <c r="F5402" s="749" t="s">
        <v>6306</v>
      </c>
      <c r="G5402" s="626" t="s">
        <v>6307</v>
      </c>
      <c r="H5402" s="626" t="s">
        <v>2764</v>
      </c>
      <c r="I5402" s="638" t="s">
        <v>2764</v>
      </c>
      <c r="J5402" s="626" t="s">
        <v>1913</v>
      </c>
      <c r="K5402" s="662">
        <v>1</v>
      </c>
      <c r="L5402" s="637">
        <v>5</v>
      </c>
      <c r="M5402" s="636">
        <f t="shared" si="73"/>
        <v>35000</v>
      </c>
      <c r="N5402" s="637"/>
      <c r="O5402" s="662"/>
      <c r="P5402" s="643">
        <f t="shared" si="74"/>
        <v>0</v>
      </c>
    </row>
    <row r="5403" spans="1:16" s="619" customFormat="1" ht="48" x14ac:dyDescent="0.2">
      <c r="A5403" s="626" t="s">
        <v>10134</v>
      </c>
      <c r="B5403" s="626" t="s">
        <v>10836</v>
      </c>
      <c r="C5403" s="638" t="s">
        <v>10992</v>
      </c>
      <c r="D5403" s="626" t="s">
        <v>6179</v>
      </c>
      <c r="E5403" s="636">
        <v>13000</v>
      </c>
      <c r="F5403" s="749" t="s">
        <v>6965</v>
      </c>
      <c r="G5403" s="626" t="s">
        <v>6966</v>
      </c>
      <c r="H5403" s="626" t="s">
        <v>6182</v>
      </c>
      <c r="I5403" s="638" t="s">
        <v>6182</v>
      </c>
      <c r="J5403" s="626" t="s">
        <v>1913</v>
      </c>
      <c r="K5403" s="662">
        <v>1</v>
      </c>
      <c r="L5403" s="637">
        <v>5</v>
      </c>
      <c r="M5403" s="636">
        <f t="shared" si="73"/>
        <v>65000</v>
      </c>
      <c r="N5403" s="637"/>
      <c r="O5403" s="662"/>
      <c r="P5403" s="643">
        <f t="shared" si="74"/>
        <v>0</v>
      </c>
    </row>
    <row r="5404" spans="1:16" s="619" customFormat="1" ht="72" x14ac:dyDescent="0.2">
      <c r="A5404" s="626" t="s">
        <v>10134</v>
      </c>
      <c r="B5404" s="626" t="s">
        <v>10836</v>
      </c>
      <c r="C5404" s="638" t="s">
        <v>11008</v>
      </c>
      <c r="D5404" s="626" t="s">
        <v>2660</v>
      </c>
      <c r="E5404" s="636">
        <v>4550</v>
      </c>
      <c r="F5404" s="749" t="s">
        <v>11009</v>
      </c>
      <c r="G5404" s="626" t="s">
        <v>11010</v>
      </c>
      <c r="H5404" s="626" t="s">
        <v>2660</v>
      </c>
      <c r="I5404" s="638" t="s">
        <v>2660</v>
      </c>
      <c r="J5404" s="626" t="s">
        <v>1931</v>
      </c>
      <c r="K5404" s="662"/>
      <c r="L5404" s="637"/>
      <c r="M5404" s="636"/>
      <c r="N5404" s="637">
        <v>1</v>
      </c>
      <c r="O5404" s="662">
        <v>0</v>
      </c>
      <c r="P5404" s="643">
        <f t="shared" si="74"/>
        <v>0</v>
      </c>
    </row>
    <row r="5405" spans="1:16" s="619" customFormat="1" ht="72" x14ac:dyDescent="0.2">
      <c r="A5405" s="626" t="s">
        <v>10134</v>
      </c>
      <c r="B5405" s="626" t="s">
        <v>10836</v>
      </c>
      <c r="C5405" s="638" t="s">
        <v>11008</v>
      </c>
      <c r="D5405" s="626" t="s">
        <v>10551</v>
      </c>
      <c r="E5405" s="636">
        <v>7550</v>
      </c>
      <c r="F5405" s="749" t="s">
        <v>11011</v>
      </c>
      <c r="G5405" s="626" t="s">
        <v>11012</v>
      </c>
      <c r="H5405" s="626" t="s">
        <v>10551</v>
      </c>
      <c r="I5405" s="638" t="s">
        <v>10551</v>
      </c>
      <c r="J5405" s="626" t="s">
        <v>1913</v>
      </c>
      <c r="K5405" s="662"/>
      <c r="L5405" s="637"/>
      <c r="M5405" s="636"/>
      <c r="N5405" s="637">
        <v>1</v>
      </c>
      <c r="O5405" s="662">
        <v>0</v>
      </c>
      <c r="P5405" s="643">
        <f t="shared" si="74"/>
        <v>0</v>
      </c>
    </row>
    <row r="5406" spans="1:16" s="619" customFormat="1" ht="72" x14ac:dyDescent="0.2">
      <c r="A5406" s="626" t="s">
        <v>10134</v>
      </c>
      <c r="B5406" s="626" t="s">
        <v>10836</v>
      </c>
      <c r="C5406" s="638" t="s">
        <v>11008</v>
      </c>
      <c r="D5406" s="626" t="s">
        <v>2660</v>
      </c>
      <c r="E5406" s="636">
        <v>4550</v>
      </c>
      <c r="F5406" s="749" t="s">
        <v>8024</v>
      </c>
      <c r="G5406" s="626" t="s">
        <v>8025</v>
      </c>
      <c r="H5406" s="626" t="s">
        <v>2660</v>
      </c>
      <c r="I5406" s="638" t="s">
        <v>2660</v>
      </c>
      <c r="J5406" s="626" t="s">
        <v>1931</v>
      </c>
      <c r="K5406" s="662"/>
      <c r="L5406" s="637"/>
      <c r="M5406" s="636"/>
      <c r="N5406" s="637">
        <v>1</v>
      </c>
      <c r="O5406" s="662">
        <v>0</v>
      </c>
      <c r="P5406" s="643">
        <f t="shared" si="74"/>
        <v>0</v>
      </c>
    </row>
    <row r="5407" spans="1:16" s="619" customFormat="1" ht="72" x14ac:dyDescent="0.2">
      <c r="A5407" s="626" t="s">
        <v>10134</v>
      </c>
      <c r="B5407" s="626" t="s">
        <v>10836</v>
      </c>
      <c r="C5407" s="638" t="s">
        <v>11008</v>
      </c>
      <c r="D5407" s="626" t="s">
        <v>10551</v>
      </c>
      <c r="E5407" s="636">
        <v>7550</v>
      </c>
      <c r="F5407" s="749" t="s">
        <v>7809</v>
      </c>
      <c r="G5407" s="626" t="s">
        <v>7810</v>
      </c>
      <c r="H5407" s="626" t="s">
        <v>10551</v>
      </c>
      <c r="I5407" s="638" t="s">
        <v>10551</v>
      </c>
      <c r="J5407" s="626" t="s">
        <v>1913</v>
      </c>
      <c r="K5407" s="662"/>
      <c r="L5407" s="637"/>
      <c r="M5407" s="636"/>
      <c r="N5407" s="637">
        <v>1</v>
      </c>
      <c r="O5407" s="662">
        <v>0</v>
      </c>
      <c r="P5407" s="643">
        <f t="shared" si="74"/>
        <v>0</v>
      </c>
    </row>
    <row r="5408" spans="1:16" s="619" customFormat="1" ht="72" x14ac:dyDescent="0.2">
      <c r="A5408" s="626" t="s">
        <v>10134</v>
      </c>
      <c r="B5408" s="626" t="s">
        <v>10836</v>
      </c>
      <c r="C5408" s="638" t="s">
        <v>11008</v>
      </c>
      <c r="D5408" s="626" t="s">
        <v>10551</v>
      </c>
      <c r="E5408" s="636">
        <v>7550</v>
      </c>
      <c r="F5408" s="749" t="s">
        <v>8478</v>
      </c>
      <c r="G5408" s="626" t="s">
        <v>8479</v>
      </c>
      <c r="H5408" s="626" t="s">
        <v>10551</v>
      </c>
      <c r="I5408" s="638" t="s">
        <v>10551</v>
      </c>
      <c r="J5408" s="626" t="s">
        <v>1913</v>
      </c>
      <c r="K5408" s="662"/>
      <c r="L5408" s="637"/>
      <c r="M5408" s="636"/>
      <c r="N5408" s="637">
        <v>1</v>
      </c>
      <c r="O5408" s="662">
        <v>0</v>
      </c>
      <c r="P5408" s="643">
        <f t="shared" si="74"/>
        <v>0</v>
      </c>
    </row>
    <row r="5409" spans="1:16" s="619" customFormat="1" ht="72.75" thickBot="1" x14ac:dyDescent="0.25">
      <c r="A5409" s="626" t="s">
        <v>10134</v>
      </c>
      <c r="B5409" s="626" t="s">
        <v>10836</v>
      </c>
      <c r="C5409" s="638" t="s">
        <v>11008</v>
      </c>
      <c r="D5409" s="626" t="s">
        <v>2660</v>
      </c>
      <c r="E5409" s="636">
        <v>4550</v>
      </c>
      <c r="F5409" s="749" t="s">
        <v>11013</v>
      </c>
      <c r="G5409" s="626" t="s">
        <v>11014</v>
      </c>
      <c r="H5409" s="657" t="s">
        <v>2660</v>
      </c>
      <c r="I5409" s="638" t="s">
        <v>2660</v>
      </c>
      <c r="J5409" s="657" t="s">
        <v>1931</v>
      </c>
      <c r="K5409" s="662"/>
      <c r="L5409" s="755"/>
      <c r="M5409" s="636"/>
      <c r="N5409" s="755">
        <v>1</v>
      </c>
      <c r="O5409" s="662">
        <v>0</v>
      </c>
      <c r="P5409" s="679">
        <f t="shared" si="74"/>
        <v>0</v>
      </c>
    </row>
    <row r="5410" spans="1:16" s="619" customFormat="1" ht="13.5" customHeight="1" thickBot="1" x14ac:dyDescent="0.25">
      <c r="A5410" s="1149" t="s">
        <v>1903</v>
      </c>
      <c r="B5410" s="1150"/>
      <c r="C5410" s="1150"/>
      <c r="D5410" s="1151"/>
      <c r="E5410" s="610">
        <f>SUM(E4992:E5409)</f>
        <v>1260250</v>
      </c>
      <c r="F5410" s="623"/>
      <c r="G5410" s="109"/>
      <c r="H5410" s="176"/>
      <c r="I5410" s="109"/>
      <c r="J5410" s="109"/>
      <c r="K5410" s="623"/>
      <c r="L5410" s="109"/>
      <c r="M5410" s="610">
        <f>SUM(M4992:M5409)</f>
        <v>6412000</v>
      </c>
      <c r="N5410" s="623"/>
      <c r="O5410" s="623"/>
      <c r="P5410" s="756">
        <f>SUM(P4992:P5409)</f>
        <v>4173500</v>
      </c>
    </row>
    <row r="5411" spans="1:16" s="761" customFormat="1" ht="16.5" thickBot="1" x14ac:dyDescent="0.25">
      <c r="A5411" s="1158" t="s">
        <v>1904</v>
      </c>
      <c r="B5411" s="1159"/>
      <c r="C5411" s="1159"/>
      <c r="D5411" s="1160"/>
      <c r="E5411" s="757">
        <f>SUM(E1137+E1231+E1459+E1539+E1563+E1635+E2369+E2458+E2502+E2655+E2692+E3500+E4205+E4423+E4675+E4991+E5410)</f>
        <v>12172771.346666666</v>
      </c>
      <c r="F5411" s="758"/>
      <c r="G5411" s="759"/>
      <c r="H5411" s="759"/>
      <c r="I5411" s="759"/>
      <c r="J5411" s="759"/>
      <c r="K5411" s="760"/>
      <c r="L5411" s="760"/>
      <c r="M5411" s="757">
        <f>SUM(M1137+M1231+M1459+M1539+M1563+M1635+M2369+M2458+M2502+M2655+M2692+M3500+M4205+M4423+M4675+M4991+M5410)</f>
        <v>45144826.079999998</v>
      </c>
      <c r="N5411" s="759"/>
      <c r="O5411" s="759"/>
      <c r="P5411" s="757">
        <f>SUM(P1137+P1231+P1459+P1539+P1563+P1635+P2369+P2458+P2502+P2655+P2692+P3500+P4205+P4423+P4675+P4991+P5410)</f>
        <v>39065878.660000004</v>
      </c>
    </row>
  </sheetData>
  <autoFilter ref="A5:P5411" xr:uid="{9AB09441-89E0-4FFA-B48A-116B42EE30DD}"/>
  <mergeCells count="22">
    <mergeCell ref="A5410:D5410"/>
    <mergeCell ref="A5411:D5411"/>
    <mergeCell ref="A2692:D2692"/>
    <mergeCell ref="A3500:D3500"/>
    <mergeCell ref="A4205:D4205"/>
    <mergeCell ref="A4423:D4423"/>
    <mergeCell ref="A4675:D4675"/>
    <mergeCell ref="A2369:D2369"/>
    <mergeCell ref="A2458:D2458"/>
    <mergeCell ref="A2502:D2502"/>
    <mergeCell ref="A2655:D2655"/>
    <mergeCell ref="A4991:D4991"/>
    <mergeCell ref="A1231:D1231"/>
    <mergeCell ref="A1459:D1459"/>
    <mergeCell ref="A1539:D1539"/>
    <mergeCell ref="A1563:D1563"/>
    <mergeCell ref="A1635:D1635"/>
    <mergeCell ref="K4:M4"/>
    <mergeCell ref="N4:P4"/>
    <mergeCell ref="A4:E4"/>
    <mergeCell ref="F4:J4"/>
    <mergeCell ref="A1137:D1137"/>
  </mergeCells>
  <conditionalFormatting sqref="F2373">
    <cfRule type="duplicateValues" dxfId="8" priority="8"/>
  </conditionalFormatting>
  <conditionalFormatting sqref="F2374">
    <cfRule type="duplicateValues" dxfId="7" priority="7"/>
  </conditionalFormatting>
  <conditionalFormatting sqref="F2378">
    <cfRule type="duplicateValues" dxfId="6" priority="6"/>
  </conditionalFormatting>
  <conditionalFormatting sqref="F2379">
    <cfRule type="duplicateValues" dxfId="5" priority="5"/>
  </conditionalFormatting>
  <conditionalFormatting sqref="F2380">
    <cfRule type="duplicateValues" dxfId="4" priority="4"/>
  </conditionalFormatting>
  <conditionalFormatting sqref="F2381">
    <cfRule type="duplicateValues" dxfId="3" priority="3"/>
  </conditionalFormatting>
  <conditionalFormatting sqref="F2401">
    <cfRule type="duplicateValues" dxfId="2" priority="2"/>
  </conditionalFormatting>
  <conditionalFormatting sqref="F2403">
    <cfRule type="duplicateValues" dxfId="1" priority="1"/>
  </conditionalFormatting>
  <conditionalFormatting sqref="F2405 F2408 F2411 F2414 F2417 F2420 F2423 F2426 F2429 F2432 F2435 F2438 F2441 F2444 F2447 F2450 F2453 F2456">
    <cfRule type="duplicateValues" dxfId="0" priority="9"/>
  </conditionalFormatting>
  <printOptions horizontalCentered="1"/>
  <pageMargins left="0.23622047244094491" right="0.23622047244094491" top="0.74803149606299213" bottom="0.74803149606299213" header="0.31496062992125984" footer="0.31496062992125984"/>
  <pageSetup paperSize="9" scale="51" fitToHeight="0" orientation="landscape" r:id="rId1"/>
  <headerFooter alignWithMargins="0">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pageSetUpPr fitToPage="1"/>
  </sheetPr>
  <dimension ref="A1:S82"/>
  <sheetViews>
    <sheetView topLeftCell="A49" zoomScaleNormal="100" zoomScaleSheetLayoutView="100" zoomScalePageLayoutView="55" workbookViewId="0">
      <selection activeCell="C85" sqref="C85"/>
    </sheetView>
  </sheetViews>
  <sheetFormatPr baseColWidth="10" defaultColWidth="11.42578125" defaultRowHeight="12" x14ac:dyDescent="0.2"/>
  <cols>
    <col min="1" max="1" width="28.5703125" style="50" customWidth="1"/>
    <col min="2" max="2" width="33.28515625" style="50" customWidth="1"/>
    <col min="3" max="3" width="35.28515625" style="50" customWidth="1"/>
    <col min="4" max="4" width="16.42578125" style="50" customWidth="1"/>
    <col min="5" max="5" width="16.5703125" style="50" customWidth="1"/>
    <col min="6" max="6" width="14.42578125" style="50" customWidth="1"/>
    <col min="7" max="7" width="9" style="24" customWidth="1"/>
    <col min="8" max="8" width="6.7109375" style="24" customWidth="1"/>
    <col min="9" max="9" width="6.7109375" style="50" customWidth="1"/>
    <col min="10" max="10" width="24.85546875" style="50" customWidth="1"/>
    <col min="11" max="11" width="13.85546875" style="50" customWidth="1"/>
    <col min="12" max="12" width="25.42578125" style="50" customWidth="1"/>
    <col min="13" max="13" width="15.42578125" style="50" customWidth="1"/>
    <col min="14" max="14" width="16" style="50" customWidth="1"/>
    <col min="15" max="16384" width="11.42578125" style="50"/>
  </cols>
  <sheetData>
    <row r="1" spans="1:19" s="4" customFormat="1" x14ac:dyDescent="0.2">
      <c r="A1" s="4" t="s">
        <v>451</v>
      </c>
    </row>
    <row r="2" spans="1:19" x14ac:dyDescent="0.2">
      <c r="A2" s="230" t="s">
        <v>11139</v>
      </c>
      <c r="B2" s="230"/>
      <c r="C2" s="230"/>
      <c r="D2" s="230"/>
      <c r="E2" s="230"/>
      <c r="F2" s="230"/>
      <c r="G2" s="230"/>
      <c r="H2" s="230"/>
      <c r="I2" s="230"/>
      <c r="J2" s="230"/>
      <c r="K2" s="230"/>
      <c r="L2" s="230"/>
      <c r="M2" s="230"/>
      <c r="N2" s="230"/>
      <c r="O2" s="230"/>
      <c r="P2" s="230"/>
      <c r="Q2" s="230"/>
      <c r="R2" s="230"/>
      <c r="S2" s="230"/>
    </row>
    <row r="3" spans="1:19" ht="12.75" thickBot="1" x14ac:dyDescent="0.25"/>
    <row r="4" spans="1:19" s="28" customFormat="1" ht="12.75" customHeight="1" thickBot="1" x14ac:dyDescent="0.25">
      <c r="A4" s="1149" t="s">
        <v>337</v>
      </c>
      <c r="B4" s="1151"/>
      <c r="C4" s="1150" t="s">
        <v>338</v>
      </c>
      <c r="D4" s="1150"/>
      <c r="E4" s="1152" t="s">
        <v>341</v>
      </c>
      <c r="F4" s="1153"/>
      <c r="G4" s="1153"/>
      <c r="H4" s="1153"/>
      <c r="I4" s="1155"/>
      <c r="J4" s="1150" t="s">
        <v>342</v>
      </c>
      <c r="K4" s="1150"/>
      <c r="L4" s="1151"/>
      <c r="M4" s="1090" t="s">
        <v>485</v>
      </c>
      <c r="N4" s="1157" t="s">
        <v>478</v>
      </c>
    </row>
    <row r="5" spans="1:19" s="29" customFormat="1" ht="86.25" customHeight="1" x14ac:dyDescent="0.2">
      <c r="A5" s="778" t="s">
        <v>106</v>
      </c>
      <c r="B5" s="806" t="s">
        <v>107</v>
      </c>
      <c r="C5" s="779" t="s">
        <v>340</v>
      </c>
      <c r="D5" s="780" t="s">
        <v>339</v>
      </c>
      <c r="E5" s="778" t="s">
        <v>345</v>
      </c>
      <c r="F5" s="781" t="s">
        <v>346</v>
      </c>
      <c r="G5" s="782" t="s">
        <v>347</v>
      </c>
      <c r="H5" s="782" t="s">
        <v>348</v>
      </c>
      <c r="I5" s="783" t="s">
        <v>31</v>
      </c>
      <c r="J5" s="778" t="s">
        <v>343</v>
      </c>
      <c r="K5" s="779" t="s">
        <v>344</v>
      </c>
      <c r="L5" s="814" t="s">
        <v>349</v>
      </c>
      <c r="M5" s="1091"/>
      <c r="N5" s="1161"/>
    </row>
    <row r="6" spans="1:19" x14ac:dyDescent="0.2">
      <c r="A6" s="946" t="s">
        <v>11015</v>
      </c>
      <c r="B6" s="784" t="s">
        <v>11016</v>
      </c>
      <c r="C6" s="784" t="s">
        <v>11017</v>
      </c>
      <c r="D6" s="808">
        <v>10334301244</v>
      </c>
      <c r="E6" s="785" t="s">
        <v>11018</v>
      </c>
      <c r="F6" s="785"/>
      <c r="G6" s="784"/>
      <c r="H6" s="784"/>
      <c r="I6" s="784"/>
      <c r="J6" s="785" t="s">
        <v>3775</v>
      </c>
      <c r="K6" s="786">
        <v>2865</v>
      </c>
      <c r="L6" s="785" t="s">
        <v>11019</v>
      </c>
      <c r="M6" s="786">
        <v>34380</v>
      </c>
      <c r="N6" s="947"/>
    </row>
    <row r="7" spans="1:19" x14ac:dyDescent="0.2">
      <c r="A7" s="946" t="s">
        <v>11015</v>
      </c>
      <c r="B7" s="784" t="s">
        <v>11016</v>
      </c>
      <c r="C7" s="784" t="s">
        <v>11017</v>
      </c>
      <c r="D7" s="808">
        <v>10334301244</v>
      </c>
      <c r="E7" s="785" t="s">
        <v>11018</v>
      </c>
      <c r="F7" s="785"/>
      <c r="G7" s="784"/>
      <c r="H7" s="785"/>
      <c r="I7" s="785"/>
      <c r="J7" s="785" t="s">
        <v>11020</v>
      </c>
      <c r="K7" s="786">
        <v>3000</v>
      </c>
      <c r="L7" s="785" t="s">
        <v>11019</v>
      </c>
      <c r="M7" s="786"/>
      <c r="N7" s="947">
        <v>18000</v>
      </c>
    </row>
    <row r="8" spans="1:19" x14ac:dyDescent="0.2">
      <c r="A8" s="946" t="s">
        <v>11015</v>
      </c>
      <c r="B8" s="784" t="s">
        <v>11016</v>
      </c>
      <c r="C8" s="784" t="s">
        <v>11021</v>
      </c>
      <c r="D8" s="785">
        <v>10070749128</v>
      </c>
      <c r="E8" s="785" t="s">
        <v>11018</v>
      </c>
      <c r="F8" s="785"/>
      <c r="G8" s="785"/>
      <c r="H8" s="785"/>
      <c r="I8" s="785"/>
      <c r="J8" s="785"/>
      <c r="K8" s="786">
        <v>2500</v>
      </c>
      <c r="L8" s="785" t="s">
        <v>11019</v>
      </c>
      <c r="M8" s="786"/>
      <c r="N8" s="947"/>
    </row>
    <row r="9" spans="1:19" x14ac:dyDescent="0.2">
      <c r="A9" s="946" t="s">
        <v>11015</v>
      </c>
      <c r="B9" s="784" t="s">
        <v>11016</v>
      </c>
      <c r="C9" s="784" t="s">
        <v>11021</v>
      </c>
      <c r="D9" s="785">
        <v>10070749128</v>
      </c>
      <c r="E9" s="785" t="s">
        <v>11018</v>
      </c>
      <c r="F9" s="785"/>
      <c r="G9" s="785"/>
      <c r="H9" s="785"/>
      <c r="I9" s="785"/>
      <c r="J9" s="785" t="s">
        <v>11022</v>
      </c>
      <c r="K9" s="786">
        <v>2500</v>
      </c>
      <c r="L9" s="785" t="s">
        <v>11019</v>
      </c>
      <c r="M9" s="786"/>
      <c r="N9" s="947">
        <v>15000</v>
      </c>
    </row>
    <row r="10" spans="1:19" x14ac:dyDescent="0.2">
      <c r="A10" s="946" t="s">
        <v>11015</v>
      </c>
      <c r="B10" s="784" t="s">
        <v>11016</v>
      </c>
      <c r="C10" s="784" t="s">
        <v>11023</v>
      </c>
      <c r="D10" s="785">
        <v>10334184949</v>
      </c>
      <c r="E10" s="785" t="s">
        <v>11018</v>
      </c>
      <c r="F10" s="785"/>
      <c r="G10" s="785"/>
      <c r="H10" s="785"/>
      <c r="I10" s="785"/>
      <c r="J10" s="785"/>
      <c r="K10" s="786">
        <v>3150</v>
      </c>
      <c r="L10" s="785" t="s">
        <v>11019</v>
      </c>
      <c r="M10" s="786">
        <v>37800</v>
      </c>
      <c r="N10" s="947"/>
    </row>
    <row r="11" spans="1:19" x14ac:dyDescent="0.2">
      <c r="A11" s="946" t="s">
        <v>11015</v>
      </c>
      <c r="B11" s="784" t="s">
        <v>11016</v>
      </c>
      <c r="C11" s="784" t="s">
        <v>11023</v>
      </c>
      <c r="D11" s="785">
        <v>10334184949</v>
      </c>
      <c r="E11" s="785" t="s">
        <v>11018</v>
      </c>
      <c r="F11" s="785"/>
      <c r="G11" s="785"/>
      <c r="H11" s="785"/>
      <c r="I11" s="785"/>
      <c r="J11" s="785" t="s">
        <v>11024</v>
      </c>
      <c r="K11" s="786">
        <v>3150</v>
      </c>
      <c r="L11" s="785" t="s">
        <v>11019</v>
      </c>
      <c r="M11" s="786"/>
      <c r="N11" s="947"/>
    </row>
    <row r="12" spans="1:19" x14ac:dyDescent="0.2">
      <c r="A12" s="946" t="s">
        <v>11015</v>
      </c>
      <c r="B12" s="784" t="s">
        <v>11016</v>
      </c>
      <c r="C12" s="784" t="s">
        <v>11025</v>
      </c>
      <c r="D12" s="785">
        <v>10076215842</v>
      </c>
      <c r="E12" s="785" t="s">
        <v>11018</v>
      </c>
      <c r="F12" s="785"/>
      <c r="G12" s="785"/>
      <c r="H12" s="785"/>
      <c r="I12" s="785"/>
      <c r="J12" s="785"/>
      <c r="K12" s="786">
        <v>2500</v>
      </c>
      <c r="L12" s="785" t="s">
        <v>11019</v>
      </c>
      <c r="M12" s="786">
        <v>30000</v>
      </c>
      <c r="N12" s="947"/>
    </row>
    <row r="13" spans="1:19" x14ac:dyDescent="0.2">
      <c r="A13" s="946" t="s">
        <v>11015</v>
      </c>
      <c r="B13" s="784" t="s">
        <v>11016</v>
      </c>
      <c r="C13" s="784" t="s">
        <v>11025</v>
      </c>
      <c r="D13" s="785">
        <v>10076215842</v>
      </c>
      <c r="E13" s="785" t="s">
        <v>11018</v>
      </c>
      <c r="F13" s="785"/>
      <c r="G13" s="785"/>
      <c r="H13" s="785"/>
      <c r="I13" s="785"/>
      <c r="J13" s="785" t="s">
        <v>11026</v>
      </c>
      <c r="K13" s="786">
        <v>2500</v>
      </c>
      <c r="L13" s="785" t="s">
        <v>11019</v>
      </c>
      <c r="M13" s="786"/>
      <c r="N13" s="947">
        <v>7500</v>
      </c>
    </row>
    <row r="14" spans="1:19" x14ac:dyDescent="0.2">
      <c r="A14" s="946" t="s">
        <v>11015</v>
      </c>
      <c r="B14" s="784" t="s">
        <v>11016</v>
      </c>
      <c r="C14" s="784" t="s">
        <v>11027</v>
      </c>
      <c r="D14" s="785">
        <v>1033401541</v>
      </c>
      <c r="E14" s="785" t="s">
        <v>11018</v>
      </c>
      <c r="F14" s="785"/>
      <c r="G14" s="785"/>
      <c r="H14" s="785"/>
      <c r="I14" s="785"/>
      <c r="J14" s="787" t="s">
        <v>3815</v>
      </c>
      <c r="K14" s="786">
        <v>2800</v>
      </c>
      <c r="L14" s="785" t="s">
        <v>11019</v>
      </c>
      <c r="M14" s="786"/>
      <c r="N14" s="947">
        <v>16800</v>
      </c>
    </row>
    <row r="15" spans="1:19" ht="15" x14ac:dyDescent="0.25">
      <c r="A15" s="946" t="s">
        <v>11015</v>
      </c>
      <c r="B15" s="784" t="s">
        <v>11016</v>
      </c>
      <c r="C15" s="788" t="s">
        <v>11028</v>
      </c>
      <c r="D15" s="785">
        <v>10334011475</v>
      </c>
      <c r="E15" s="785" t="s">
        <v>11018</v>
      </c>
      <c r="F15" s="785"/>
      <c r="G15" s="785"/>
      <c r="H15" s="785"/>
      <c r="I15" s="785"/>
      <c r="J15" s="785"/>
      <c r="K15" s="786">
        <v>2000</v>
      </c>
      <c r="L15" s="785" t="s">
        <v>11019</v>
      </c>
      <c r="M15" s="786">
        <v>26000</v>
      </c>
      <c r="N15" s="947"/>
    </row>
    <row r="16" spans="1:19" ht="15" x14ac:dyDescent="0.25">
      <c r="A16" s="946" t="s">
        <v>11015</v>
      </c>
      <c r="B16" s="784" t="s">
        <v>11016</v>
      </c>
      <c r="C16" s="788" t="s">
        <v>11028</v>
      </c>
      <c r="D16" s="785">
        <v>10334011475</v>
      </c>
      <c r="E16" s="785" t="s">
        <v>11018</v>
      </c>
      <c r="F16" s="785"/>
      <c r="G16" s="785"/>
      <c r="H16" s="785"/>
      <c r="I16" s="785"/>
      <c r="J16" s="785" t="s">
        <v>3815</v>
      </c>
      <c r="K16" s="786">
        <v>2200</v>
      </c>
      <c r="L16" s="785" t="s">
        <v>11019</v>
      </c>
      <c r="M16" s="786"/>
      <c r="N16" s="947">
        <v>13200</v>
      </c>
    </row>
    <row r="17" spans="1:14" x14ac:dyDescent="0.2">
      <c r="A17" s="946" t="s">
        <v>11015</v>
      </c>
      <c r="B17" s="784" t="s">
        <v>11016</v>
      </c>
      <c r="C17" s="784" t="s">
        <v>11029</v>
      </c>
      <c r="D17" s="785">
        <v>42737669</v>
      </c>
      <c r="E17" s="785" t="s">
        <v>11018</v>
      </c>
      <c r="F17" s="785"/>
      <c r="G17" s="785"/>
      <c r="H17" s="785"/>
      <c r="I17" s="785"/>
      <c r="J17" s="785"/>
      <c r="K17" s="786">
        <v>3675</v>
      </c>
      <c r="L17" s="785" t="s">
        <v>11019</v>
      </c>
      <c r="M17" s="786">
        <v>49300</v>
      </c>
      <c r="N17" s="947"/>
    </row>
    <row r="18" spans="1:14" x14ac:dyDescent="0.2">
      <c r="A18" s="946" t="s">
        <v>11015</v>
      </c>
      <c r="B18" s="784" t="s">
        <v>11016</v>
      </c>
      <c r="C18" s="784" t="s">
        <v>11029</v>
      </c>
      <c r="D18" s="785">
        <v>42737669</v>
      </c>
      <c r="E18" s="785" t="s">
        <v>11018</v>
      </c>
      <c r="F18" s="785"/>
      <c r="G18" s="785"/>
      <c r="H18" s="785"/>
      <c r="I18" s="785"/>
      <c r="J18" s="785"/>
      <c r="K18" s="786">
        <v>3675</v>
      </c>
      <c r="L18" s="785" t="s">
        <v>11019</v>
      </c>
      <c r="M18" s="786"/>
      <c r="N18" s="947">
        <v>22050</v>
      </c>
    </row>
    <row r="19" spans="1:14" x14ac:dyDescent="0.2">
      <c r="A19" s="946"/>
      <c r="B19" s="784"/>
      <c r="C19" s="784"/>
      <c r="D19" s="785"/>
      <c r="E19" s="785"/>
      <c r="F19" s="785"/>
      <c r="G19" s="785"/>
      <c r="H19" s="785"/>
      <c r="I19" s="785"/>
      <c r="J19" s="785"/>
      <c r="K19" s="785"/>
      <c r="L19" s="785"/>
      <c r="M19" s="786"/>
      <c r="N19" s="947"/>
    </row>
    <row r="20" spans="1:14" x14ac:dyDescent="0.2">
      <c r="A20" s="946" t="s">
        <v>11015</v>
      </c>
      <c r="B20" s="784" t="s">
        <v>11030</v>
      </c>
      <c r="C20" s="784" t="s">
        <v>11031</v>
      </c>
      <c r="D20" s="785">
        <v>10263919</v>
      </c>
      <c r="E20" s="785" t="s">
        <v>10132</v>
      </c>
      <c r="F20" s="785"/>
      <c r="G20" s="785" t="s">
        <v>11032</v>
      </c>
      <c r="H20" s="785"/>
      <c r="I20" s="785"/>
      <c r="J20" s="785" t="s">
        <v>11033</v>
      </c>
      <c r="K20" s="786">
        <v>1500</v>
      </c>
      <c r="L20" s="785" t="s">
        <v>11034</v>
      </c>
      <c r="M20" s="786">
        <v>18000</v>
      </c>
      <c r="N20" s="947"/>
    </row>
    <row r="21" spans="1:14" x14ac:dyDescent="0.2">
      <c r="A21" s="946" t="s">
        <v>11015</v>
      </c>
      <c r="B21" s="784" t="s">
        <v>11035</v>
      </c>
      <c r="C21" s="784" t="s">
        <v>11031</v>
      </c>
      <c r="D21" s="785">
        <v>10263919</v>
      </c>
      <c r="E21" s="785" t="s">
        <v>10132</v>
      </c>
      <c r="F21" s="785"/>
      <c r="G21" s="785" t="s">
        <v>11032</v>
      </c>
      <c r="H21" s="785"/>
      <c r="I21" s="785"/>
      <c r="J21" s="785" t="s">
        <v>11036</v>
      </c>
      <c r="K21" s="786">
        <v>1500</v>
      </c>
      <c r="L21" s="785" t="s">
        <v>11034</v>
      </c>
      <c r="M21" s="786"/>
      <c r="N21" s="947">
        <v>9000</v>
      </c>
    </row>
    <row r="22" spans="1:14" x14ac:dyDescent="0.2">
      <c r="A22" s="948"/>
      <c r="B22" s="784"/>
      <c r="C22" s="365"/>
      <c r="D22" s="790"/>
      <c r="E22" s="790"/>
      <c r="F22" s="785"/>
      <c r="G22" s="790"/>
      <c r="H22" s="785"/>
      <c r="I22" s="785"/>
      <c r="J22" s="790"/>
      <c r="K22" s="786"/>
      <c r="L22" s="789"/>
      <c r="M22" s="786"/>
      <c r="N22" s="947"/>
    </row>
    <row r="23" spans="1:14" x14ac:dyDescent="0.2">
      <c r="A23" s="946" t="s">
        <v>11015</v>
      </c>
      <c r="B23" s="784" t="s">
        <v>11037</v>
      </c>
      <c r="C23" s="784" t="s">
        <v>11038</v>
      </c>
      <c r="D23" s="785">
        <v>33678790</v>
      </c>
      <c r="E23" s="785" t="s">
        <v>11039</v>
      </c>
      <c r="F23" s="785" t="s">
        <v>11040</v>
      </c>
      <c r="G23" s="785" t="s">
        <v>11041</v>
      </c>
      <c r="H23" s="785" t="s">
        <v>11042</v>
      </c>
      <c r="I23" s="785"/>
      <c r="J23" s="785" t="s">
        <v>11043</v>
      </c>
      <c r="K23" s="786">
        <v>6500</v>
      </c>
      <c r="L23" s="785" t="s">
        <v>11019</v>
      </c>
      <c r="M23" s="786">
        <v>78000</v>
      </c>
      <c r="N23" s="947">
        <v>39000</v>
      </c>
    </row>
    <row r="24" spans="1:14" x14ac:dyDescent="0.2">
      <c r="A24" s="946" t="s">
        <v>11015</v>
      </c>
      <c r="B24" s="784" t="s">
        <v>11037</v>
      </c>
      <c r="C24" s="784" t="s">
        <v>11044</v>
      </c>
      <c r="D24" s="785">
        <v>33672475</v>
      </c>
      <c r="E24" s="791" t="s">
        <v>11045</v>
      </c>
      <c r="F24" s="785"/>
      <c r="G24" s="785" t="s">
        <v>11041</v>
      </c>
      <c r="H24" s="785" t="s">
        <v>1550</v>
      </c>
      <c r="I24" s="785"/>
      <c r="J24" s="785" t="s">
        <v>11046</v>
      </c>
      <c r="K24" s="786">
        <v>2000</v>
      </c>
      <c r="L24" s="785" t="s">
        <v>11019</v>
      </c>
      <c r="M24" s="786">
        <v>24000</v>
      </c>
      <c r="N24" s="947">
        <v>12000</v>
      </c>
    </row>
    <row r="25" spans="1:14" x14ac:dyDescent="0.2">
      <c r="A25" s="946" t="s">
        <v>11015</v>
      </c>
      <c r="B25" s="784" t="s">
        <v>11037</v>
      </c>
      <c r="C25" s="784" t="s">
        <v>11044</v>
      </c>
      <c r="D25" s="785">
        <v>33672475</v>
      </c>
      <c r="E25" s="791" t="s">
        <v>11045</v>
      </c>
      <c r="F25" s="785"/>
      <c r="G25" s="785" t="s">
        <v>11047</v>
      </c>
      <c r="H25" s="785" t="s">
        <v>1550</v>
      </c>
      <c r="I25" s="785"/>
      <c r="J25" s="785" t="s">
        <v>11048</v>
      </c>
      <c r="K25" s="786">
        <v>2900</v>
      </c>
      <c r="L25" s="785" t="s">
        <v>11019</v>
      </c>
      <c r="M25" s="786">
        <v>34800</v>
      </c>
      <c r="N25" s="947">
        <v>17400</v>
      </c>
    </row>
    <row r="26" spans="1:14" ht="14.25" x14ac:dyDescent="0.2">
      <c r="A26" s="946"/>
      <c r="B26" s="784"/>
      <c r="C26" s="792"/>
      <c r="D26" s="793"/>
      <c r="E26" s="793"/>
      <c r="F26" s="793"/>
      <c r="G26" s="793"/>
      <c r="H26" s="793"/>
      <c r="I26" s="793"/>
      <c r="J26" s="793"/>
      <c r="K26" s="794"/>
      <c r="L26" s="793"/>
      <c r="M26" s="786"/>
      <c r="N26" s="947"/>
    </row>
    <row r="27" spans="1:14" x14ac:dyDescent="0.2">
      <c r="A27" s="949" t="s">
        <v>11049</v>
      </c>
      <c r="B27" s="795" t="s">
        <v>11050</v>
      </c>
      <c r="C27" s="796" t="s">
        <v>11051</v>
      </c>
      <c r="D27" s="797">
        <v>40178243</v>
      </c>
      <c r="E27" s="798" t="s">
        <v>11018</v>
      </c>
      <c r="F27" s="798">
        <v>11001673</v>
      </c>
      <c r="G27" s="798" t="s">
        <v>11052</v>
      </c>
      <c r="H27" s="798" t="s">
        <v>1550</v>
      </c>
      <c r="I27" s="798" t="s">
        <v>11053</v>
      </c>
      <c r="J27" s="798" t="s">
        <v>11054</v>
      </c>
      <c r="K27" s="799">
        <v>7800</v>
      </c>
      <c r="L27" s="798" t="s">
        <v>11055</v>
      </c>
      <c r="M27" s="786">
        <v>93600</v>
      </c>
      <c r="N27" s="947"/>
    </row>
    <row r="28" spans="1:14" x14ac:dyDescent="0.2">
      <c r="A28" s="949" t="s">
        <v>11049</v>
      </c>
      <c r="B28" s="795" t="s">
        <v>11050</v>
      </c>
      <c r="C28" s="800" t="s">
        <v>11051</v>
      </c>
      <c r="D28" s="797">
        <v>40178243</v>
      </c>
      <c r="E28" s="798" t="s">
        <v>11018</v>
      </c>
      <c r="F28" s="798">
        <v>11001673</v>
      </c>
      <c r="G28" s="798" t="s">
        <v>11056</v>
      </c>
      <c r="H28" s="798" t="s">
        <v>1550</v>
      </c>
      <c r="I28" s="798" t="s">
        <v>11053</v>
      </c>
      <c r="J28" s="798" t="s">
        <v>11054</v>
      </c>
      <c r="K28" s="801">
        <v>10500</v>
      </c>
      <c r="L28" s="798" t="s">
        <v>11055</v>
      </c>
      <c r="M28" s="786"/>
      <c r="N28" s="947">
        <v>63000</v>
      </c>
    </row>
    <row r="29" spans="1:14" x14ac:dyDescent="0.2">
      <c r="A29" s="948"/>
      <c r="B29" s="784"/>
      <c r="C29" s="365"/>
      <c r="D29" s="790"/>
      <c r="E29" s="790"/>
      <c r="F29" s="785"/>
      <c r="G29" s="790"/>
      <c r="H29" s="785"/>
      <c r="I29" s="785"/>
      <c r="J29" s="790"/>
      <c r="K29" s="802"/>
      <c r="L29" s="789"/>
      <c r="M29" s="786"/>
      <c r="N29" s="947"/>
    </row>
    <row r="30" spans="1:14" x14ac:dyDescent="0.2">
      <c r="A30" s="949" t="s">
        <v>11015</v>
      </c>
      <c r="B30" s="795" t="s">
        <v>11057</v>
      </c>
      <c r="C30" s="795" t="s">
        <v>11058</v>
      </c>
      <c r="D30" s="798">
        <v>20601955513</v>
      </c>
      <c r="E30" s="798" t="s">
        <v>11045</v>
      </c>
      <c r="F30" s="798"/>
      <c r="G30" s="798"/>
      <c r="H30" s="798"/>
      <c r="I30" s="798" t="s">
        <v>11059</v>
      </c>
      <c r="J30" s="798" t="s">
        <v>11060</v>
      </c>
      <c r="K30" s="786">
        <v>1000</v>
      </c>
      <c r="L30" s="798" t="s">
        <v>11034</v>
      </c>
      <c r="M30" s="786">
        <v>2000</v>
      </c>
      <c r="N30" s="947"/>
    </row>
    <row r="31" spans="1:14" x14ac:dyDescent="0.2">
      <c r="A31" s="949" t="s">
        <v>11015</v>
      </c>
      <c r="B31" s="795" t="s">
        <v>11057</v>
      </c>
      <c r="C31" s="795" t="s">
        <v>11061</v>
      </c>
      <c r="D31" s="798">
        <v>33947440</v>
      </c>
      <c r="E31" s="798" t="s">
        <v>11045</v>
      </c>
      <c r="F31" s="798"/>
      <c r="G31" s="798"/>
      <c r="H31" s="798"/>
      <c r="I31" s="798" t="s">
        <v>11059</v>
      </c>
      <c r="J31" s="798" t="s">
        <v>11062</v>
      </c>
      <c r="K31" s="786">
        <v>1000</v>
      </c>
      <c r="L31" s="798" t="s">
        <v>11034</v>
      </c>
      <c r="M31" s="786"/>
      <c r="N31" s="947"/>
    </row>
    <row r="32" spans="1:14" x14ac:dyDescent="0.2">
      <c r="A32" s="949" t="s">
        <v>11015</v>
      </c>
      <c r="B32" s="795" t="s">
        <v>11057</v>
      </c>
      <c r="C32" s="795" t="s">
        <v>11063</v>
      </c>
      <c r="D32" s="798">
        <v>33672475</v>
      </c>
      <c r="E32" s="798" t="s">
        <v>11045</v>
      </c>
      <c r="F32" s="798"/>
      <c r="G32" s="798"/>
      <c r="H32" s="798"/>
      <c r="I32" s="798" t="s">
        <v>11059</v>
      </c>
      <c r="J32" s="798" t="s">
        <v>11064</v>
      </c>
      <c r="K32" s="786">
        <v>1500</v>
      </c>
      <c r="L32" s="798" t="s">
        <v>11034</v>
      </c>
      <c r="M32" s="786"/>
      <c r="N32" s="947"/>
    </row>
    <row r="33" spans="1:14" x14ac:dyDescent="0.2">
      <c r="A33" s="949"/>
      <c r="B33" s="795"/>
      <c r="C33" s="795"/>
      <c r="D33" s="798"/>
      <c r="E33" s="798"/>
      <c r="F33" s="803"/>
      <c r="G33" s="803"/>
      <c r="H33" s="803"/>
      <c r="I33" s="798"/>
      <c r="J33" s="798"/>
      <c r="K33" s="786"/>
      <c r="L33" s="798"/>
      <c r="M33" s="786"/>
      <c r="N33" s="947"/>
    </row>
    <row r="34" spans="1:14" x14ac:dyDescent="0.2">
      <c r="A34" s="946" t="s">
        <v>11015</v>
      </c>
      <c r="B34" s="784" t="s">
        <v>11065</v>
      </c>
      <c r="C34" s="372" t="s">
        <v>11066</v>
      </c>
      <c r="D34" s="372"/>
      <c r="E34" s="785" t="s">
        <v>11067</v>
      </c>
      <c r="F34" s="784"/>
      <c r="G34" s="784"/>
      <c r="H34" s="785"/>
      <c r="I34" s="785"/>
      <c r="J34" s="785">
        <v>2020</v>
      </c>
      <c r="K34" s="808">
        <v>5000</v>
      </c>
      <c r="L34" s="785" t="s">
        <v>11019</v>
      </c>
      <c r="M34" s="786">
        <v>60000</v>
      </c>
      <c r="N34" s="947"/>
    </row>
    <row r="35" spans="1:14" x14ac:dyDescent="0.2">
      <c r="A35" s="946" t="s">
        <v>11015</v>
      </c>
      <c r="B35" s="784" t="s">
        <v>11065</v>
      </c>
      <c r="C35" s="372" t="s">
        <v>11068</v>
      </c>
      <c r="D35" s="372"/>
      <c r="E35" s="785" t="s">
        <v>11067</v>
      </c>
      <c r="F35" s="784"/>
      <c r="G35" s="784"/>
      <c r="H35" s="785"/>
      <c r="I35" s="785"/>
      <c r="J35" s="785">
        <v>2021</v>
      </c>
      <c r="K35" s="808">
        <v>12000</v>
      </c>
      <c r="L35" s="785" t="s">
        <v>11019</v>
      </c>
      <c r="M35" s="786"/>
      <c r="N35" s="947">
        <v>72000</v>
      </c>
    </row>
    <row r="36" spans="1:14" x14ac:dyDescent="0.2">
      <c r="A36" s="946"/>
      <c r="B36" s="784"/>
      <c r="C36" s="372"/>
      <c r="D36" s="372"/>
      <c r="E36" s="784"/>
      <c r="F36" s="784"/>
      <c r="G36" s="784"/>
      <c r="H36" s="785"/>
      <c r="I36" s="785"/>
      <c r="J36" s="785"/>
      <c r="K36" s="808"/>
      <c r="L36" s="785"/>
      <c r="M36" s="784"/>
      <c r="N36" s="950"/>
    </row>
    <row r="37" spans="1:14" x14ac:dyDescent="0.2">
      <c r="A37" s="946" t="s">
        <v>11069</v>
      </c>
      <c r="B37" s="784" t="s">
        <v>11070</v>
      </c>
      <c r="C37" s="804" t="s">
        <v>11071</v>
      </c>
      <c r="D37" s="808">
        <v>10494101</v>
      </c>
      <c r="E37" s="785" t="s">
        <v>11018</v>
      </c>
      <c r="F37" s="785"/>
      <c r="G37" s="785"/>
      <c r="H37" s="785"/>
      <c r="I37" s="785"/>
      <c r="J37" s="785" t="s">
        <v>11072</v>
      </c>
      <c r="K37" s="786">
        <v>17900</v>
      </c>
      <c r="L37" s="785" t="s">
        <v>11019</v>
      </c>
      <c r="M37" s="786">
        <v>116349.67</v>
      </c>
      <c r="N37" s="947">
        <f>118736.67+63966.67</f>
        <v>182703.34</v>
      </c>
    </row>
    <row r="38" spans="1:14" x14ac:dyDescent="0.2">
      <c r="A38" s="946" t="s">
        <v>11073</v>
      </c>
      <c r="B38" s="784" t="s">
        <v>11070</v>
      </c>
      <c r="C38" s="784" t="s">
        <v>11074</v>
      </c>
      <c r="D38" s="785">
        <v>33404146</v>
      </c>
      <c r="E38" s="785" t="s">
        <v>11018</v>
      </c>
      <c r="F38" s="785"/>
      <c r="G38" s="785"/>
      <c r="H38" s="785"/>
      <c r="I38" s="785"/>
      <c r="J38" s="785" t="s">
        <v>11075</v>
      </c>
      <c r="K38" s="786">
        <v>3000</v>
      </c>
      <c r="L38" s="785" t="s">
        <v>11019</v>
      </c>
      <c r="M38" s="786">
        <v>0</v>
      </c>
      <c r="N38" s="947">
        <v>36000</v>
      </c>
    </row>
    <row r="39" spans="1:14" x14ac:dyDescent="0.2">
      <c r="A39" s="946" t="s">
        <v>11076</v>
      </c>
      <c r="B39" s="784" t="s">
        <v>11070</v>
      </c>
      <c r="C39" s="784" t="s">
        <v>11077</v>
      </c>
      <c r="D39" s="785">
        <v>33408245</v>
      </c>
      <c r="E39" s="785" t="s">
        <v>11018</v>
      </c>
      <c r="F39" s="785"/>
      <c r="G39" s="785"/>
      <c r="H39" s="785"/>
      <c r="I39" s="785"/>
      <c r="J39" s="785" t="s">
        <v>11078</v>
      </c>
      <c r="K39" s="786">
        <v>2900</v>
      </c>
      <c r="L39" s="785" t="s">
        <v>11019</v>
      </c>
      <c r="M39" s="786">
        <v>31200</v>
      </c>
      <c r="N39" s="947">
        <v>34800</v>
      </c>
    </row>
    <row r="40" spans="1:14" x14ac:dyDescent="0.2">
      <c r="A40" s="946" t="s">
        <v>11079</v>
      </c>
      <c r="B40" s="784" t="s">
        <v>11070</v>
      </c>
      <c r="C40" s="784" t="s">
        <v>11080</v>
      </c>
      <c r="D40" s="785">
        <v>33431516</v>
      </c>
      <c r="E40" s="785" t="s">
        <v>11018</v>
      </c>
      <c r="F40" s="785"/>
      <c r="G40" s="785"/>
      <c r="H40" s="785"/>
      <c r="I40" s="785"/>
      <c r="J40" s="785" t="s">
        <v>11072</v>
      </c>
      <c r="K40" s="786">
        <v>3600</v>
      </c>
      <c r="L40" s="785" t="s">
        <v>11019</v>
      </c>
      <c r="M40" s="786">
        <v>43200</v>
      </c>
      <c r="N40" s="947">
        <v>43200</v>
      </c>
    </row>
    <row r="41" spans="1:14" x14ac:dyDescent="0.2">
      <c r="A41" s="946" t="s">
        <v>11081</v>
      </c>
      <c r="B41" s="784" t="s">
        <v>11070</v>
      </c>
      <c r="C41" s="784" t="s">
        <v>11082</v>
      </c>
      <c r="D41" s="785">
        <v>33407307</v>
      </c>
      <c r="E41" s="785" t="s">
        <v>11018</v>
      </c>
      <c r="F41" s="785"/>
      <c r="G41" s="785"/>
      <c r="H41" s="785"/>
      <c r="I41" s="785"/>
      <c r="J41" s="785" t="s">
        <v>11083</v>
      </c>
      <c r="K41" s="786">
        <v>12000</v>
      </c>
      <c r="L41" s="785" t="s">
        <v>11019</v>
      </c>
      <c r="M41" s="786">
        <v>148800</v>
      </c>
      <c r="N41" s="947">
        <v>65200</v>
      </c>
    </row>
    <row r="42" spans="1:14" x14ac:dyDescent="0.2">
      <c r="A42" s="946" t="s">
        <v>11084</v>
      </c>
      <c r="B42" s="784" t="s">
        <v>11070</v>
      </c>
      <c r="C42" s="784" t="s">
        <v>11085</v>
      </c>
      <c r="D42" s="785">
        <v>41205001</v>
      </c>
      <c r="E42" s="785" t="s">
        <v>11018</v>
      </c>
      <c r="F42" s="785"/>
      <c r="G42" s="785"/>
      <c r="H42" s="785"/>
      <c r="I42" s="785"/>
      <c r="J42" s="785" t="s">
        <v>11072</v>
      </c>
      <c r="K42" s="786">
        <v>460</v>
      </c>
      <c r="L42" s="785" t="s">
        <v>11019</v>
      </c>
      <c r="M42" s="786">
        <v>5980</v>
      </c>
      <c r="N42" s="947">
        <v>36800</v>
      </c>
    </row>
    <row r="43" spans="1:14" x14ac:dyDescent="0.2">
      <c r="A43" s="946" t="s">
        <v>11086</v>
      </c>
      <c r="B43" s="784" t="s">
        <v>11070</v>
      </c>
      <c r="C43" s="784" t="s">
        <v>11087</v>
      </c>
      <c r="D43" s="785">
        <v>33422653</v>
      </c>
      <c r="E43" s="785" t="s">
        <v>11018</v>
      </c>
      <c r="F43" s="785"/>
      <c r="G43" s="785"/>
      <c r="H43" s="785"/>
      <c r="I43" s="785"/>
      <c r="J43" s="785" t="s">
        <v>11088</v>
      </c>
      <c r="K43" s="786">
        <v>9500</v>
      </c>
      <c r="L43" s="785" t="s">
        <v>11019</v>
      </c>
      <c r="M43" s="786">
        <v>56800</v>
      </c>
      <c r="N43" s="947">
        <v>39800</v>
      </c>
    </row>
    <row r="44" spans="1:14" x14ac:dyDescent="0.2">
      <c r="A44" s="946" t="s">
        <v>11089</v>
      </c>
      <c r="B44" s="784" t="s">
        <v>11070</v>
      </c>
      <c r="C44" s="784" t="s">
        <v>11090</v>
      </c>
      <c r="D44" s="785">
        <v>33417404</v>
      </c>
      <c r="E44" s="785" t="s">
        <v>11018</v>
      </c>
      <c r="F44" s="785"/>
      <c r="G44" s="785"/>
      <c r="H44" s="785"/>
      <c r="I44" s="785"/>
      <c r="J44" s="785" t="s">
        <v>11091</v>
      </c>
      <c r="K44" s="786">
        <v>1600</v>
      </c>
      <c r="L44" s="785" t="s">
        <v>11019</v>
      </c>
      <c r="M44" s="786"/>
      <c r="N44" s="947">
        <v>4800</v>
      </c>
    </row>
    <row r="45" spans="1:14" x14ac:dyDescent="0.2">
      <c r="A45" s="946" t="s">
        <v>11092</v>
      </c>
      <c r="B45" s="784" t="s">
        <v>11070</v>
      </c>
      <c r="C45" s="784" t="s">
        <v>11093</v>
      </c>
      <c r="D45" s="785">
        <v>20567230482</v>
      </c>
      <c r="E45" s="785" t="s">
        <v>11018</v>
      </c>
      <c r="F45" s="785"/>
      <c r="G45" s="785"/>
      <c r="H45" s="785"/>
      <c r="I45" s="785"/>
      <c r="J45" s="785" t="s">
        <v>11091</v>
      </c>
      <c r="K45" s="786">
        <v>4300</v>
      </c>
      <c r="L45" s="785" t="s">
        <v>11019</v>
      </c>
      <c r="M45" s="786"/>
      <c r="N45" s="947">
        <v>13400</v>
      </c>
    </row>
    <row r="46" spans="1:14" x14ac:dyDescent="0.2">
      <c r="A46" s="946" t="s">
        <v>11094</v>
      </c>
      <c r="B46" s="784" t="s">
        <v>11070</v>
      </c>
      <c r="C46" s="784" t="s">
        <v>11095</v>
      </c>
      <c r="D46" s="785">
        <v>33431808</v>
      </c>
      <c r="E46" s="785" t="s">
        <v>11018</v>
      </c>
      <c r="F46" s="785"/>
      <c r="G46" s="785"/>
      <c r="H46" s="785"/>
      <c r="I46" s="785"/>
      <c r="J46" s="785" t="s">
        <v>11096</v>
      </c>
      <c r="K46" s="786">
        <v>6000</v>
      </c>
      <c r="L46" s="785" t="s">
        <v>11019</v>
      </c>
      <c r="M46" s="786">
        <v>72000</v>
      </c>
      <c r="N46" s="947">
        <v>36000</v>
      </c>
    </row>
    <row r="47" spans="1:14" x14ac:dyDescent="0.2">
      <c r="A47" s="946" t="s">
        <v>11097</v>
      </c>
      <c r="B47" s="784" t="s">
        <v>11070</v>
      </c>
      <c r="C47" s="784" t="s">
        <v>11098</v>
      </c>
      <c r="D47" s="785">
        <v>33407883</v>
      </c>
      <c r="E47" s="785" t="s">
        <v>11018</v>
      </c>
      <c r="F47" s="785"/>
      <c r="G47" s="785"/>
      <c r="H47" s="785"/>
      <c r="I47" s="785"/>
      <c r="J47" s="785" t="s">
        <v>11072</v>
      </c>
      <c r="K47" s="786">
        <v>600</v>
      </c>
      <c r="L47" s="785" t="s">
        <v>11019</v>
      </c>
      <c r="M47" s="786">
        <v>7200</v>
      </c>
      <c r="N47" s="947">
        <f>600*12</f>
        <v>7200</v>
      </c>
    </row>
    <row r="48" spans="1:14" x14ac:dyDescent="0.2">
      <c r="A48" s="946"/>
      <c r="B48" s="784"/>
      <c r="C48" s="784"/>
      <c r="D48" s="785"/>
      <c r="E48" s="785"/>
      <c r="F48" s="785"/>
      <c r="G48" s="785"/>
      <c r="H48" s="785"/>
      <c r="I48" s="785"/>
      <c r="J48" s="785"/>
      <c r="K48" s="786"/>
      <c r="L48" s="785"/>
      <c r="M48" s="786"/>
      <c r="N48" s="947"/>
    </row>
    <row r="49" spans="1:14" x14ac:dyDescent="0.2">
      <c r="A49" s="946" t="s">
        <v>11015</v>
      </c>
      <c r="B49" s="784" t="s">
        <v>11099</v>
      </c>
      <c r="C49" s="372" t="s">
        <v>11100</v>
      </c>
      <c r="D49" s="808">
        <v>33588344</v>
      </c>
      <c r="E49" s="791" t="s">
        <v>11045</v>
      </c>
      <c r="F49" s="784"/>
      <c r="G49" s="784"/>
      <c r="H49" s="785"/>
      <c r="I49" s="785" t="s">
        <v>11101</v>
      </c>
      <c r="J49" s="785" t="s">
        <v>11102</v>
      </c>
      <c r="K49" s="786">
        <v>2000</v>
      </c>
      <c r="L49" s="785" t="s">
        <v>11019</v>
      </c>
      <c r="M49" s="768">
        <v>24000</v>
      </c>
      <c r="N49" s="951"/>
    </row>
    <row r="50" spans="1:14" x14ac:dyDescent="0.2">
      <c r="A50" s="946" t="s">
        <v>11015</v>
      </c>
      <c r="B50" s="784" t="s">
        <v>11099</v>
      </c>
      <c r="C50" s="784" t="s">
        <v>11103</v>
      </c>
      <c r="D50" s="785">
        <v>33562008</v>
      </c>
      <c r="E50" s="791" t="s">
        <v>11045</v>
      </c>
      <c r="F50" s="784"/>
      <c r="G50" s="784"/>
      <c r="H50" s="785"/>
      <c r="I50" s="785" t="s">
        <v>11101</v>
      </c>
      <c r="J50" s="785" t="s">
        <v>11104</v>
      </c>
      <c r="K50" s="786">
        <v>3200</v>
      </c>
      <c r="L50" s="785" t="s">
        <v>11019</v>
      </c>
      <c r="M50" s="768">
        <f>3200*11</f>
        <v>35200</v>
      </c>
      <c r="N50" s="951"/>
    </row>
    <row r="51" spans="1:14" x14ac:dyDescent="0.2">
      <c r="A51" s="946" t="s">
        <v>11015</v>
      </c>
      <c r="B51" s="784" t="s">
        <v>11099</v>
      </c>
      <c r="C51" s="784" t="s">
        <v>11105</v>
      </c>
      <c r="D51" s="785">
        <v>41472667</v>
      </c>
      <c r="E51" s="791" t="s">
        <v>11045</v>
      </c>
      <c r="F51" s="784"/>
      <c r="G51" s="784"/>
      <c r="H51" s="785" t="s">
        <v>11101</v>
      </c>
      <c r="I51" s="785"/>
      <c r="J51" s="785" t="s">
        <v>11102</v>
      </c>
      <c r="K51" s="786">
        <f>M51/12</f>
        <v>360</v>
      </c>
      <c r="L51" s="785" t="s">
        <v>11019</v>
      </c>
      <c r="M51" s="768">
        <v>4320</v>
      </c>
      <c r="N51" s="951"/>
    </row>
    <row r="52" spans="1:14" x14ac:dyDescent="0.2">
      <c r="A52" s="946" t="s">
        <v>11015</v>
      </c>
      <c r="B52" s="784" t="s">
        <v>11099</v>
      </c>
      <c r="C52" s="372" t="s">
        <v>11100</v>
      </c>
      <c r="D52" s="808">
        <v>33588344</v>
      </c>
      <c r="E52" s="791" t="s">
        <v>11045</v>
      </c>
      <c r="F52" s="784"/>
      <c r="G52" s="784"/>
      <c r="H52" s="785"/>
      <c r="I52" s="785" t="s">
        <v>11101</v>
      </c>
      <c r="J52" s="785" t="s">
        <v>11106</v>
      </c>
      <c r="K52" s="786">
        <v>2500</v>
      </c>
      <c r="L52" s="785" t="s">
        <v>11019</v>
      </c>
      <c r="M52" s="768"/>
      <c r="N52" s="952">
        <f>K52*12</f>
        <v>30000</v>
      </c>
    </row>
    <row r="53" spans="1:14" x14ac:dyDescent="0.2">
      <c r="A53" s="946" t="s">
        <v>11015</v>
      </c>
      <c r="B53" s="784" t="s">
        <v>11099</v>
      </c>
      <c r="C53" s="784" t="s">
        <v>11103</v>
      </c>
      <c r="D53" s="785">
        <v>33562008</v>
      </c>
      <c r="E53" s="791" t="s">
        <v>11045</v>
      </c>
      <c r="F53" s="784"/>
      <c r="G53" s="784"/>
      <c r="H53" s="785"/>
      <c r="I53" s="785" t="s">
        <v>11101</v>
      </c>
      <c r="J53" s="785" t="s">
        <v>11106</v>
      </c>
      <c r="K53" s="786">
        <v>4000</v>
      </c>
      <c r="L53" s="785" t="s">
        <v>11019</v>
      </c>
      <c r="M53" s="768"/>
      <c r="N53" s="952">
        <f t="shared" ref="N53:N55" si="0">K53*12</f>
        <v>48000</v>
      </c>
    </row>
    <row r="54" spans="1:14" x14ac:dyDescent="0.2">
      <c r="A54" s="946" t="s">
        <v>11015</v>
      </c>
      <c r="B54" s="784" t="s">
        <v>11099</v>
      </c>
      <c r="C54" s="784" t="s">
        <v>11105</v>
      </c>
      <c r="D54" s="785">
        <v>41472667</v>
      </c>
      <c r="E54" s="791" t="s">
        <v>11045</v>
      </c>
      <c r="F54" s="784"/>
      <c r="G54" s="784"/>
      <c r="H54" s="785" t="s">
        <v>11101</v>
      </c>
      <c r="I54" s="785"/>
      <c r="J54" s="785" t="s">
        <v>11106</v>
      </c>
      <c r="K54" s="786">
        <v>400</v>
      </c>
      <c r="L54" s="785" t="s">
        <v>11019</v>
      </c>
      <c r="M54" s="768"/>
      <c r="N54" s="952">
        <f t="shared" si="0"/>
        <v>4800</v>
      </c>
    </row>
    <row r="55" spans="1:14" x14ac:dyDescent="0.2">
      <c r="A55" s="946" t="s">
        <v>11015</v>
      </c>
      <c r="B55" s="784" t="s">
        <v>11099</v>
      </c>
      <c r="C55" s="784" t="s">
        <v>11107</v>
      </c>
      <c r="D55" s="785">
        <v>42666799</v>
      </c>
      <c r="E55" s="791" t="s">
        <v>11045</v>
      </c>
      <c r="F55" s="784"/>
      <c r="G55" s="784"/>
      <c r="H55" s="785" t="s">
        <v>11101</v>
      </c>
      <c r="I55" s="785"/>
      <c r="J55" s="785" t="s">
        <v>11106</v>
      </c>
      <c r="K55" s="786">
        <v>1500</v>
      </c>
      <c r="L55" s="785" t="s">
        <v>11019</v>
      </c>
      <c r="M55" s="768"/>
      <c r="N55" s="952">
        <f t="shared" si="0"/>
        <v>18000</v>
      </c>
    </row>
    <row r="56" spans="1:14" x14ac:dyDescent="0.2">
      <c r="A56" s="948"/>
      <c r="B56" s="784"/>
      <c r="C56" s="365"/>
      <c r="D56" s="790"/>
      <c r="E56" s="790"/>
      <c r="F56" s="785"/>
      <c r="G56" s="790"/>
      <c r="H56" s="785"/>
      <c r="I56" s="785"/>
      <c r="J56" s="790"/>
      <c r="K56" s="786"/>
      <c r="L56" s="789"/>
      <c r="M56" s="786"/>
      <c r="N56" s="947"/>
    </row>
    <row r="57" spans="1:14" x14ac:dyDescent="0.2">
      <c r="A57" s="946" t="s">
        <v>11097</v>
      </c>
      <c r="B57" s="784" t="s">
        <v>11108</v>
      </c>
      <c r="C57" s="784" t="s">
        <v>11109</v>
      </c>
      <c r="D57" s="785">
        <v>33678460</v>
      </c>
      <c r="E57" s="791" t="s">
        <v>11045</v>
      </c>
      <c r="F57" s="785"/>
      <c r="G57" s="785" t="s">
        <v>11041</v>
      </c>
      <c r="H57" s="785"/>
      <c r="I57" s="785" t="s">
        <v>11101</v>
      </c>
      <c r="J57" s="785" t="s">
        <v>11042</v>
      </c>
      <c r="K57" s="786">
        <v>3000</v>
      </c>
      <c r="L57" s="785" t="s">
        <v>11019</v>
      </c>
      <c r="M57" s="786">
        <v>36000</v>
      </c>
      <c r="N57" s="947">
        <v>18000</v>
      </c>
    </row>
    <row r="58" spans="1:14" x14ac:dyDescent="0.2">
      <c r="A58" s="946" t="s">
        <v>11097</v>
      </c>
      <c r="B58" s="784" t="s">
        <v>11108</v>
      </c>
      <c r="C58" s="784" t="s">
        <v>11110</v>
      </c>
      <c r="D58" s="785">
        <v>33826774</v>
      </c>
      <c r="E58" s="791" t="s">
        <v>11045</v>
      </c>
      <c r="F58" s="785"/>
      <c r="G58" s="785" t="s">
        <v>11111</v>
      </c>
      <c r="H58" s="785"/>
      <c r="I58" s="785"/>
      <c r="J58" s="785" t="s">
        <v>11042</v>
      </c>
      <c r="K58" s="786">
        <v>1250</v>
      </c>
      <c r="L58" s="785" t="s">
        <v>11019</v>
      </c>
      <c r="M58" s="786">
        <v>15000</v>
      </c>
      <c r="N58" s="947">
        <v>7500</v>
      </c>
    </row>
    <row r="59" spans="1:14" x14ac:dyDescent="0.2">
      <c r="A59" s="946" t="s">
        <v>11097</v>
      </c>
      <c r="B59" s="784" t="s">
        <v>11108</v>
      </c>
      <c r="C59" s="784" t="s">
        <v>11112</v>
      </c>
      <c r="D59" s="785">
        <v>27379995</v>
      </c>
      <c r="E59" s="791" t="s">
        <v>11045</v>
      </c>
      <c r="F59" s="785"/>
      <c r="G59" s="785" t="s">
        <v>11041</v>
      </c>
      <c r="H59" s="785"/>
      <c r="I59" s="785"/>
      <c r="J59" s="785" t="s">
        <v>1550</v>
      </c>
      <c r="K59" s="786">
        <v>4000</v>
      </c>
      <c r="L59" s="785" t="s">
        <v>11019</v>
      </c>
      <c r="M59" s="786">
        <v>20000</v>
      </c>
      <c r="N59" s="947"/>
    </row>
    <row r="60" spans="1:14" x14ac:dyDescent="0.2">
      <c r="A60" s="946" t="s">
        <v>11097</v>
      </c>
      <c r="B60" s="784" t="s">
        <v>11108</v>
      </c>
      <c r="C60" s="784" t="s">
        <v>11112</v>
      </c>
      <c r="D60" s="785">
        <v>27379995</v>
      </c>
      <c r="E60" s="791" t="s">
        <v>11045</v>
      </c>
      <c r="F60" s="785"/>
      <c r="G60" s="785" t="s">
        <v>11041</v>
      </c>
      <c r="H60" s="785"/>
      <c r="I60" s="785"/>
      <c r="J60" s="785" t="s">
        <v>11042</v>
      </c>
      <c r="K60" s="786">
        <v>5000</v>
      </c>
      <c r="L60" s="785" t="s">
        <v>11019</v>
      </c>
      <c r="M60" s="786">
        <v>25000</v>
      </c>
      <c r="N60" s="947">
        <v>30000</v>
      </c>
    </row>
    <row r="61" spans="1:14" x14ac:dyDescent="0.2">
      <c r="A61" s="946" t="s">
        <v>11097</v>
      </c>
      <c r="B61" s="784" t="s">
        <v>11108</v>
      </c>
      <c r="C61" s="784" t="s">
        <v>11113</v>
      </c>
      <c r="D61" s="785">
        <v>33673182</v>
      </c>
      <c r="E61" s="791" t="s">
        <v>11045</v>
      </c>
      <c r="F61" s="785"/>
      <c r="G61" s="785" t="s">
        <v>11114</v>
      </c>
      <c r="H61" s="785"/>
      <c r="I61" s="785" t="s">
        <v>11101</v>
      </c>
      <c r="J61" s="785" t="s">
        <v>11042</v>
      </c>
      <c r="K61" s="786">
        <v>3500</v>
      </c>
      <c r="L61" s="785" t="s">
        <v>11019</v>
      </c>
      <c r="M61" s="786"/>
      <c r="N61" s="947">
        <v>21000</v>
      </c>
    </row>
    <row r="62" spans="1:14" x14ac:dyDescent="0.2">
      <c r="A62" s="946" t="s">
        <v>11097</v>
      </c>
      <c r="B62" s="784" t="s">
        <v>11108</v>
      </c>
      <c r="C62" s="784" t="s">
        <v>11113</v>
      </c>
      <c r="D62" s="785">
        <v>33673182</v>
      </c>
      <c r="E62" s="791" t="s">
        <v>11045</v>
      </c>
      <c r="F62" s="785"/>
      <c r="G62" s="785" t="s">
        <v>11114</v>
      </c>
      <c r="H62" s="785"/>
      <c r="I62" s="785" t="s">
        <v>11101</v>
      </c>
      <c r="J62" s="785" t="s">
        <v>1550</v>
      </c>
      <c r="K62" s="786">
        <v>5000</v>
      </c>
      <c r="L62" s="785" t="s">
        <v>11019</v>
      </c>
      <c r="M62" s="786">
        <v>17499</v>
      </c>
      <c r="N62" s="947"/>
    </row>
    <row r="63" spans="1:14" x14ac:dyDescent="0.2">
      <c r="A63" s="946" t="s">
        <v>11097</v>
      </c>
      <c r="B63" s="784" t="s">
        <v>11108</v>
      </c>
      <c r="C63" s="784" t="s">
        <v>11115</v>
      </c>
      <c r="D63" s="785">
        <v>16448130</v>
      </c>
      <c r="E63" s="791" t="s">
        <v>11045</v>
      </c>
      <c r="F63" s="785"/>
      <c r="G63" s="785" t="s">
        <v>11116</v>
      </c>
      <c r="H63" s="785"/>
      <c r="I63" s="785"/>
      <c r="J63" s="785" t="s">
        <v>11042</v>
      </c>
      <c r="K63" s="786">
        <v>500</v>
      </c>
      <c r="L63" s="785" t="s">
        <v>11019</v>
      </c>
      <c r="M63" s="786">
        <v>6000</v>
      </c>
      <c r="N63" s="947">
        <v>3000</v>
      </c>
    </row>
    <row r="64" spans="1:14" x14ac:dyDescent="0.2">
      <c r="A64" s="946" t="s">
        <v>11097</v>
      </c>
      <c r="B64" s="784" t="s">
        <v>11108</v>
      </c>
      <c r="C64" s="784" t="s">
        <v>11117</v>
      </c>
      <c r="D64" s="785">
        <v>46175728</v>
      </c>
      <c r="E64" s="791" t="s">
        <v>11045</v>
      </c>
      <c r="F64" s="785"/>
      <c r="G64" s="785" t="s">
        <v>11116</v>
      </c>
      <c r="H64" s="785"/>
      <c r="I64" s="785"/>
      <c r="J64" s="785" t="s">
        <v>1550</v>
      </c>
      <c r="K64" s="786">
        <v>1230</v>
      </c>
      <c r="L64" s="785" t="s">
        <v>11019</v>
      </c>
      <c r="M64" s="786">
        <v>8610</v>
      </c>
      <c r="N64" s="947"/>
    </row>
    <row r="65" spans="1:14" x14ac:dyDescent="0.2">
      <c r="A65" s="946" t="s">
        <v>11097</v>
      </c>
      <c r="B65" s="784" t="s">
        <v>11108</v>
      </c>
      <c r="C65" s="784" t="s">
        <v>11118</v>
      </c>
      <c r="D65" s="785">
        <v>33670855</v>
      </c>
      <c r="E65" s="791" t="s">
        <v>11045</v>
      </c>
      <c r="F65" s="785"/>
      <c r="G65" s="785" t="s">
        <v>11119</v>
      </c>
      <c r="H65" s="785"/>
      <c r="I65" s="785"/>
      <c r="J65" s="785" t="s">
        <v>11042</v>
      </c>
      <c r="K65" s="786">
        <v>850</v>
      </c>
      <c r="L65" s="785" t="s">
        <v>11019</v>
      </c>
      <c r="M65" s="786">
        <v>9123.33</v>
      </c>
      <c r="N65" s="947">
        <v>5100</v>
      </c>
    </row>
    <row r="66" spans="1:14" x14ac:dyDescent="0.2">
      <c r="A66" s="946" t="s">
        <v>11097</v>
      </c>
      <c r="B66" s="784" t="s">
        <v>11108</v>
      </c>
      <c r="C66" s="784" t="s">
        <v>11120</v>
      </c>
      <c r="D66" s="785">
        <v>27266572</v>
      </c>
      <c r="E66" s="791" t="s">
        <v>11045</v>
      </c>
      <c r="F66" s="785"/>
      <c r="G66" s="785" t="s">
        <v>11116</v>
      </c>
      <c r="H66" s="785"/>
      <c r="I66" s="785" t="s">
        <v>11101</v>
      </c>
      <c r="J66" s="785" t="s">
        <v>1550</v>
      </c>
      <c r="K66" s="786">
        <v>1230</v>
      </c>
      <c r="L66" s="785" t="s">
        <v>11019</v>
      </c>
      <c r="M66" s="786">
        <v>2460</v>
      </c>
      <c r="N66" s="947"/>
    </row>
    <row r="67" spans="1:14" x14ac:dyDescent="0.2">
      <c r="A67" s="946" t="s">
        <v>11097</v>
      </c>
      <c r="B67" s="784" t="s">
        <v>11108</v>
      </c>
      <c r="C67" s="784" t="s">
        <v>11121</v>
      </c>
      <c r="D67" s="785">
        <v>75013725</v>
      </c>
      <c r="E67" s="791" t="s">
        <v>11045</v>
      </c>
      <c r="F67" s="785"/>
      <c r="G67" s="785" t="s">
        <v>11041</v>
      </c>
      <c r="H67" s="785"/>
      <c r="I67" s="785"/>
      <c r="J67" s="785"/>
      <c r="K67" s="786">
        <v>5000</v>
      </c>
      <c r="L67" s="785" t="s">
        <v>11019</v>
      </c>
      <c r="M67" s="786">
        <v>35000</v>
      </c>
      <c r="N67" s="947"/>
    </row>
    <row r="68" spans="1:14" x14ac:dyDescent="0.2">
      <c r="A68" s="946" t="s">
        <v>11097</v>
      </c>
      <c r="B68" s="784" t="s">
        <v>11108</v>
      </c>
      <c r="C68" s="784" t="s">
        <v>11122</v>
      </c>
      <c r="D68" s="785">
        <v>40734482</v>
      </c>
      <c r="E68" s="791" t="s">
        <v>11045</v>
      </c>
      <c r="F68" s="785">
        <v>11053317</v>
      </c>
      <c r="G68" s="785" t="s">
        <v>11123</v>
      </c>
      <c r="H68" s="785"/>
      <c r="I68" s="785"/>
      <c r="J68" s="785" t="s">
        <v>11042</v>
      </c>
      <c r="K68" s="786">
        <v>5000</v>
      </c>
      <c r="L68" s="785" t="s">
        <v>11019</v>
      </c>
      <c r="M68" s="786">
        <v>25000</v>
      </c>
      <c r="N68" s="947">
        <v>30000</v>
      </c>
    </row>
    <row r="69" spans="1:14" x14ac:dyDescent="0.2">
      <c r="A69" s="946" t="s">
        <v>11097</v>
      </c>
      <c r="B69" s="784" t="s">
        <v>11108</v>
      </c>
      <c r="C69" s="784" t="s">
        <v>11124</v>
      </c>
      <c r="D69" s="785">
        <v>33640108</v>
      </c>
      <c r="E69" s="791" t="s">
        <v>11045</v>
      </c>
      <c r="F69" s="785"/>
      <c r="G69" s="785" t="s">
        <v>11116</v>
      </c>
      <c r="H69" s="785"/>
      <c r="I69" s="785"/>
      <c r="J69" s="785" t="s">
        <v>1550</v>
      </c>
      <c r="K69" s="786">
        <v>2500</v>
      </c>
      <c r="L69" s="785" t="s">
        <v>11019</v>
      </c>
      <c r="M69" s="786">
        <v>7500</v>
      </c>
      <c r="N69" s="947"/>
    </row>
    <row r="70" spans="1:14" x14ac:dyDescent="0.2">
      <c r="A70" s="946" t="s">
        <v>11097</v>
      </c>
      <c r="B70" s="784" t="s">
        <v>11108</v>
      </c>
      <c r="C70" s="784" t="s">
        <v>11125</v>
      </c>
      <c r="D70" s="785">
        <v>33650747</v>
      </c>
      <c r="E70" s="791" t="s">
        <v>11045</v>
      </c>
      <c r="F70" s="785"/>
      <c r="G70" s="785" t="s">
        <v>11047</v>
      </c>
      <c r="H70" s="785"/>
      <c r="I70" s="785"/>
      <c r="J70" s="785" t="s">
        <v>11042</v>
      </c>
      <c r="K70" s="786">
        <v>550</v>
      </c>
      <c r="L70" s="785" t="s">
        <v>11019</v>
      </c>
      <c r="M70" s="786">
        <v>1650</v>
      </c>
      <c r="N70" s="947">
        <v>3300</v>
      </c>
    </row>
    <row r="71" spans="1:14" x14ac:dyDescent="0.2">
      <c r="A71" s="946" t="s">
        <v>11097</v>
      </c>
      <c r="B71" s="784" t="s">
        <v>11108</v>
      </c>
      <c r="C71" s="784" t="s">
        <v>11126</v>
      </c>
      <c r="D71" s="785">
        <v>33676110</v>
      </c>
      <c r="E71" s="791" t="s">
        <v>11045</v>
      </c>
      <c r="F71" s="785"/>
      <c r="G71" s="785" t="s">
        <v>11111</v>
      </c>
      <c r="H71" s="785"/>
      <c r="I71" s="785"/>
      <c r="J71" s="785" t="s">
        <v>1550</v>
      </c>
      <c r="K71" s="786">
        <v>550</v>
      </c>
      <c r="L71" s="785" t="s">
        <v>11019</v>
      </c>
      <c r="M71" s="786">
        <v>4950</v>
      </c>
      <c r="N71" s="947"/>
    </row>
    <row r="72" spans="1:14" x14ac:dyDescent="0.2">
      <c r="A72" s="946" t="s">
        <v>11097</v>
      </c>
      <c r="B72" s="784" t="s">
        <v>11108</v>
      </c>
      <c r="C72" s="784" t="s">
        <v>11127</v>
      </c>
      <c r="D72" s="785">
        <v>33678885</v>
      </c>
      <c r="E72" s="791" t="s">
        <v>11045</v>
      </c>
      <c r="F72" s="785"/>
      <c r="G72" s="785" t="s">
        <v>11041</v>
      </c>
      <c r="H72" s="785"/>
      <c r="I72" s="785"/>
      <c r="J72" s="785" t="s">
        <v>11042</v>
      </c>
      <c r="K72" s="786">
        <v>1600</v>
      </c>
      <c r="L72" s="785" t="s">
        <v>11019</v>
      </c>
      <c r="M72" s="786">
        <v>4800</v>
      </c>
      <c r="N72" s="947">
        <v>9600</v>
      </c>
    </row>
    <row r="73" spans="1:14" x14ac:dyDescent="0.2">
      <c r="A73" s="946" t="s">
        <v>11097</v>
      </c>
      <c r="B73" s="784" t="s">
        <v>11108</v>
      </c>
      <c r="C73" s="784" t="s">
        <v>11128</v>
      </c>
      <c r="D73" s="785">
        <v>33826572</v>
      </c>
      <c r="E73" s="791" t="s">
        <v>11045</v>
      </c>
      <c r="F73" s="785">
        <v>11059406</v>
      </c>
      <c r="G73" s="785" t="s">
        <v>11129</v>
      </c>
      <c r="H73" s="785"/>
      <c r="I73" s="785"/>
      <c r="J73" s="785" t="s">
        <v>11042</v>
      </c>
      <c r="K73" s="786">
        <v>2700</v>
      </c>
      <c r="L73" s="785" t="s">
        <v>11019</v>
      </c>
      <c r="M73" s="786"/>
      <c r="N73" s="947">
        <v>5400</v>
      </c>
    </row>
    <row r="74" spans="1:14" x14ac:dyDescent="0.2">
      <c r="A74" s="946"/>
      <c r="B74" s="784"/>
      <c r="C74" s="805"/>
      <c r="D74" s="784"/>
      <c r="E74" s="784"/>
      <c r="F74" s="785"/>
      <c r="G74" s="785"/>
      <c r="H74" s="785"/>
      <c r="I74" s="785"/>
      <c r="J74" s="785"/>
      <c r="K74" s="786"/>
      <c r="L74" s="785"/>
      <c r="M74" s="786"/>
      <c r="N74" s="947"/>
    </row>
    <row r="75" spans="1:14" x14ac:dyDescent="0.2">
      <c r="A75" s="946" t="s">
        <v>11097</v>
      </c>
      <c r="B75" s="784" t="s">
        <v>11130</v>
      </c>
      <c r="C75" s="784" t="s">
        <v>11131</v>
      </c>
      <c r="D75" s="784">
        <v>10337916428</v>
      </c>
      <c r="E75" s="791" t="s">
        <v>11045</v>
      </c>
      <c r="F75" s="784"/>
      <c r="G75" s="784"/>
      <c r="H75" s="785"/>
      <c r="I75" s="785"/>
      <c r="J75" s="785" t="s">
        <v>11132</v>
      </c>
      <c r="K75" s="786">
        <v>4000</v>
      </c>
      <c r="L75" s="785" t="s">
        <v>11133</v>
      </c>
      <c r="M75" s="786">
        <v>4000</v>
      </c>
      <c r="N75" s="947"/>
    </row>
    <row r="76" spans="1:14" x14ac:dyDescent="0.2">
      <c r="A76" s="946" t="s">
        <v>11097</v>
      </c>
      <c r="B76" s="784" t="s">
        <v>11130</v>
      </c>
      <c r="C76" s="784" t="s">
        <v>11134</v>
      </c>
      <c r="D76" s="784">
        <v>10054151611</v>
      </c>
      <c r="E76" s="791" t="s">
        <v>11045</v>
      </c>
      <c r="F76" s="784"/>
      <c r="G76" s="784"/>
      <c r="H76" s="785"/>
      <c r="I76" s="785"/>
      <c r="J76" s="785" t="s">
        <v>11091</v>
      </c>
      <c r="K76" s="786">
        <v>31500</v>
      </c>
      <c r="L76" s="785" t="s">
        <v>11135</v>
      </c>
      <c r="M76" s="786">
        <v>31500</v>
      </c>
      <c r="N76" s="947"/>
    </row>
    <row r="77" spans="1:14" x14ac:dyDescent="0.2">
      <c r="A77" s="946" t="s">
        <v>11097</v>
      </c>
      <c r="B77" s="784" t="s">
        <v>11130</v>
      </c>
      <c r="C77" s="784" t="s">
        <v>11136</v>
      </c>
      <c r="D77" s="784">
        <v>20539130677</v>
      </c>
      <c r="E77" s="791" t="s">
        <v>11045</v>
      </c>
      <c r="F77" s="784"/>
      <c r="G77" s="784"/>
      <c r="H77" s="785"/>
      <c r="I77" s="785"/>
      <c r="J77" s="785" t="s">
        <v>11091</v>
      </c>
      <c r="K77" s="786">
        <v>4950</v>
      </c>
      <c r="L77" s="785" t="s">
        <v>11135</v>
      </c>
      <c r="M77" s="786"/>
      <c r="N77" s="947">
        <v>4950</v>
      </c>
    </row>
    <row r="78" spans="1:14" x14ac:dyDescent="0.2">
      <c r="A78" s="946" t="s">
        <v>11097</v>
      </c>
      <c r="B78" s="784" t="s">
        <v>11130</v>
      </c>
      <c r="C78" s="784" t="s">
        <v>11137</v>
      </c>
      <c r="D78" s="784">
        <v>10452849459</v>
      </c>
      <c r="E78" s="791" t="s">
        <v>11045</v>
      </c>
      <c r="F78" s="784"/>
      <c r="G78" s="784"/>
      <c r="H78" s="785"/>
      <c r="I78" s="785"/>
      <c r="J78" s="785" t="s">
        <v>11138</v>
      </c>
      <c r="K78" s="786">
        <v>3000</v>
      </c>
      <c r="L78" s="785" t="s">
        <v>11135</v>
      </c>
      <c r="M78" s="786"/>
      <c r="N78" s="947">
        <v>3000</v>
      </c>
    </row>
    <row r="79" spans="1:14" x14ac:dyDescent="0.2">
      <c r="A79" s="948"/>
      <c r="B79" s="784"/>
      <c r="C79" s="807"/>
      <c r="D79" s="790"/>
      <c r="E79" s="790"/>
      <c r="F79" s="784"/>
      <c r="G79" s="790"/>
      <c r="H79" s="785"/>
      <c r="I79" s="785"/>
      <c r="J79" s="790"/>
      <c r="K79" s="802"/>
      <c r="L79" s="789"/>
      <c r="M79" s="790"/>
      <c r="N79" s="953"/>
    </row>
    <row r="80" spans="1:14" x14ac:dyDescent="0.2">
      <c r="A80" s="946"/>
      <c r="B80" s="784"/>
      <c r="C80" s="784"/>
      <c r="D80" s="784"/>
      <c r="E80" s="784"/>
      <c r="F80" s="784"/>
      <c r="G80" s="784"/>
      <c r="H80" s="785"/>
      <c r="I80" s="785"/>
      <c r="J80" s="785"/>
      <c r="K80" s="785"/>
      <c r="L80" s="785"/>
      <c r="M80" s="784"/>
      <c r="N80" s="950"/>
    </row>
    <row r="81" spans="1:14" ht="26.25" customHeight="1" thickBot="1" x14ac:dyDescent="0.25">
      <c r="A81" s="1030"/>
      <c r="B81" s="1031"/>
      <c r="C81" s="1032"/>
      <c r="D81" s="1032"/>
      <c r="E81" s="1032"/>
      <c r="F81" s="1032"/>
      <c r="G81" s="1032"/>
      <c r="H81" s="1033"/>
      <c r="I81" s="1033"/>
      <c r="J81" s="1032"/>
      <c r="K81" s="1033"/>
      <c r="L81" s="1033"/>
      <c r="M81" s="1034">
        <f>SUM(M6:M80)</f>
        <v>1287022</v>
      </c>
      <c r="N81" s="1035">
        <f>SUM(N6:N80)</f>
        <v>1046503.34</v>
      </c>
    </row>
    <row r="82" spans="1:14" ht="21.75" customHeight="1" x14ac:dyDescent="0.2">
      <c r="A82" s="50" t="s">
        <v>452</v>
      </c>
    </row>
  </sheetData>
  <mergeCells count="6">
    <mergeCell ref="M4:M5"/>
    <mergeCell ref="N4:N5"/>
    <mergeCell ref="C4:D4"/>
    <mergeCell ref="A4:B4"/>
    <mergeCell ref="J4:L4"/>
    <mergeCell ref="E4:I4"/>
  </mergeCell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N20"/>
  <sheetViews>
    <sheetView topLeftCell="A16" zoomScaleNormal="100" zoomScaleSheetLayoutView="100" workbookViewId="0">
      <selection activeCell="A39" sqref="A39"/>
    </sheetView>
  </sheetViews>
  <sheetFormatPr baseColWidth="10" defaultColWidth="2" defaultRowHeight="11.25" x14ac:dyDescent="0.2"/>
  <cols>
    <col min="1" max="1" width="19.5703125" style="31" customWidth="1"/>
    <col min="2" max="2" width="9.5703125" style="31" customWidth="1"/>
    <col min="3" max="3" width="18.140625" style="31" customWidth="1"/>
    <col min="4" max="4" width="18.42578125" style="31" customWidth="1"/>
    <col min="5" max="5" width="8.140625" style="31" customWidth="1"/>
    <col min="6" max="6" width="9.5703125" style="31" customWidth="1"/>
    <col min="7" max="7" width="10.85546875" style="31" customWidth="1"/>
    <col min="8" max="8" width="11" style="31" customWidth="1"/>
    <col min="9" max="9" width="7.140625" style="31" customWidth="1"/>
    <col min="10" max="10" width="8.5703125" style="31" customWidth="1"/>
    <col min="11" max="11" width="6.85546875" style="31" customWidth="1"/>
    <col min="12" max="12" width="9.7109375" style="31" customWidth="1"/>
    <col min="13" max="14" width="7" style="31" customWidth="1"/>
    <col min="15" max="15" width="8.7109375" style="31" customWidth="1"/>
    <col min="16" max="16384" width="2" style="31"/>
  </cols>
  <sheetData>
    <row r="1" spans="1:14" s="192" customFormat="1" ht="12.75" x14ac:dyDescent="0.2">
      <c r="A1" s="190" t="s">
        <v>412</v>
      </c>
      <c r="B1" s="191"/>
      <c r="C1" s="190"/>
    </row>
    <row r="2" spans="1:14" s="192" customFormat="1" ht="12" thickBot="1" x14ac:dyDescent="0.25">
      <c r="A2" s="193" t="s">
        <v>486</v>
      </c>
      <c r="B2" s="193"/>
      <c r="C2" s="193"/>
    </row>
    <row r="3" spans="1:14" s="30" customFormat="1" ht="22.5" customHeight="1" x14ac:dyDescent="0.2">
      <c r="A3" s="1043" t="s">
        <v>322</v>
      </c>
      <c r="B3" s="1043" t="s">
        <v>325</v>
      </c>
      <c r="C3" s="1041" t="s">
        <v>324</v>
      </c>
      <c r="D3" s="1045" t="s">
        <v>323</v>
      </c>
      <c r="E3" s="1045" t="s">
        <v>300</v>
      </c>
      <c r="F3" s="1045" t="s">
        <v>301</v>
      </c>
      <c r="G3" s="1045" t="s">
        <v>144</v>
      </c>
      <c r="H3" s="1045" t="s">
        <v>302</v>
      </c>
      <c r="I3" s="1039">
        <v>2021</v>
      </c>
      <c r="J3" s="1040"/>
      <c r="K3" s="1039">
        <v>2022</v>
      </c>
      <c r="L3" s="1040"/>
      <c r="M3" s="79">
        <v>2021</v>
      </c>
      <c r="N3" s="79">
        <v>2022</v>
      </c>
    </row>
    <row r="4" spans="1:14" s="30" customFormat="1" ht="22.5" x14ac:dyDescent="0.2">
      <c r="A4" s="1044"/>
      <c r="B4" s="1044"/>
      <c r="C4" s="1042"/>
      <c r="D4" s="1046"/>
      <c r="E4" s="1046"/>
      <c r="F4" s="1046"/>
      <c r="G4" s="1046"/>
      <c r="H4" s="1046"/>
      <c r="I4" s="188" t="s">
        <v>305</v>
      </c>
      <c r="J4" s="188" t="s">
        <v>303</v>
      </c>
      <c r="K4" s="188" t="s">
        <v>305</v>
      </c>
      <c r="L4" s="188" t="s">
        <v>304</v>
      </c>
      <c r="M4" s="188" t="s">
        <v>305</v>
      </c>
      <c r="N4" s="188" t="s">
        <v>305</v>
      </c>
    </row>
    <row r="5" spans="1:14" s="55" customFormat="1" ht="45" x14ac:dyDescent="0.2">
      <c r="A5" s="1047" t="s">
        <v>487</v>
      </c>
      <c r="B5" s="110"/>
      <c r="C5" s="53" t="s">
        <v>488</v>
      </c>
      <c r="D5" s="54" t="s">
        <v>489</v>
      </c>
      <c r="E5" s="194" t="s">
        <v>490</v>
      </c>
      <c r="F5" s="194">
        <v>18</v>
      </c>
      <c r="G5" s="194" t="s">
        <v>491</v>
      </c>
      <c r="H5" s="194" t="s">
        <v>492</v>
      </c>
      <c r="I5" s="194">
        <v>18</v>
      </c>
      <c r="J5" s="194"/>
      <c r="K5" s="194">
        <v>16</v>
      </c>
      <c r="L5" s="194"/>
      <c r="M5" s="194">
        <v>18</v>
      </c>
      <c r="N5" s="194">
        <v>16</v>
      </c>
    </row>
    <row r="6" spans="1:14" s="55" customFormat="1" ht="56.25" x14ac:dyDescent="0.2">
      <c r="A6" s="1048"/>
      <c r="B6" s="110"/>
      <c r="C6" s="53" t="s">
        <v>493</v>
      </c>
      <c r="D6" s="54" t="s">
        <v>494</v>
      </c>
      <c r="E6" s="194" t="s">
        <v>495</v>
      </c>
      <c r="F6" s="195">
        <v>0.28000000000000003</v>
      </c>
      <c r="G6" s="194" t="s">
        <v>496</v>
      </c>
      <c r="H6" s="194" t="s">
        <v>497</v>
      </c>
      <c r="I6" s="195">
        <v>0.28000000000000003</v>
      </c>
      <c r="J6" s="194"/>
      <c r="K6" s="195">
        <v>0.31</v>
      </c>
      <c r="L6" s="194"/>
      <c r="M6" s="195">
        <v>0.28000000000000003</v>
      </c>
      <c r="N6" s="195">
        <v>0.31</v>
      </c>
    </row>
    <row r="7" spans="1:14" s="55" customFormat="1" ht="56.25" x14ac:dyDescent="0.2">
      <c r="A7" s="1048"/>
      <c r="B7" s="110"/>
      <c r="C7" s="1050" t="s">
        <v>498</v>
      </c>
      <c r="D7" s="54" t="s">
        <v>499</v>
      </c>
      <c r="E7" s="194" t="s">
        <v>500</v>
      </c>
      <c r="F7" s="195">
        <v>0.25</v>
      </c>
      <c r="G7" s="194" t="s">
        <v>501</v>
      </c>
      <c r="H7" s="194" t="s">
        <v>502</v>
      </c>
      <c r="I7" s="195">
        <v>0.25</v>
      </c>
      <c r="J7" s="194"/>
      <c r="K7" s="195">
        <v>0.28999999999999998</v>
      </c>
      <c r="L7" s="194"/>
      <c r="M7" s="195">
        <v>0.25</v>
      </c>
      <c r="N7" s="195">
        <v>0.28999999999999998</v>
      </c>
    </row>
    <row r="8" spans="1:14" s="55" customFormat="1" ht="27" customHeight="1" x14ac:dyDescent="0.2">
      <c r="A8" s="1048"/>
      <c r="B8" s="110"/>
      <c r="C8" s="1051"/>
      <c r="D8" s="54" t="s">
        <v>503</v>
      </c>
      <c r="E8" s="195" t="s">
        <v>504</v>
      </c>
      <c r="F8" s="195">
        <v>0.27</v>
      </c>
      <c r="G8" s="194" t="s">
        <v>501</v>
      </c>
      <c r="H8" s="194" t="s">
        <v>502</v>
      </c>
      <c r="I8" s="195">
        <v>0.27</v>
      </c>
      <c r="J8" s="194"/>
      <c r="K8" s="195">
        <v>0.31</v>
      </c>
      <c r="L8" s="194"/>
      <c r="M8" s="195">
        <v>0.27</v>
      </c>
      <c r="N8" s="195">
        <v>0.31</v>
      </c>
    </row>
    <row r="9" spans="1:14" s="55" customFormat="1" ht="22.5" customHeight="1" x14ac:dyDescent="0.2">
      <c r="A9" s="1048"/>
      <c r="B9" s="110"/>
      <c r="C9" s="1050" t="s">
        <v>505</v>
      </c>
      <c r="D9" s="54" t="s">
        <v>506</v>
      </c>
      <c r="E9" s="194" t="s">
        <v>507</v>
      </c>
      <c r="F9" s="194">
        <v>75</v>
      </c>
      <c r="G9" s="194" t="s">
        <v>508</v>
      </c>
      <c r="H9" s="194" t="s">
        <v>509</v>
      </c>
      <c r="I9" s="194">
        <v>75</v>
      </c>
      <c r="J9" s="194"/>
      <c r="K9" s="194">
        <v>75</v>
      </c>
      <c r="L9" s="194"/>
      <c r="M9" s="194">
        <v>75</v>
      </c>
      <c r="N9" s="194">
        <v>75</v>
      </c>
    </row>
    <row r="10" spans="1:14" s="55" customFormat="1" ht="45" x14ac:dyDescent="0.2">
      <c r="A10" s="1048"/>
      <c r="B10" s="110"/>
      <c r="C10" s="1051"/>
      <c r="D10" s="54" t="s">
        <v>510</v>
      </c>
      <c r="E10" s="194" t="s">
        <v>507</v>
      </c>
      <c r="F10" s="194">
        <v>4</v>
      </c>
      <c r="G10" s="194" t="s">
        <v>511</v>
      </c>
      <c r="H10" s="194" t="s">
        <v>509</v>
      </c>
      <c r="I10" s="194">
        <v>4</v>
      </c>
      <c r="J10" s="194"/>
      <c r="K10" s="194">
        <v>5</v>
      </c>
      <c r="L10" s="194"/>
      <c r="M10" s="194">
        <v>4</v>
      </c>
      <c r="N10" s="194">
        <v>5</v>
      </c>
    </row>
    <row r="11" spans="1:14" s="55" customFormat="1" ht="56.25" x14ac:dyDescent="0.2">
      <c r="A11" s="1048"/>
      <c r="B11" s="110"/>
      <c r="C11" s="1050" t="s">
        <v>512</v>
      </c>
      <c r="D11" s="54" t="s">
        <v>513</v>
      </c>
      <c r="E11" s="194" t="s">
        <v>514</v>
      </c>
      <c r="F11" s="194">
        <v>1000</v>
      </c>
      <c r="G11" s="194" t="s">
        <v>515</v>
      </c>
      <c r="H11" s="194" t="s">
        <v>516</v>
      </c>
      <c r="I11" s="194">
        <v>1000</v>
      </c>
      <c r="J11" s="194"/>
      <c r="K11" s="194">
        <v>1000</v>
      </c>
      <c r="L11" s="194"/>
      <c r="M11" s="194">
        <v>1000</v>
      </c>
      <c r="N11" s="194">
        <v>1000</v>
      </c>
    </row>
    <row r="12" spans="1:14" s="55" customFormat="1" ht="45" x14ac:dyDescent="0.2">
      <c r="A12" s="1048"/>
      <c r="B12" s="110"/>
      <c r="C12" s="1051"/>
      <c r="D12" s="54" t="s">
        <v>517</v>
      </c>
      <c r="E12" s="194" t="s">
        <v>507</v>
      </c>
      <c r="F12" s="194">
        <v>55</v>
      </c>
      <c r="G12" s="194" t="s">
        <v>516</v>
      </c>
      <c r="H12" s="194" t="s">
        <v>516</v>
      </c>
      <c r="I12" s="194">
        <v>55</v>
      </c>
      <c r="J12" s="194"/>
      <c r="K12" s="194">
        <v>68</v>
      </c>
      <c r="L12" s="194"/>
      <c r="M12" s="194">
        <v>55</v>
      </c>
      <c r="N12" s="194">
        <v>68</v>
      </c>
    </row>
    <row r="13" spans="1:14" s="55" customFormat="1" ht="33.75" customHeight="1" x14ac:dyDescent="0.2">
      <c r="A13" s="1048"/>
      <c r="B13" s="110"/>
      <c r="C13" s="1050" t="s">
        <v>518</v>
      </c>
      <c r="D13" s="54" t="s">
        <v>519</v>
      </c>
      <c r="E13" s="194" t="s">
        <v>520</v>
      </c>
      <c r="F13" s="194" t="s">
        <v>521</v>
      </c>
      <c r="G13" s="194" t="s">
        <v>522</v>
      </c>
      <c r="H13" s="194" t="s">
        <v>522</v>
      </c>
      <c r="I13" s="194" t="s">
        <v>521</v>
      </c>
      <c r="J13" s="194"/>
      <c r="K13" s="194" t="s">
        <v>523</v>
      </c>
      <c r="L13" s="194"/>
      <c r="M13" s="194" t="s">
        <v>521</v>
      </c>
      <c r="N13" s="194" t="s">
        <v>523</v>
      </c>
    </row>
    <row r="14" spans="1:14" s="55" customFormat="1" ht="34.5" thickBot="1" x14ac:dyDescent="0.25">
      <c r="A14" s="1048"/>
      <c r="B14" s="955"/>
      <c r="C14" s="1052"/>
      <c r="D14" s="54" t="s">
        <v>524</v>
      </c>
      <c r="E14" s="194" t="s">
        <v>525</v>
      </c>
      <c r="F14" s="194" t="s">
        <v>526</v>
      </c>
      <c r="G14" s="194" t="s">
        <v>527</v>
      </c>
      <c r="H14" s="194" t="s">
        <v>522</v>
      </c>
      <c r="I14" s="194" t="s">
        <v>526</v>
      </c>
      <c r="J14" s="194"/>
      <c r="K14" s="194" t="s">
        <v>528</v>
      </c>
      <c r="L14" s="194"/>
      <c r="M14" s="194" t="s">
        <v>526</v>
      </c>
      <c r="N14" s="194" t="s">
        <v>528</v>
      </c>
    </row>
    <row r="15" spans="1:14" s="55" customFormat="1" ht="33.75" x14ac:dyDescent="0.2">
      <c r="A15" s="1048"/>
      <c r="B15" s="954"/>
      <c r="C15" s="1051"/>
      <c r="D15" s="54" t="s">
        <v>529</v>
      </c>
      <c r="E15" s="194" t="s">
        <v>507</v>
      </c>
      <c r="F15" s="194">
        <v>2</v>
      </c>
      <c r="G15" s="194" t="s">
        <v>530</v>
      </c>
      <c r="H15" s="194" t="s">
        <v>522</v>
      </c>
      <c r="I15" s="194">
        <v>2</v>
      </c>
      <c r="J15" s="194"/>
      <c r="K15" s="194">
        <v>3</v>
      </c>
      <c r="L15" s="194"/>
      <c r="M15" s="194">
        <v>2</v>
      </c>
      <c r="N15" s="194">
        <v>3</v>
      </c>
    </row>
    <row r="16" spans="1:14" s="55" customFormat="1" ht="22.5" customHeight="1" x14ac:dyDescent="0.2">
      <c r="A16" s="1048"/>
      <c r="B16" s="110"/>
      <c r="C16" s="1050" t="s">
        <v>531</v>
      </c>
      <c r="D16" s="54" t="s">
        <v>532</v>
      </c>
      <c r="E16" s="194" t="s">
        <v>533</v>
      </c>
      <c r="F16" s="194" t="s">
        <v>534</v>
      </c>
      <c r="G16" s="194" t="s">
        <v>535</v>
      </c>
      <c r="H16" s="194" t="s">
        <v>536</v>
      </c>
      <c r="I16" s="194" t="s">
        <v>534</v>
      </c>
      <c r="J16" s="194"/>
      <c r="K16" s="194" t="s">
        <v>537</v>
      </c>
      <c r="L16" s="194"/>
      <c r="M16" s="194" t="s">
        <v>534</v>
      </c>
      <c r="N16" s="194" t="s">
        <v>537</v>
      </c>
    </row>
    <row r="17" spans="1:14" s="55" customFormat="1" ht="22.5" x14ac:dyDescent="0.2">
      <c r="A17" s="1048"/>
      <c r="B17" s="110"/>
      <c r="C17" s="1051"/>
      <c r="D17" s="54" t="s">
        <v>538</v>
      </c>
      <c r="E17" s="194" t="s">
        <v>539</v>
      </c>
      <c r="F17" s="195">
        <v>0.87</v>
      </c>
      <c r="G17" s="194" t="s">
        <v>535</v>
      </c>
      <c r="H17" s="194" t="s">
        <v>536</v>
      </c>
      <c r="I17" s="195">
        <v>0.87</v>
      </c>
      <c r="J17" s="194"/>
      <c r="K17" s="195">
        <v>0.88</v>
      </c>
      <c r="L17" s="194"/>
      <c r="M17" s="195">
        <v>0.87</v>
      </c>
      <c r="N17" s="195">
        <v>0.88</v>
      </c>
    </row>
    <row r="18" spans="1:14" s="55" customFormat="1" ht="56.25" x14ac:dyDescent="0.2">
      <c r="A18" s="1048"/>
      <c r="B18" s="110"/>
      <c r="C18" s="53" t="s">
        <v>540</v>
      </c>
      <c r="D18" s="54" t="s">
        <v>541</v>
      </c>
      <c r="E18" s="194" t="s">
        <v>507</v>
      </c>
      <c r="F18" s="194">
        <v>20</v>
      </c>
      <c r="G18" s="194" t="s">
        <v>542</v>
      </c>
      <c r="H18" s="194" t="s">
        <v>542</v>
      </c>
      <c r="I18" s="194">
        <v>20</v>
      </c>
      <c r="J18" s="194"/>
      <c r="K18" s="194">
        <v>30</v>
      </c>
      <c r="L18" s="194"/>
      <c r="M18" s="194">
        <v>20</v>
      </c>
      <c r="N18" s="194">
        <v>30</v>
      </c>
    </row>
    <row r="19" spans="1:14" ht="56.25" x14ac:dyDescent="0.2">
      <c r="A19" s="1048"/>
      <c r="B19" s="110"/>
      <c r="C19" s="53" t="s">
        <v>543</v>
      </c>
      <c r="D19" s="54" t="s">
        <v>544</v>
      </c>
      <c r="E19" s="194" t="s">
        <v>507</v>
      </c>
      <c r="F19" s="195">
        <v>0.5</v>
      </c>
      <c r="G19" s="194" t="s">
        <v>536</v>
      </c>
      <c r="H19" s="194" t="s">
        <v>536</v>
      </c>
      <c r="I19" s="195">
        <v>0.5</v>
      </c>
      <c r="J19" s="194"/>
      <c r="K19" s="195">
        <v>0.55000000000000004</v>
      </c>
      <c r="L19" s="194"/>
      <c r="M19" s="195">
        <v>0.5</v>
      </c>
      <c r="N19" s="195">
        <v>0.55000000000000004</v>
      </c>
    </row>
    <row r="20" spans="1:14" ht="45.75" thickBot="1" x14ac:dyDescent="0.25">
      <c r="A20" s="1049"/>
      <c r="B20" s="196"/>
      <c r="C20" s="56" t="s">
        <v>545</v>
      </c>
      <c r="D20" s="57" t="s">
        <v>546</v>
      </c>
      <c r="E20" s="197" t="s">
        <v>507</v>
      </c>
      <c r="F20" s="198">
        <v>0.54</v>
      </c>
      <c r="G20" s="197" t="s">
        <v>547</v>
      </c>
      <c r="H20" s="197" t="s">
        <v>547</v>
      </c>
      <c r="I20" s="198">
        <v>0.54</v>
      </c>
      <c r="J20" s="197"/>
      <c r="K20" s="198">
        <v>0.57999999999999996</v>
      </c>
      <c r="L20" s="197"/>
      <c r="M20" s="198">
        <v>0.54</v>
      </c>
      <c r="N20" s="198">
        <v>0.57999999999999996</v>
      </c>
    </row>
  </sheetData>
  <mergeCells count="16">
    <mergeCell ref="A5:A20"/>
    <mergeCell ref="C7:C8"/>
    <mergeCell ref="C9:C10"/>
    <mergeCell ref="C11:C12"/>
    <mergeCell ref="C13:C15"/>
    <mergeCell ref="C16:C17"/>
    <mergeCell ref="I3:J3"/>
    <mergeCell ref="K3:L3"/>
    <mergeCell ref="C3:C4"/>
    <mergeCell ref="B3:B4"/>
    <mergeCell ref="A3:A4"/>
    <mergeCell ref="D3:D4"/>
    <mergeCell ref="E3:E4"/>
    <mergeCell ref="F3:F4"/>
    <mergeCell ref="G3:G4"/>
    <mergeCell ref="H3:H4"/>
  </mergeCells>
  <printOptions horizontalCentered="1"/>
  <pageMargins left="0.23622047244094491" right="0.23622047244094491" top="0.74803149606299213" bottom="0.74803149606299213" header="0.31496062992125984" footer="0.31496062992125984"/>
  <pageSetup paperSize="9" scale="96"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10.7109375" defaultRowHeight="12.7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10.7109375"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21"/>
  <sheetViews>
    <sheetView zoomScaleNormal="100" workbookViewId="0">
      <selection activeCell="C17" sqref="C17"/>
    </sheetView>
  </sheetViews>
  <sheetFormatPr baseColWidth="10" defaultColWidth="11.28515625" defaultRowHeight="12.75" x14ac:dyDescent="0.2"/>
  <cols>
    <col min="1" max="1" width="61.5703125" customWidth="1"/>
    <col min="2" max="2" width="19.5703125" customWidth="1"/>
    <col min="3" max="4" width="18.85546875" customWidth="1"/>
    <col min="7" max="7" width="16.42578125" bestFit="1" customWidth="1"/>
  </cols>
  <sheetData>
    <row r="1" spans="1:4" x14ac:dyDescent="0.2">
      <c r="A1" s="51" t="s">
        <v>413</v>
      </c>
    </row>
    <row r="2" spans="1:4" x14ac:dyDescent="0.2">
      <c r="A2" s="52" t="s">
        <v>11141</v>
      </c>
    </row>
    <row r="3" spans="1:4" s="67" customFormat="1" ht="28.35" customHeight="1" x14ac:dyDescent="0.2">
      <c r="A3" s="77" t="s">
        <v>359</v>
      </c>
      <c r="B3" s="78">
        <v>2020</v>
      </c>
      <c r="C3" s="78">
        <v>2021</v>
      </c>
      <c r="D3" s="78">
        <v>2022</v>
      </c>
    </row>
    <row r="4" spans="1:4" s="70" customFormat="1" ht="33" customHeight="1" x14ac:dyDescent="0.2">
      <c r="A4" s="69" t="s">
        <v>356</v>
      </c>
      <c r="B4" s="183">
        <v>63255341</v>
      </c>
      <c r="C4" s="183">
        <v>54103618</v>
      </c>
      <c r="D4" s="482">
        <v>69115388</v>
      </c>
    </row>
    <row r="5" spans="1:4" s="70" customFormat="1" ht="33" customHeight="1" x14ac:dyDescent="0.2">
      <c r="A5" s="69" t="s">
        <v>357</v>
      </c>
      <c r="B5" s="182">
        <v>107891887</v>
      </c>
      <c r="C5" s="183">
        <v>112408960</v>
      </c>
      <c r="D5" s="183">
        <v>134392906</v>
      </c>
    </row>
    <row r="6" spans="1:4" s="70" customFormat="1" ht="33" customHeight="1" x14ac:dyDescent="0.2">
      <c r="A6" s="69" t="s">
        <v>358</v>
      </c>
      <c r="B6" s="183">
        <v>726822717</v>
      </c>
      <c r="C6" s="183">
        <v>780288191</v>
      </c>
      <c r="D6" s="482">
        <v>735703722</v>
      </c>
    </row>
    <row r="7" spans="1:4" s="74" customFormat="1" ht="28.35" customHeight="1" x14ac:dyDescent="0.2">
      <c r="A7" s="75" t="s">
        <v>350</v>
      </c>
      <c r="B7" s="184">
        <f>SUM(B4:B6)</f>
        <v>897969945</v>
      </c>
      <c r="C7" s="184">
        <f>SUM(C4:C6)</f>
        <v>946800769</v>
      </c>
      <c r="D7" s="184">
        <f>SUM(D4:D6)</f>
        <v>939212016</v>
      </c>
    </row>
    <row r="9" spans="1:4" s="67" customFormat="1" ht="28.35" customHeight="1" x14ac:dyDescent="0.2">
      <c r="A9" s="77" t="s">
        <v>360</v>
      </c>
      <c r="B9" s="78">
        <v>2020</v>
      </c>
      <c r="C9" s="78" t="s">
        <v>414</v>
      </c>
      <c r="D9" s="78" t="s">
        <v>415</v>
      </c>
    </row>
    <row r="10" spans="1:4" s="70" customFormat="1" ht="32.25" customHeight="1" x14ac:dyDescent="0.2">
      <c r="A10" s="69" t="s">
        <v>356</v>
      </c>
      <c r="B10" s="183">
        <v>59468102</v>
      </c>
      <c r="C10" s="183">
        <v>61778402</v>
      </c>
      <c r="D10" s="482">
        <v>69115388</v>
      </c>
    </row>
    <row r="11" spans="1:4" s="70" customFormat="1" ht="32.25" customHeight="1" x14ac:dyDescent="0.2">
      <c r="A11" s="69" t="s">
        <v>357</v>
      </c>
      <c r="B11" s="183">
        <v>197602093</v>
      </c>
      <c r="C11" s="183">
        <v>235570244</v>
      </c>
      <c r="D11" s="183">
        <v>134392906</v>
      </c>
    </row>
    <row r="12" spans="1:4" s="70" customFormat="1" ht="32.25" customHeight="1" x14ac:dyDescent="0.2">
      <c r="A12" s="69" t="s">
        <v>358</v>
      </c>
      <c r="B12" s="183">
        <v>887177363</v>
      </c>
      <c r="C12" s="183">
        <v>830769897</v>
      </c>
      <c r="D12" s="482">
        <v>735703722</v>
      </c>
    </row>
    <row r="13" spans="1:4" s="74" customFormat="1" ht="28.35" customHeight="1" x14ac:dyDescent="0.2">
      <c r="A13" s="75" t="s">
        <v>351</v>
      </c>
      <c r="B13" s="184">
        <f>SUM(B10:B12)</f>
        <v>1144247558</v>
      </c>
      <c r="C13" s="184">
        <f>SUM(C10:C12)</f>
        <v>1128118543</v>
      </c>
      <c r="D13" s="184">
        <f>SUM(D10:D12)</f>
        <v>939212016</v>
      </c>
    </row>
    <row r="15" spans="1:4" s="67" customFormat="1" ht="28.35" customHeight="1" x14ac:dyDescent="0.2">
      <c r="A15" s="77" t="s">
        <v>361</v>
      </c>
      <c r="B15" s="78">
        <v>2020</v>
      </c>
      <c r="C15" s="78" t="s">
        <v>414</v>
      </c>
      <c r="D15" s="78" t="s">
        <v>415</v>
      </c>
    </row>
    <row r="16" spans="1:4" s="70" customFormat="1" ht="35.25" customHeight="1" x14ac:dyDescent="0.2">
      <c r="A16" s="69" t="s">
        <v>356</v>
      </c>
      <c r="B16" s="183">
        <v>3795104796</v>
      </c>
      <c r="C16" s="183">
        <v>61778402</v>
      </c>
      <c r="D16" s="183">
        <v>69115388</v>
      </c>
    </row>
    <row r="17" spans="1:7" s="70" customFormat="1" ht="35.25" customHeight="1" x14ac:dyDescent="0.2">
      <c r="A17" s="69" t="s">
        <v>357</v>
      </c>
      <c r="B17" s="183">
        <v>10105149936</v>
      </c>
      <c r="C17" s="183">
        <v>235570244</v>
      </c>
      <c r="D17" s="183">
        <v>134392906</v>
      </c>
    </row>
    <row r="18" spans="1:7" s="70" customFormat="1" ht="35.25" customHeight="1" x14ac:dyDescent="0.2">
      <c r="A18" s="69" t="s">
        <v>358</v>
      </c>
      <c r="B18" s="183">
        <v>23123879677</v>
      </c>
      <c r="C18" s="183">
        <v>1128118543</v>
      </c>
      <c r="D18" s="183">
        <v>2817636048</v>
      </c>
    </row>
    <row r="19" spans="1:7" s="74" customFormat="1" ht="28.35" customHeight="1" x14ac:dyDescent="0.2">
      <c r="A19" s="75" t="s">
        <v>352</v>
      </c>
      <c r="B19" s="489">
        <f>SUM(B16:B18)</f>
        <v>37024134409</v>
      </c>
      <c r="C19" s="184">
        <f>SUM(C16:C18)</f>
        <v>1425467189</v>
      </c>
      <c r="D19" s="184">
        <f>SUM(D16:D18)</f>
        <v>3021144342</v>
      </c>
      <c r="G19" s="506"/>
    </row>
    <row r="20" spans="1:7" x14ac:dyDescent="0.2">
      <c r="A20" s="171" t="s">
        <v>416</v>
      </c>
    </row>
    <row r="21" spans="1:7" x14ac:dyDescent="0.2">
      <c r="A21" s="172" t="s">
        <v>417</v>
      </c>
    </row>
  </sheetData>
  <pageMargins left="0.70866141732283472" right="0.51181102362204722" top="0.74803149606299213" bottom="0.74803149606299213" header="0.31496062992125984" footer="0.31496062992125984"/>
  <pageSetup paperSize="9" scale="75" orientation="portrait" r:id="rId1"/>
  <headerFooter>
    <oddHeader xml:space="preserve">&amp;L&amp;"Arial,Negrita"&amp;14
&amp;C&amp;"Arial,Negrita"&amp;18PROYECTO DE PRESUPUESTO 2022&amp;R&amp;"Arial,Negrita"&amp;14 </oddHeader>
    <oddFooter>&amp;L&amp;"Arial,Negrita"&amp;8PROYECTO DE PRESUPUESTO PARA EL AÑO FISCAL 2022
INFORMACIÓN PARA LA COMISIÓN DE PRESUPUESTO Y CUENTA GENERAL DE LA REPÚBLICA DEL CONGRESO DE LA REPÚBLICA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D54"/>
  <sheetViews>
    <sheetView topLeftCell="A28" zoomScaleNormal="100" workbookViewId="0">
      <selection activeCell="A32" sqref="A32"/>
    </sheetView>
  </sheetViews>
  <sheetFormatPr baseColWidth="10" defaultColWidth="11.28515625" defaultRowHeight="12.75" x14ac:dyDescent="0.2"/>
  <cols>
    <col min="1" max="1" width="49.85546875" customWidth="1"/>
    <col min="2" max="2" width="18.5703125" customWidth="1"/>
    <col min="3" max="3" width="16" customWidth="1"/>
    <col min="4" max="4" width="16.85546875" customWidth="1"/>
  </cols>
  <sheetData>
    <row r="1" spans="1:4" x14ac:dyDescent="0.2">
      <c r="A1" s="51" t="s">
        <v>418</v>
      </c>
    </row>
    <row r="2" spans="1:4" x14ac:dyDescent="0.2">
      <c r="A2" s="52" t="s">
        <v>11142</v>
      </c>
    </row>
    <row r="3" spans="1:4" s="67" customFormat="1" ht="28.35" customHeight="1" x14ac:dyDescent="0.2">
      <c r="A3" s="77" t="s">
        <v>355</v>
      </c>
      <c r="B3" s="78">
        <v>2020</v>
      </c>
      <c r="C3" s="78">
        <v>2021</v>
      </c>
      <c r="D3" s="78">
        <v>2022</v>
      </c>
    </row>
    <row r="4" spans="1:4" s="72" customFormat="1" x14ac:dyDescent="0.2">
      <c r="A4" s="71" t="s">
        <v>125</v>
      </c>
      <c r="B4" s="71"/>
      <c r="C4" s="71"/>
      <c r="D4" s="71"/>
    </row>
    <row r="5" spans="1:4" s="70" customFormat="1" x14ac:dyDescent="0.2">
      <c r="A5" s="68" t="s">
        <v>114</v>
      </c>
      <c r="B5" s="69">
        <v>0</v>
      </c>
      <c r="C5" s="69">
        <v>0</v>
      </c>
      <c r="D5" s="69">
        <v>0</v>
      </c>
    </row>
    <row r="6" spans="1:4" s="70" customFormat="1" ht="15" x14ac:dyDescent="0.25">
      <c r="A6" s="68" t="s">
        <v>115</v>
      </c>
      <c r="B6" s="183">
        <v>505717678</v>
      </c>
      <c r="C6" s="183">
        <v>564506485</v>
      </c>
      <c r="D6" s="187">
        <v>556410505</v>
      </c>
    </row>
    <row r="7" spans="1:4" s="70" customFormat="1" ht="15" x14ac:dyDescent="0.25">
      <c r="A7" s="68" t="s">
        <v>116</v>
      </c>
      <c r="B7" s="183">
        <v>27064773</v>
      </c>
      <c r="C7" s="183">
        <v>25910775</v>
      </c>
      <c r="D7" s="187">
        <v>23337668</v>
      </c>
    </row>
    <row r="8" spans="1:4" s="70" customFormat="1" ht="15" x14ac:dyDescent="0.25">
      <c r="A8" s="68" t="s">
        <v>117</v>
      </c>
      <c r="B8" s="183">
        <v>116565532</v>
      </c>
      <c r="C8" s="183">
        <v>86290746</v>
      </c>
      <c r="D8" s="187">
        <v>109299285</v>
      </c>
    </row>
    <row r="9" spans="1:4" s="70" customFormat="1" x14ac:dyDescent="0.2">
      <c r="A9" s="68" t="s">
        <v>146</v>
      </c>
      <c r="B9" s="69">
        <v>0</v>
      </c>
      <c r="C9" s="69">
        <v>0</v>
      </c>
      <c r="D9" s="69">
        <v>0</v>
      </c>
    </row>
    <row r="10" spans="1:4" s="70" customFormat="1" ht="15" x14ac:dyDescent="0.25">
      <c r="A10" s="68" t="s">
        <v>147</v>
      </c>
      <c r="B10" s="183">
        <v>1267457</v>
      </c>
      <c r="C10" s="183">
        <v>1267457</v>
      </c>
      <c r="D10" s="187">
        <v>1253744</v>
      </c>
    </row>
    <row r="11" spans="1:4" s="70" customFormat="1" x14ac:dyDescent="0.2">
      <c r="A11" s="71" t="s">
        <v>113</v>
      </c>
      <c r="B11" s="186"/>
      <c r="C11" s="186"/>
      <c r="D11" s="186"/>
    </row>
    <row r="12" spans="1:4" s="70" customFormat="1" x14ac:dyDescent="0.2">
      <c r="A12" s="68" t="s">
        <v>145</v>
      </c>
      <c r="B12" s="69">
        <v>0</v>
      </c>
      <c r="C12" s="69">
        <v>0</v>
      </c>
      <c r="D12" s="69">
        <v>0</v>
      </c>
    </row>
    <row r="13" spans="1:4" s="70" customFormat="1" x14ac:dyDescent="0.2">
      <c r="A13" s="68" t="s">
        <v>148</v>
      </c>
      <c r="B13" s="69">
        <v>0</v>
      </c>
      <c r="C13" s="69">
        <v>0</v>
      </c>
      <c r="D13" s="69">
        <v>0</v>
      </c>
    </row>
    <row r="14" spans="1:4" s="70" customFormat="1" ht="15" x14ac:dyDescent="0.25">
      <c r="A14" s="68" t="s">
        <v>122</v>
      </c>
      <c r="B14" s="183">
        <v>247354505</v>
      </c>
      <c r="C14" s="183">
        <v>268825306</v>
      </c>
      <c r="D14" s="187">
        <v>248910814</v>
      </c>
    </row>
    <row r="15" spans="1:4" s="70" customFormat="1" x14ac:dyDescent="0.2">
      <c r="A15" s="68" t="s">
        <v>123</v>
      </c>
      <c r="B15" s="69">
        <v>0</v>
      </c>
      <c r="C15" s="69">
        <v>0</v>
      </c>
      <c r="D15" s="69">
        <v>0</v>
      </c>
    </row>
    <row r="16" spans="1:4" s="70" customFormat="1" x14ac:dyDescent="0.2">
      <c r="A16" s="71" t="s">
        <v>100</v>
      </c>
      <c r="B16" s="186"/>
      <c r="C16" s="186"/>
      <c r="D16" s="186"/>
    </row>
    <row r="17" spans="1:4" s="70" customFormat="1" x14ac:dyDescent="0.2">
      <c r="A17" s="68" t="s">
        <v>124</v>
      </c>
      <c r="B17" s="69">
        <v>0</v>
      </c>
      <c r="C17" s="69">
        <v>0</v>
      </c>
      <c r="D17" s="69">
        <v>0</v>
      </c>
    </row>
    <row r="18" spans="1:4" s="74" customFormat="1" ht="20.25" customHeight="1" x14ac:dyDescent="0.2">
      <c r="A18" s="73" t="s">
        <v>350</v>
      </c>
      <c r="B18" s="184">
        <f>SUM(B4:B17)</f>
        <v>897969945</v>
      </c>
      <c r="C18" s="184">
        <f>SUM(C5:C17)</f>
        <v>946800769</v>
      </c>
      <c r="D18" s="184">
        <f>SUM(D5:D17)</f>
        <v>939212016</v>
      </c>
    </row>
    <row r="20" spans="1:4" s="67" customFormat="1" ht="28.35" customHeight="1" x14ac:dyDescent="0.2">
      <c r="A20" s="77" t="s">
        <v>354</v>
      </c>
      <c r="B20" s="78">
        <v>2020</v>
      </c>
      <c r="C20" s="78">
        <v>2021</v>
      </c>
      <c r="D20" s="78">
        <v>2022</v>
      </c>
    </row>
    <row r="21" spans="1:4" s="72" customFormat="1" x14ac:dyDescent="0.2">
      <c r="A21" s="71" t="s">
        <v>125</v>
      </c>
      <c r="B21" s="71"/>
      <c r="C21" s="71"/>
      <c r="D21" s="71"/>
    </row>
    <row r="22" spans="1:4" s="70" customFormat="1" x14ac:dyDescent="0.2">
      <c r="A22" s="68" t="s">
        <v>114</v>
      </c>
      <c r="B22" s="69">
        <v>0</v>
      </c>
      <c r="C22" s="69">
        <v>0</v>
      </c>
      <c r="D22" s="69">
        <v>0</v>
      </c>
    </row>
    <row r="23" spans="1:4" s="70" customFormat="1" ht="15" x14ac:dyDescent="0.25">
      <c r="A23" s="68" t="s">
        <v>115</v>
      </c>
      <c r="B23" s="183">
        <v>571170683</v>
      </c>
      <c r="C23" s="183">
        <v>621508559</v>
      </c>
      <c r="D23" s="187">
        <v>556410505</v>
      </c>
    </row>
    <row r="24" spans="1:4" s="70" customFormat="1" ht="15" x14ac:dyDescent="0.25">
      <c r="A24" s="68" t="s">
        <v>116</v>
      </c>
      <c r="B24" s="183">
        <v>27049179</v>
      </c>
      <c r="C24" s="183">
        <v>27336889</v>
      </c>
      <c r="D24" s="187">
        <v>23337668</v>
      </c>
    </row>
    <row r="25" spans="1:4" s="70" customFormat="1" ht="15" x14ac:dyDescent="0.25">
      <c r="A25" s="68" t="s">
        <v>117</v>
      </c>
      <c r="B25" s="183">
        <v>179649219</v>
      </c>
      <c r="C25" s="183">
        <v>172297620</v>
      </c>
      <c r="D25" s="187">
        <v>109299285</v>
      </c>
    </row>
    <row r="26" spans="1:4" s="70" customFormat="1" x14ac:dyDescent="0.2">
      <c r="A26" s="68" t="s">
        <v>146</v>
      </c>
      <c r="B26" s="183">
        <v>2857545</v>
      </c>
      <c r="C26" s="183">
        <v>2466898</v>
      </c>
      <c r="D26" s="185"/>
    </row>
    <row r="27" spans="1:4" s="70" customFormat="1" ht="15" x14ac:dyDescent="0.25">
      <c r="A27" s="68" t="s">
        <v>147</v>
      </c>
      <c r="B27" s="183">
        <v>39590032</v>
      </c>
      <c r="C27" s="183">
        <v>6892405</v>
      </c>
      <c r="D27" s="187">
        <v>1253744</v>
      </c>
    </row>
    <row r="28" spans="1:4" s="70" customFormat="1" x14ac:dyDescent="0.2">
      <c r="A28" s="71" t="s">
        <v>113</v>
      </c>
      <c r="B28" s="186"/>
      <c r="C28" s="186"/>
      <c r="D28" s="186"/>
    </row>
    <row r="29" spans="1:4" s="70" customFormat="1" x14ac:dyDescent="0.2">
      <c r="A29" s="68" t="s">
        <v>145</v>
      </c>
      <c r="B29" s="183">
        <v>5491482</v>
      </c>
      <c r="C29" s="69">
        <v>0</v>
      </c>
      <c r="D29" s="69">
        <v>0</v>
      </c>
    </row>
    <row r="30" spans="1:4" s="70" customFormat="1" x14ac:dyDescent="0.2">
      <c r="A30" s="68" t="s">
        <v>148</v>
      </c>
      <c r="B30" s="69">
        <v>0</v>
      </c>
      <c r="C30" s="69">
        <v>0</v>
      </c>
      <c r="D30" s="69">
        <v>0</v>
      </c>
    </row>
    <row r="31" spans="1:4" s="70" customFormat="1" ht="15" x14ac:dyDescent="0.25">
      <c r="A31" s="68" t="s">
        <v>122</v>
      </c>
      <c r="B31" s="183">
        <v>318439418</v>
      </c>
      <c r="C31" s="183">
        <v>297616172</v>
      </c>
      <c r="D31" s="187">
        <v>248910814</v>
      </c>
    </row>
    <row r="32" spans="1:4" s="70" customFormat="1" x14ac:dyDescent="0.2">
      <c r="A32" s="68" t="s">
        <v>123</v>
      </c>
      <c r="B32" s="69">
        <v>0</v>
      </c>
      <c r="C32" s="69">
        <v>0</v>
      </c>
      <c r="D32" s="69">
        <v>0</v>
      </c>
    </row>
    <row r="33" spans="1:4" s="70" customFormat="1" x14ac:dyDescent="0.2">
      <c r="A33" s="71" t="s">
        <v>100</v>
      </c>
      <c r="B33" s="186"/>
      <c r="C33" s="186"/>
      <c r="D33" s="186"/>
    </row>
    <row r="34" spans="1:4" s="70" customFormat="1" x14ac:dyDescent="0.2">
      <c r="A34" s="68" t="s">
        <v>124</v>
      </c>
      <c r="B34" s="69">
        <v>0</v>
      </c>
      <c r="C34" s="69">
        <v>0</v>
      </c>
      <c r="D34" s="69">
        <v>0</v>
      </c>
    </row>
    <row r="35" spans="1:4" s="74" customFormat="1" ht="18" customHeight="1" x14ac:dyDescent="0.2">
      <c r="A35" s="73" t="s">
        <v>351</v>
      </c>
      <c r="B35" s="184">
        <f>SUM(B22:B34)</f>
        <v>1144247558</v>
      </c>
      <c r="C35" s="184">
        <f>SUM(C22:C34)</f>
        <v>1128118543</v>
      </c>
      <c r="D35" s="184">
        <f>SUM(D22:D34)</f>
        <v>939212016</v>
      </c>
    </row>
    <row r="37" spans="1:4" s="67" customFormat="1" ht="28.35" customHeight="1" x14ac:dyDescent="0.2">
      <c r="A37" s="77" t="s">
        <v>353</v>
      </c>
      <c r="B37" s="78">
        <v>2020</v>
      </c>
      <c r="C37" s="78">
        <v>2021</v>
      </c>
      <c r="D37" s="78">
        <v>2022</v>
      </c>
    </row>
    <row r="38" spans="1:4" s="72" customFormat="1" x14ac:dyDescent="0.2">
      <c r="A38" s="71" t="s">
        <v>125</v>
      </c>
      <c r="B38" s="71"/>
      <c r="C38" s="71"/>
      <c r="D38" s="71"/>
    </row>
    <row r="39" spans="1:4" s="70" customFormat="1" x14ac:dyDescent="0.2">
      <c r="A39" s="68" t="s">
        <v>114</v>
      </c>
      <c r="B39" s="507">
        <v>0</v>
      </c>
      <c r="C39" s="507">
        <v>0</v>
      </c>
      <c r="D39" s="69">
        <v>0</v>
      </c>
    </row>
    <row r="40" spans="1:4" s="70" customFormat="1" ht="15" x14ac:dyDescent="0.25">
      <c r="A40" s="68" t="s">
        <v>115</v>
      </c>
      <c r="B40" s="183">
        <v>20795618846</v>
      </c>
      <c r="C40" s="508">
        <v>621508559</v>
      </c>
      <c r="D40" s="187">
        <v>556410505</v>
      </c>
    </row>
    <row r="41" spans="1:4" s="70" customFormat="1" ht="15" x14ac:dyDescent="0.25">
      <c r="A41" s="68" t="s">
        <v>116</v>
      </c>
      <c r="B41" s="183">
        <v>1834035387</v>
      </c>
      <c r="C41" s="508">
        <v>27336889</v>
      </c>
      <c r="D41" s="187">
        <v>23337668</v>
      </c>
    </row>
    <row r="42" spans="1:4" s="70" customFormat="1" ht="15" x14ac:dyDescent="0.25">
      <c r="A42" s="68" t="s">
        <v>117</v>
      </c>
      <c r="B42" s="183">
        <v>6481124103</v>
      </c>
      <c r="C42" s="508">
        <v>172297620</v>
      </c>
      <c r="D42" s="187">
        <v>109299285</v>
      </c>
    </row>
    <row r="43" spans="1:4" s="70" customFormat="1" x14ac:dyDescent="0.2">
      <c r="A43" s="68" t="s">
        <v>146</v>
      </c>
      <c r="B43" s="183">
        <v>12276203</v>
      </c>
      <c r="C43" s="508">
        <v>2466898</v>
      </c>
      <c r="D43" s="185"/>
    </row>
    <row r="44" spans="1:4" s="70" customFormat="1" ht="15" x14ac:dyDescent="0.25">
      <c r="A44" s="68" t="s">
        <v>147</v>
      </c>
      <c r="B44" s="183">
        <v>1254466465</v>
      </c>
      <c r="C44" s="508">
        <v>6892405</v>
      </c>
      <c r="D44" s="187">
        <v>1253744</v>
      </c>
    </row>
    <row r="45" spans="1:4" s="70" customFormat="1" x14ac:dyDescent="0.2">
      <c r="A45" s="71" t="s">
        <v>113</v>
      </c>
      <c r="B45" s="186"/>
      <c r="C45" s="509"/>
      <c r="D45" s="186"/>
    </row>
    <row r="46" spans="1:4" s="70" customFormat="1" x14ac:dyDescent="0.2">
      <c r="A46" s="68" t="s">
        <v>145</v>
      </c>
      <c r="B46" s="183">
        <v>245721163</v>
      </c>
      <c r="C46" s="507">
        <v>0</v>
      </c>
      <c r="D46" s="69">
        <v>0</v>
      </c>
    </row>
    <row r="47" spans="1:4" s="70" customFormat="1" x14ac:dyDescent="0.2">
      <c r="A47" s="68" t="s">
        <v>148</v>
      </c>
      <c r="B47" s="183">
        <v>3837882</v>
      </c>
      <c r="C47" s="507">
        <v>0</v>
      </c>
      <c r="D47" s="69">
        <v>0</v>
      </c>
    </row>
    <row r="48" spans="1:4" s="70" customFormat="1" ht="15" x14ac:dyDescent="0.25">
      <c r="A48" s="68" t="s">
        <v>122</v>
      </c>
      <c r="B48" s="183">
        <v>6102907631</v>
      </c>
      <c r="C48" s="508">
        <v>297616172</v>
      </c>
      <c r="D48" s="187">
        <v>248910814</v>
      </c>
    </row>
    <row r="49" spans="1:4" s="70" customFormat="1" x14ac:dyDescent="0.2">
      <c r="A49" s="68" t="s">
        <v>123</v>
      </c>
      <c r="B49" s="183">
        <v>698000</v>
      </c>
      <c r="C49" s="69">
        <v>0</v>
      </c>
      <c r="D49" s="69">
        <v>0</v>
      </c>
    </row>
    <row r="50" spans="1:4" s="70" customFormat="1" x14ac:dyDescent="0.2">
      <c r="A50" s="71" t="s">
        <v>100</v>
      </c>
      <c r="B50" s="71"/>
      <c r="C50" s="186"/>
      <c r="D50" s="186"/>
    </row>
    <row r="51" spans="1:4" s="70" customFormat="1" x14ac:dyDescent="0.2">
      <c r="A51" s="68" t="s">
        <v>124</v>
      </c>
      <c r="B51" s="183">
        <v>293448730</v>
      </c>
      <c r="C51" s="69">
        <v>0</v>
      </c>
      <c r="D51" s="69">
        <v>0</v>
      </c>
    </row>
    <row r="52" spans="1:4" s="74" customFormat="1" ht="21.75" customHeight="1" x14ac:dyDescent="0.2">
      <c r="A52" s="73" t="s">
        <v>352</v>
      </c>
      <c r="B52" s="184">
        <f>SUM(B39:B51)</f>
        <v>37024134410</v>
      </c>
      <c r="C52" s="184">
        <f>SUM(C39:C51)</f>
        <v>1128118543</v>
      </c>
      <c r="D52" s="184">
        <f>SUM(D39:D51)</f>
        <v>939212016</v>
      </c>
    </row>
    <row r="53" spans="1:4" x14ac:dyDescent="0.2">
      <c r="A53" s="171"/>
    </row>
    <row r="54" spans="1:4" x14ac:dyDescent="0.2">
      <c r="A54" s="172"/>
    </row>
  </sheetData>
  <pageMargins left="0.70866141732283472" right="0.51181102362204722" top="0.74803149606299213" bottom="0.74803149606299213" header="0.31496062992125984" footer="0.31496062992125984"/>
  <pageSetup paperSize="9" scale="90" orientation="portrait" r:id="rId1"/>
  <headerFooter>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tabColor theme="9" tint="-0.249977111117893"/>
    <pageSetUpPr fitToPage="1"/>
  </sheetPr>
  <dimension ref="A1:W24"/>
  <sheetViews>
    <sheetView zoomScaleNormal="100" zoomScaleSheetLayoutView="100" workbookViewId="0">
      <selection activeCell="A3" sqref="A3:A4"/>
    </sheetView>
  </sheetViews>
  <sheetFormatPr baseColWidth="10" defaultColWidth="11.28515625" defaultRowHeight="11.25" x14ac:dyDescent="0.2"/>
  <cols>
    <col min="1" max="1" width="25.5703125" style="76" customWidth="1"/>
    <col min="2" max="2" width="36.85546875" style="76" customWidth="1"/>
    <col min="3" max="3" width="5.7109375" style="76" customWidth="1"/>
    <col min="4" max="4" width="9.7109375" style="76" customWidth="1"/>
    <col min="5" max="5" width="8.42578125" style="76" customWidth="1"/>
    <col min="6" max="6" width="9.7109375" style="76" customWidth="1"/>
    <col min="7" max="7" width="5" style="76" customWidth="1"/>
    <col min="8" max="8" width="8.140625" style="76" customWidth="1"/>
    <col min="9" max="9" width="9.7109375" style="76" customWidth="1"/>
    <col min="10" max="11" width="5" style="76" customWidth="1"/>
    <col min="12" max="12" width="12" style="76" customWidth="1"/>
    <col min="13" max="13" width="5" style="76" customWidth="1"/>
    <col min="14" max="14" width="11.7109375" style="76" customWidth="1"/>
    <col min="15" max="16" width="5" style="76" customWidth="1"/>
    <col min="17" max="17" width="9.42578125" style="475" customWidth="1"/>
    <col min="18" max="18" width="6.85546875" style="76" customWidth="1"/>
    <col min="19" max="256" width="11.28515625" style="76"/>
    <col min="257" max="257" width="25.5703125" style="76" customWidth="1"/>
    <col min="258" max="258" width="36.85546875" style="76" customWidth="1"/>
    <col min="259" max="259" width="5.7109375" style="76" customWidth="1"/>
    <col min="260" max="260" width="9.7109375" style="76" customWidth="1"/>
    <col min="261" max="261" width="8.42578125" style="76" customWidth="1"/>
    <col min="262" max="262" width="9.7109375" style="76" customWidth="1"/>
    <col min="263" max="263" width="5" style="76" customWidth="1"/>
    <col min="264" max="264" width="8.140625" style="76" customWidth="1"/>
    <col min="265" max="265" width="9.7109375" style="76" customWidth="1"/>
    <col min="266" max="267" width="5" style="76" customWidth="1"/>
    <col min="268" max="268" width="12" style="76" customWidth="1"/>
    <col min="269" max="269" width="5" style="76" customWidth="1"/>
    <col min="270" max="270" width="11.7109375" style="76" customWidth="1"/>
    <col min="271" max="272" width="5" style="76" customWidth="1"/>
    <col min="273" max="273" width="9.42578125" style="76" customWidth="1"/>
    <col min="274" max="274" width="6.85546875" style="76" customWidth="1"/>
    <col min="275" max="512" width="11.28515625" style="76"/>
    <col min="513" max="513" width="25.5703125" style="76" customWidth="1"/>
    <col min="514" max="514" width="36.85546875" style="76" customWidth="1"/>
    <col min="515" max="515" width="5.7109375" style="76" customWidth="1"/>
    <col min="516" max="516" width="9.7109375" style="76" customWidth="1"/>
    <col min="517" max="517" width="8.42578125" style="76" customWidth="1"/>
    <col min="518" max="518" width="9.7109375" style="76" customWidth="1"/>
    <col min="519" max="519" width="5" style="76" customWidth="1"/>
    <col min="520" max="520" width="8.140625" style="76" customWidth="1"/>
    <col min="521" max="521" width="9.7109375" style="76" customWidth="1"/>
    <col min="522" max="523" width="5" style="76" customWidth="1"/>
    <col min="524" max="524" width="12" style="76" customWidth="1"/>
    <col min="525" max="525" width="5" style="76" customWidth="1"/>
    <col min="526" max="526" width="11.7109375" style="76" customWidth="1"/>
    <col min="527" max="528" width="5" style="76" customWidth="1"/>
    <col min="529" max="529" width="9.42578125" style="76" customWidth="1"/>
    <col min="530" max="530" width="6.85546875" style="76" customWidth="1"/>
    <col min="531" max="768" width="11.28515625" style="76"/>
    <col min="769" max="769" width="25.5703125" style="76" customWidth="1"/>
    <col min="770" max="770" width="36.85546875" style="76" customWidth="1"/>
    <col min="771" max="771" width="5.7109375" style="76" customWidth="1"/>
    <col min="772" max="772" width="9.7109375" style="76" customWidth="1"/>
    <col min="773" max="773" width="8.42578125" style="76" customWidth="1"/>
    <col min="774" max="774" width="9.7109375" style="76" customWidth="1"/>
    <col min="775" max="775" width="5" style="76" customWidth="1"/>
    <col min="776" max="776" width="8.140625" style="76" customWidth="1"/>
    <col min="777" max="777" width="9.7109375" style="76" customWidth="1"/>
    <col min="778" max="779" width="5" style="76" customWidth="1"/>
    <col min="780" max="780" width="12" style="76" customWidth="1"/>
    <col min="781" max="781" width="5" style="76" customWidth="1"/>
    <col min="782" max="782" width="11.7109375" style="76" customWidth="1"/>
    <col min="783" max="784" width="5" style="76" customWidth="1"/>
    <col min="785" max="785" width="9.42578125" style="76" customWidth="1"/>
    <col min="786" max="786" width="6.85546875" style="76" customWidth="1"/>
    <col min="787" max="1024" width="11.28515625" style="76"/>
    <col min="1025" max="1025" width="25.5703125" style="76" customWidth="1"/>
    <col min="1026" max="1026" width="36.85546875" style="76" customWidth="1"/>
    <col min="1027" max="1027" width="5.7109375" style="76" customWidth="1"/>
    <col min="1028" max="1028" width="9.7109375" style="76" customWidth="1"/>
    <col min="1029" max="1029" width="8.42578125" style="76" customWidth="1"/>
    <col min="1030" max="1030" width="9.7109375" style="76" customWidth="1"/>
    <col min="1031" max="1031" width="5" style="76" customWidth="1"/>
    <col min="1032" max="1032" width="8.140625" style="76" customWidth="1"/>
    <col min="1033" max="1033" width="9.7109375" style="76" customWidth="1"/>
    <col min="1034" max="1035" width="5" style="76" customWidth="1"/>
    <col min="1036" max="1036" width="12" style="76" customWidth="1"/>
    <col min="1037" max="1037" width="5" style="76" customWidth="1"/>
    <col min="1038" max="1038" width="11.7109375" style="76" customWidth="1"/>
    <col min="1039" max="1040" width="5" style="76" customWidth="1"/>
    <col min="1041" max="1041" width="9.42578125" style="76" customWidth="1"/>
    <col min="1042" max="1042" width="6.85546875" style="76" customWidth="1"/>
    <col min="1043" max="1280" width="11.28515625" style="76"/>
    <col min="1281" max="1281" width="25.5703125" style="76" customWidth="1"/>
    <col min="1282" max="1282" width="36.85546875" style="76" customWidth="1"/>
    <col min="1283" max="1283" width="5.7109375" style="76" customWidth="1"/>
    <col min="1284" max="1284" width="9.7109375" style="76" customWidth="1"/>
    <col min="1285" max="1285" width="8.42578125" style="76" customWidth="1"/>
    <col min="1286" max="1286" width="9.7109375" style="76" customWidth="1"/>
    <col min="1287" max="1287" width="5" style="76" customWidth="1"/>
    <col min="1288" max="1288" width="8.140625" style="76" customWidth="1"/>
    <col min="1289" max="1289" width="9.7109375" style="76" customWidth="1"/>
    <col min="1290" max="1291" width="5" style="76" customWidth="1"/>
    <col min="1292" max="1292" width="12" style="76" customWidth="1"/>
    <col min="1293" max="1293" width="5" style="76" customWidth="1"/>
    <col min="1294" max="1294" width="11.7109375" style="76" customWidth="1"/>
    <col min="1295" max="1296" width="5" style="76" customWidth="1"/>
    <col min="1297" max="1297" width="9.42578125" style="76" customWidth="1"/>
    <col min="1298" max="1298" width="6.85546875" style="76" customWidth="1"/>
    <col min="1299" max="1536" width="11.28515625" style="76"/>
    <col min="1537" max="1537" width="25.5703125" style="76" customWidth="1"/>
    <col min="1538" max="1538" width="36.85546875" style="76" customWidth="1"/>
    <col min="1539" max="1539" width="5.7109375" style="76" customWidth="1"/>
    <col min="1540" max="1540" width="9.7109375" style="76" customWidth="1"/>
    <col min="1541" max="1541" width="8.42578125" style="76" customWidth="1"/>
    <col min="1542" max="1542" width="9.7109375" style="76" customWidth="1"/>
    <col min="1543" max="1543" width="5" style="76" customWidth="1"/>
    <col min="1544" max="1544" width="8.140625" style="76" customWidth="1"/>
    <col min="1545" max="1545" width="9.7109375" style="76" customWidth="1"/>
    <col min="1546" max="1547" width="5" style="76" customWidth="1"/>
    <col min="1548" max="1548" width="12" style="76" customWidth="1"/>
    <col min="1549" max="1549" width="5" style="76" customWidth="1"/>
    <col min="1550" max="1550" width="11.7109375" style="76" customWidth="1"/>
    <col min="1551" max="1552" width="5" style="76" customWidth="1"/>
    <col min="1553" max="1553" width="9.42578125" style="76" customWidth="1"/>
    <col min="1554" max="1554" width="6.85546875" style="76" customWidth="1"/>
    <col min="1555" max="1792" width="11.28515625" style="76"/>
    <col min="1793" max="1793" width="25.5703125" style="76" customWidth="1"/>
    <col min="1794" max="1794" width="36.85546875" style="76" customWidth="1"/>
    <col min="1795" max="1795" width="5.7109375" style="76" customWidth="1"/>
    <col min="1796" max="1796" width="9.7109375" style="76" customWidth="1"/>
    <col min="1797" max="1797" width="8.42578125" style="76" customWidth="1"/>
    <col min="1798" max="1798" width="9.7109375" style="76" customWidth="1"/>
    <col min="1799" max="1799" width="5" style="76" customWidth="1"/>
    <col min="1800" max="1800" width="8.140625" style="76" customWidth="1"/>
    <col min="1801" max="1801" width="9.7109375" style="76" customWidth="1"/>
    <col min="1802" max="1803" width="5" style="76" customWidth="1"/>
    <col min="1804" max="1804" width="12" style="76" customWidth="1"/>
    <col min="1805" max="1805" width="5" style="76" customWidth="1"/>
    <col min="1806" max="1806" width="11.7109375" style="76" customWidth="1"/>
    <col min="1807" max="1808" width="5" style="76" customWidth="1"/>
    <col min="1809" max="1809" width="9.42578125" style="76" customWidth="1"/>
    <col min="1810" max="1810" width="6.85546875" style="76" customWidth="1"/>
    <col min="1811" max="2048" width="11.28515625" style="76"/>
    <col min="2049" max="2049" width="25.5703125" style="76" customWidth="1"/>
    <col min="2050" max="2050" width="36.85546875" style="76" customWidth="1"/>
    <col min="2051" max="2051" width="5.7109375" style="76" customWidth="1"/>
    <col min="2052" max="2052" width="9.7109375" style="76" customWidth="1"/>
    <col min="2053" max="2053" width="8.42578125" style="76" customWidth="1"/>
    <col min="2054" max="2054" width="9.7109375" style="76" customWidth="1"/>
    <col min="2055" max="2055" width="5" style="76" customWidth="1"/>
    <col min="2056" max="2056" width="8.140625" style="76" customWidth="1"/>
    <col min="2057" max="2057" width="9.7109375" style="76" customWidth="1"/>
    <col min="2058" max="2059" width="5" style="76" customWidth="1"/>
    <col min="2060" max="2060" width="12" style="76" customWidth="1"/>
    <col min="2061" max="2061" width="5" style="76" customWidth="1"/>
    <col min="2062" max="2062" width="11.7109375" style="76" customWidth="1"/>
    <col min="2063" max="2064" width="5" style="76" customWidth="1"/>
    <col min="2065" max="2065" width="9.42578125" style="76" customWidth="1"/>
    <col min="2066" max="2066" width="6.85546875" style="76" customWidth="1"/>
    <col min="2067" max="2304" width="11.28515625" style="76"/>
    <col min="2305" max="2305" width="25.5703125" style="76" customWidth="1"/>
    <col min="2306" max="2306" width="36.85546875" style="76" customWidth="1"/>
    <col min="2307" max="2307" width="5.7109375" style="76" customWidth="1"/>
    <col min="2308" max="2308" width="9.7109375" style="76" customWidth="1"/>
    <col min="2309" max="2309" width="8.42578125" style="76" customWidth="1"/>
    <col min="2310" max="2310" width="9.7109375" style="76" customWidth="1"/>
    <col min="2311" max="2311" width="5" style="76" customWidth="1"/>
    <col min="2312" max="2312" width="8.140625" style="76" customWidth="1"/>
    <col min="2313" max="2313" width="9.7109375" style="76" customWidth="1"/>
    <col min="2314" max="2315" width="5" style="76" customWidth="1"/>
    <col min="2316" max="2316" width="12" style="76" customWidth="1"/>
    <col min="2317" max="2317" width="5" style="76" customWidth="1"/>
    <col min="2318" max="2318" width="11.7109375" style="76" customWidth="1"/>
    <col min="2319" max="2320" width="5" style="76" customWidth="1"/>
    <col min="2321" max="2321" width="9.42578125" style="76" customWidth="1"/>
    <col min="2322" max="2322" width="6.85546875" style="76" customWidth="1"/>
    <col min="2323" max="2560" width="11.28515625" style="76"/>
    <col min="2561" max="2561" width="25.5703125" style="76" customWidth="1"/>
    <col min="2562" max="2562" width="36.85546875" style="76" customWidth="1"/>
    <col min="2563" max="2563" width="5.7109375" style="76" customWidth="1"/>
    <col min="2564" max="2564" width="9.7109375" style="76" customWidth="1"/>
    <col min="2565" max="2565" width="8.42578125" style="76" customWidth="1"/>
    <col min="2566" max="2566" width="9.7109375" style="76" customWidth="1"/>
    <col min="2567" max="2567" width="5" style="76" customWidth="1"/>
    <col min="2568" max="2568" width="8.140625" style="76" customWidth="1"/>
    <col min="2569" max="2569" width="9.7109375" style="76" customWidth="1"/>
    <col min="2570" max="2571" width="5" style="76" customWidth="1"/>
    <col min="2572" max="2572" width="12" style="76" customWidth="1"/>
    <col min="2573" max="2573" width="5" style="76" customWidth="1"/>
    <col min="2574" max="2574" width="11.7109375" style="76" customWidth="1"/>
    <col min="2575" max="2576" width="5" style="76" customWidth="1"/>
    <col min="2577" max="2577" width="9.42578125" style="76" customWidth="1"/>
    <col min="2578" max="2578" width="6.85546875" style="76" customWidth="1"/>
    <col min="2579" max="2816" width="11.28515625" style="76"/>
    <col min="2817" max="2817" width="25.5703125" style="76" customWidth="1"/>
    <col min="2818" max="2818" width="36.85546875" style="76" customWidth="1"/>
    <col min="2819" max="2819" width="5.7109375" style="76" customWidth="1"/>
    <col min="2820" max="2820" width="9.7109375" style="76" customWidth="1"/>
    <col min="2821" max="2821" width="8.42578125" style="76" customWidth="1"/>
    <col min="2822" max="2822" width="9.7109375" style="76" customWidth="1"/>
    <col min="2823" max="2823" width="5" style="76" customWidth="1"/>
    <col min="2824" max="2824" width="8.140625" style="76" customWidth="1"/>
    <col min="2825" max="2825" width="9.7109375" style="76" customWidth="1"/>
    <col min="2826" max="2827" width="5" style="76" customWidth="1"/>
    <col min="2828" max="2828" width="12" style="76" customWidth="1"/>
    <col min="2829" max="2829" width="5" style="76" customWidth="1"/>
    <col min="2830" max="2830" width="11.7109375" style="76" customWidth="1"/>
    <col min="2831" max="2832" width="5" style="76" customWidth="1"/>
    <col min="2833" max="2833" width="9.42578125" style="76" customWidth="1"/>
    <col min="2834" max="2834" width="6.85546875" style="76" customWidth="1"/>
    <col min="2835" max="3072" width="11.28515625" style="76"/>
    <col min="3073" max="3073" width="25.5703125" style="76" customWidth="1"/>
    <col min="3074" max="3074" width="36.85546875" style="76" customWidth="1"/>
    <col min="3075" max="3075" width="5.7109375" style="76" customWidth="1"/>
    <col min="3076" max="3076" width="9.7109375" style="76" customWidth="1"/>
    <col min="3077" max="3077" width="8.42578125" style="76" customWidth="1"/>
    <col min="3078" max="3078" width="9.7109375" style="76" customWidth="1"/>
    <col min="3079" max="3079" width="5" style="76" customWidth="1"/>
    <col min="3080" max="3080" width="8.140625" style="76" customWidth="1"/>
    <col min="3081" max="3081" width="9.7109375" style="76" customWidth="1"/>
    <col min="3082" max="3083" width="5" style="76" customWidth="1"/>
    <col min="3084" max="3084" width="12" style="76" customWidth="1"/>
    <col min="3085" max="3085" width="5" style="76" customWidth="1"/>
    <col min="3086" max="3086" width="11.7109375" style="76" customWidth="1"/>
    <col min="3087" max="3088" width="5" style="76" customWidth="1"/>
    <col min="3089" max="3089" width="9.42578125" style="76" customWidth="1"/>
    <col min="3090" max="3090" width="6.85546875" style="76" customWidth="1"/>
    <col min="3091" max="3328" width="11.28515625" style="76"/>
    <col min="3329" max="3329" width="25.5703125" style="76" customWidth="1"/>
    <col min="3330" max="3330" width="36.85546875" style="76" customWidth="1"/>
    <col min="3331" max="3331" width="5.7109375" style="76" customWidth="1"/>
    <col min="3332" max="3332" width="9.7109375" style="76" customWidth="1"/>
    <col min="3333" max="3333" width="8.42578125" style="76" customWidth="1"/>
    <col min="3334" max="3334" width="9.7109375" style="76" customWidth="1"/>
    <col min="3335" max="3335" width="5" style="76" customWidth="1"/>
    <col min="3336" max="3336" width="8.140625" style="76" customWidth="1"/>
    <col min="3337" max="3337" width="9.7109375" style="76" customWidth="1"/>
    <col min="3338" max="3339" width="5" style="76" customWidth="1"/>
    <col min="3340" max="3340" width="12" style="76" customWidth="1"/>
    <col min="3341" max="3341" width="5" style="76" customWidth="1"/>
    <col min="3342" max="3342" width="11.7109375" style="76" customWidth="1"/>
    <col min="3343" max="3344" width="5" style="76" customWidth="1"/>
    <col min="3345" max="3345" width="9.42578125" style="76" customWidth="1"/>
    <col min="3346" max="3346" width="6.85546875" style="76" customWidth="1"/>
    <col min="3347" max="3584" width="11.28515625" style="76"/>
    <col min="3585" max="3585" width="25.5703125" style="76" customWidth="1"/>
    <col min="3586" max="3586" width="36.85546875" style="76" customWidth="1"/>
    <col min="3587" max="3587" width="5.7109375" style="76" customWidth="1"/>
    <col min="3588" max="3588" width="9.7109375" style="76" customWidth="1"/>
    <col min="3589" max="3589" width="8.42578125" style="76" customWidth="1"/>
    <col min="3590" max="3590" width="9.7109375" style="76" customWidth="1"/>
    <col min="3591" max="3591" width="5" style="76" customWidth="1"/>
    <col min="3592" max="3592" width="8.140625" style="76" customWidth="1"/>
    <col min="3593" max="3593" width="9.7109375" style="76" customWidth="1"/>
    <col min="3594" max="3595" width="5" style="76" customWidth="1"/>
    <col min="3596" max="3596" width="12" style="76" customWidth="1"/>
    <col min="3597" max="3597" width="5" style="76" customWidth="1"/>
    <col min="3598" max="3598" width="11.7109375" style="76" customWidth="1"/>
    <col min="3599" max="3600" width="5" style="76" customWidth="1"/>
    <col min="3601" max="3601" width="9.42578125" style="76" customWidth="1"/>
    <col min="3602" max="3602" width="6.85546875" style="76" customWidth="1"/>
    <col min="3603" max="3840" width="11.28515625" style="76"/>
    <col min="3841" max="3841" width="25.5703125" style="76" customWidth="1"/>
    <col min="3842" max="3842" width="36.85546875" style="76" customWidth="1"/>
    <col min="3843" max="3843" width="5.7109375" style="76" customWidth="1"/>
    <col min="3844" max="3844" width="9.7109375" style="76" customWidth="1"/>
    <col min="3845" max="3845" width="8.42578125" style="76" customWidth="1"/>
    <col min="3846" max="3846" width="9.7109375" style="76" customWidth="1"/>
    <col min="3847" max="3847" width="5" style="76" customWidth="1"/>
    <col min="3848" max="3848" width="8.140625" style="76" customWidth="1"/>
    <col min="3849" max="3849" width="9.7109375" style="76" customWidth="1"/>
    <col min="3850" max="3851" width="5" style="76" customWidth="1"/>
    <col min="3852" max="3852" width="12" style="76" customWidth="1"/>
    <col min="3853" max="3853" width="5" style="76" customWidth="1"/>
    <col min="3854" max="3854" width="11.7109375" style="76" customWidth="1"/>
    <col min="3855" max="3856" width="5" style="76" customWidth="1"/>
    <col min="3857" max="3857" width="9.42578125" style="76" customWidth="1"/>
    <col min="3858" max="3858" width="6.85546875" style="76" customWidth="1"/>
    <col min="3859" max="4096" width="11.28515625" style="76"/>
    <col min="4097" max="4097" width="25.5703125" style="76" customWidth="1"/>
    <col min="4098" max="4098" width="36.85546875" style="76" customWidth="1"/>
    <col min="4099" max="4099" width="5.7109375" style="76" customWidth="1"/>
    <col min="4100" max="4100" width="9.7109375" style="76" customWidth="1"/>
    <col min="4101" max="4101" width="8.42578125" style="76" customWidth="1"/>
    <col min="4102" max="4102" width="9.7109375" style="76" customWidth="1"/>
    <col min="4103" max="4103" width="5" style="76" customWidth="1"/>
    <col min="4104" max="4104" width="8.140625" style="76" customWidth="1"/>
    <col min="4105" max="4105" width="9.7109375" style="76" customWidth="1"/>
    <col min="4106" max="4107" width="5" style="76" customWidth="1"/>
    <col min="4108" max="4108" width="12" style="76" customWidth="1"/>
    <col min="4109" max="4109" width="5" style="76" customWidth="1"/>
    <col min="4110" max="4110" width="11.7109375" style="76" customWidth="1"/>
    <col min="4111" max="4112" width="5" style="76" customWidth="1"/>
    <col min="4113" max="4113" width="9.42578125" style="76" customWidth="1"/>
    <col min="4114" max="4114" width="6.85546875" style="76" customWidth="1"/>
    <col min="4115" max="4352" width="11.28515625" style="76"/>
    <col min="4353" max="4353" width="25.5703125" style="76" customWidth="1"/>
    <col min="4354" max="4354" width="36.85546875" style="76" customWidth="1"/>
    <col min="4355" max="4355" width="5.7109375" style="76" customWidth="1"/>
    <col min="4356" max="4356" width="9.7109375" style="76" customWidth="1"/>
    <col min="4357" max="4357" width="8.42578125" style="76" customWidth="1"/>
    <col min="4358" max="4358" width="9.7109375" style="76" customWidth="1"/>
    <col min="4359" max="4359" width="5" style="76" customWidth="1"/>
    <col min="4360" max="4360" width="8.140625" style="76" customWidth="1"/>
    <col min="4361" max="4361" width="9.7109375" style="76" customWidth="1"/>
    <col min="4362" max="4363" width="5" style="76" customWidth="1"/>
    <col min="4364" max="4364" width="12" style="76" customWidth="1"/>
    <col min="4365" max="4365" width="5" style="76" customWidth="1"/>
    <col min="4366" max="4366" width="11.7109375" style="76" customWidth="1"/>
    <col min="4367" max="4368" width="5" style="76" customWidth="1"/>
    <col min="4369" max="4369" width="9.42578125" style="76" customWidth="1"/>
    <col min="4370" max="4370" width="6.85546875" style="76" customWidth="1"/>
    <col min="4371" max="4608" width="11.28515625" style="76"/>
    <col min="4609" max="4609" width="25.5703125" style="76" customWidth="1"/>
    <col min="4610" max="4610" width="36.85546875" style="76" customWidth="1"/>
    <col min="4611" max="4611" width="5.7109375" style="76" customWidth="1"/>
    <col min="4612" max="4612" width="9.7109375" style="76" customWidth="1"/>
    <col min="4613" max="4613" width="8.42578125" style="76" customWidth="1"/>
    <col min="4614" max="4614" width="9.7109375" style="76" customWidth="1"/>
    <col min="4615" max="4615" width="5" style="76" customWidth="1"/>
    <col min="4616" max="4616" width="8.140625" style="76" customWidth="1"/>
    <col min="4617" max="4617" width="9.7109375" style="76" customWidth="1"/>
    <col min="4618" max="4619" width="5" style="76" customWidth="1"/>
    <col min="4620" max="4620" width="12" style="76" customWidth="1"/>
    <col min="4621" max="4621" width="5" style="76" customWidth="1"/>
    <col min="4622" max="4622" width="11.7109375" style="76" customWidth="1"/>
    <col min="4623" max="4624" width="5" style="76" customWidth="1"/>
    <col min="4625" max="4625" width="9.42578125" style="76" customWidth="1"/>
    <col min="4626" max="4626" width="6.85546875" style="76" customWidth="1"/>
    <col min="4627" max="4864" width="11.28515625" style="76"/>
    <col min="4865" max="4865" width="25.5703125" style="76" customWidth="1"/>
    <col min="4866" max="4866" width="36.85546875" style="76" customWidth="1"/>
    <col min="4867" max="4867" width="5.7109375" style="76" customWidth="1"/>
    <col min="4868" max="4868" width="9.7109375" style="76" customWidth="1"/>
    <col min="4869" max="4869" width="8.42578125" style="76" customWidth="1"/>
    <col min="4870" max="4870" width="9.7109375" style="76" customWidth="1"/>
    <col min="4871" max="4871" width="5" style="76" customWidth="1"/>
    <col min="4872" max="4872" width="8.140625" style="76" customWidth="1"/>
    <col min="4873" max="4873" width="9.7109375" style="76" customWidth="1"/>
    <col min="4874" max="4875" width="5" style="76" customWidth="1"/>
    <col min="4876" max="4876" width="12" style="76" customWidth="1"/>
    <col min="4877" max="4877" width="5" style="76" customWidth="1"/>
    <col min="4878" max="4878" width="11.7109375" style="76" customWidth="1"/>
    <col min="4879" max="4880" width="5" style="76" customWidth="1"/>
    <col min="4881" max="4881" width="9.42578125" style="76" customWidth="1"/>
    <col min="4882" max="4882" width="6.85546875" style="76" customWidth="1"/>
    <col min="4883" max="5120" width="11.28515625" style="76"/>
    <col min="5121" max="5121" width="25.5703125" style="76" customWidth="1"/>
    <col min="5122" max="5122" width="36.85546875" style="76" customWidth="1"/>
    <col min="5123" max="5123" width="5.7109375" style="76" customWidth="1"/>
    <col min="5124" max="5124" width="9.7109375" style="76" customWidth="1"/>
    <col min="5125" max="5125" width="8.42578125" style="76" customWidth="1"/>
    <col min="5126" max="5126" width="9.7109375" style="76" customWidth="1"/>
    <col min="5127" max="5127" width="5" style="76" customWidth="1"/>
    <col min="5128" max="5128" width="8.140625" style="76" customWidth="1"/>
    <col min="5129" max="5129" width="9.7109375" style="76" customWidth="1"/>
    <col min="5130" max="5131" width="5" style="76" customWidth="1"/>
    <col min="5132" max="5132" width="12" style="76" customWidth="1"/>
    <col min="5133" max="5133" width="5" style="76" customWidth="1"/>
    <col min="5134" max="5134" width="11.7109375" style="76" customWidth="1"/>
    <col min="5135" max="5136" width="5" style="76" customWidth="1"/>
    <col min="5137" max="5137" width="9.42578125" style="76" customWidth="1"/>
    <col min="5138" max="5138" width="6.85546875" style="76" customWidth="1"/>
    <col min="5139" max="5376" width="11.28515625" style="76"/>
    <col min="5377" max="5377" width="25.5703125" style="76" customWidth="1"/>
    <col min="5378" max="5378" width="36.85546875" style="76" customWidth="1"/>
    <col min="5379" max="5379" width="5.7109375" style="76" customWidth="1"/>
    <col min="5380" max="5380" width="9.7109375" style="76" customWidth="1"/>
    <col min="5381" max="5381" width="8.42578125" style="76" customWidth="1"/>
    <col min="5382" max="5382" width="9.7109375" style="76" customWidth="1"/>
    <col min="5383" max="5383" width="5" style="76" customWidth="1"/>
    <col min="5384" max="5384" width="8.140625" style="76" customWidth="1"/>
    <col min="5385" max="5385" width="9.7109375" style="76" customWidth="1"/>
    <col min="5386" max="5387" width="5" style="76" customWidth="1"/>
    <col min="5388" max="5388" width="12" style="76" customWidth="1"/>
    <col min="5389" max="5389" width="5" style="76" customWidth="1"/>
    <col min="5390" max="5390" width="11.7109375" style="76" customWidth="1"/>
    <col min="5391" max="5392" width="5" style="76" customWidth="1"/>
    <col min="5393" max="5393" width="9.42578125" style="76" customWidth="1"/>
    <col min="5394" max="5394" width="6.85546875" style="76" customWidth="1"/>
    <col min="5395" max="5632" width="11.28515625" style="76"/>
    <col min="5633" max="5633" width="25.5703125" style="76" customWidth="1"/>
    <col min="5634" max="5634" width="36.85546875" style="76" customWidth="1"/>
    <col min="5635" max="5635" width="5.7109375" style="76" customWidth="1"/>
    <col min="5636" max="5636" width="9.7109375" style="76" customWidth="1"/>
    <col min="5637" max="5637" width="8.42578125" style="76" customWidth="1"/>
    <col min="5638" max="5638" width="9.7109375" style="76" customWidth="1"/>
    <col min="5639" max="5639" width="5" style="76" customWidth="1"/>
    <col min="5640" max="5640" width="8.140625" style="76" customWidth="1"/>
    <col min="5641" max="5641" width="9.7109375" style="76" customWidth="1"/>
    <col min="5642" max="5643" width="5" style="76" customWidth="1"/>
    <col min="5644" max="5644" width="12" style="76" customWidth="1"/>
    <col min="5645" max="5645" width="5" style="76" customWidth="1"/>
    <col min="5646" max="5646" width="11.7109375" style="76" customWidth="1"/>
    <col min="5647" max="5648" width="5" style="76" customWidth="1"/>
    <col min="5649" max="5649" width="9.42578125" style="76" customWidth="1"/>
    <col min="5650" max="5650" width="6.85546875" style="76" customWidth="1"/>
    <col min="5651" max="5888" width="11.28515625" style="76"/>
    <col min="5889" max="5889" width="25.5703125" style="76" customWidth="1"/>
    <col min="5890" max="5890" width="36.85546875" style="76" customWidth="1"/>
    <col min="5891" max="5891" width="5.7109375" style="76" customWidth="1"/>
    <col min="5892" max="5892" width="9.7109375" style="76" customWidth="1"/>
    <col min="5893" max="5893" width="8.42578125" style="76" customWidth="1"/>
    <col min="5894" max="5894" width="9.7109375" style="76" customWidth="1"/>
    <col min="5895" max="5895" width="5" style="76" customWidth="1"/>
    <col min="5896" max="5896" width="8.140625" style="76" customWidth="1"/>
    <col min="5897" max="5897" width="9.7109375" style="76" customWidth="1"/>
    <col min="5898" max="5899" width="5" style="76" customWidth="1"/>
    <col min="5900" max="5900" width="12" style="76" customWidth="1"/>
    <col min="5901" max="5901" width="5" style="76" customWidth="1"/>
    <col min="5902" max="5902" width="11.7109375" style="76" customWidth="1"/>
    <col min="5903" max="5904" width="5" style="76" customWidth="1"/>
    <col min="5905" max="5905" width="9.42578125" style="76" customWidth="1"/>
    <col min="5906" max="5906" width="6.85546875" style="76" customWidth="1"/>
    <col min="5907" max="6144" width="11.28515625" style="76"/>
    <col min="6145" max="6145" width="25.5703125" style="76" customWidth="1"/>
    <col min="6146" max="6146" width="36.85546875" style="76" customWidth="1"/>
    <col min="6147" max="6147" width="5.7109375" style="76" customWidth="1"/>
    <col min="6148" max="6148" width="9.7109375" style="76" customWidth="1"/>
    <col min="6149" max="6149" width="8.42578125" style="76" customWidth="1"/>
    <col min="6150" max="6150" width="9.7109375" style="76" customWidth="1"/>
    <col min="6151" max="6151" width="5" style="76" customWidth="1"/>
    <col min="6152" max="6152" width="8.140625" style="76" customWidth="1"/>
    <col min="6153" max="6153" width="9.7109375" style="76" customWidth="1"/>
    <col min="6154" max="6155" width="5" style="76" customWidth="1"/>
    <col min="6156" max="6156" width="12" style="76" customWidth="1"/>
    <col min="6157" max="6157" width="5" style="76" customWidth="1"/>
    <col min="6158" max="6158" width="11.7109375" style="76" customWidth="1"/>
    <col min="6159" max="6160" width="5" style="76" customWidth="1"/>
    <col min="6161" max="6161" width="9.42578125" style="76" customWidth="1"/>
    <col min="6162" max="6162" width="6.85546875" style="76" customWidth="1"/>
    <col min="6163" max="6400" width="11.28515625" style="76"/>
    <col min="6401" max="6401" width="25.5703125" style="76" customWidth="1"/>
    <col min="6402" max="6402" width="36.85546875" style="76" customWidth="1"/>
    <col min="6403" max="6403" width="5.7109375" style="76" customWidth="1"/>
    <col min="6404" max="6404" width="9.7109375" style="76" customWidth="1"/>
    <col min="6405" max="6405" width="8.42578125" style="76" customWidth="1"/>
    <col min="6406" max="6406" width="9.7109375" style="76" customWidth="1"/>
    <col min="6407" max="6407" width="5" style="76" customWidth="1"/>
    <col min="6408" max="6408" width="8.140625" style="76" customWidth="1"/>
    <col min="6409" max="6409" width="9.7109375" style="76" customWidth="1"/>
    <col min="6410" max="6411" width="5" style="76" customWidth="1"/>
    <col min="6412" max="6412" width="12" style="76" customWidth="1"/>
    <col min="6413" max="6413" width="5" style="76" customWidth="1"/>
    <col min="6414" max="6414" width="11.7109375" style="76" customWidth="1"/>
    <col min="6415" max="6416" width="5" style="76" customWidth="1"/>
    <col min="6417" max="6417" width="9.42578125" style="76" customWidth="1"/>
    <col min="6418" max="6418" width="6.85546875" style="76" customWidth="1"/>
    <col min="6419" max="6656" width="11.28515625" style="76"/>
    <col min="6657" max="6657" width="25.5703125" style="76" customWidth="1"/>
    <col min="6658" max="6658" width="36.85546875" style="76" customWidth="1"/>
    <col min="6659" max="6659" width="5.7109375" style="76" customWidth="1"/>
    <col min="6660" max="6660" width="9.7109375" style="76" customWidth="1"/>
    <col min="6661" max="6661" width="8.42578125" style="76" customWidth="1"/>
    <col min="6662" max="6662" width="9.7109375" style="76" customWidth="1"/>
    <col min="6663" max="6663" width="5" style="76" customWidth="1"/>
    <col min="6664" max="6664" width="8.140625" style="76" customWidth="1"/>
    <col min="6665" max="6665" width="9.7109375" style="76" customWidth="1"/>
    <col min="6666" max="6667" width="5" style="76" customWidth="1"/>
    <col min="6668" max="6668" width="12" style="76" customWidth="1"/>
    <col min="6669" max="6669" width="5" style="76" customWidth="1"/>
    <col min="6670" max="6670" width="11.7109375" style="76" customWidth="1"/>
    <col min="6671" max="6672" width="5" style="76" customWidth="1"/>
    <col min="6673" max="6673" width="9.42578125" style="76" customWidth="1"/>
    <col min="6674" max="6674" width="6.85546875" style="76" customWidth="1"/>
    <col min="6675" max="6912" width="11.28515625" style="76"/>
    <col min="6913" max="6913" width="25.5703125" style="76" customWidth="1"/>
    <col min="6914" max="6914" width="36.85546875" style="76" customWidth="1"/>
    <col min="6915" max="6915" width="5.7109375" style="76" customWidth="1"/>
    <col min="6916" max="6916" width="9.7109375" style="76" customWidth="1"/>
    <col min="6917" max="6917" width="8.42578125" style="76" customWidth="1"/>
    <col min="6918" max="6918" width="9.7109375" style="76" customWidth="1"/>
    <col min="6919" max="6919" width="5" style="76" customWidth="1"/>
    <col min="6920" max="6920" width="8.140625" style="76" customWidth="1"/>
    <col min="6921" max="6921" width="9.7109375" style="76" customWidth="1"/>
    <col min="6922" max="6923" width="5" style="76" customWidth="1"/>
    <col min="6924" max="6924" width="12" style="76" customWidth="1"/>
    <col min="6925" max="6925" width="5" style="76" customWidth="1"/>
    <col min="6926" max="6926" width="11.7109375" style="76" customWidth="1"/>
    <col min="6927" max="6928" width="5" style="76" customWidth="1"/>
    <col min="6929" max="6929" width="9.42578125" style="76" customWidth="1"/>
    <col min="6930" max="6930" width="6.85546875" style="76" customWidth="1"/>
    <col min="6931" max="7168" width="11.28515625" style="76"/>
    <col min="7169" max="7169" width="25.5703125" style="76" customWidth="1"/>
    <col min="7170" max="7170" width="36.85546875" style="76" customWidth="1"/>
    <col min="7171" max="7171" width="5.7109375" style="76" customWidth="1"/>
    <col min="7172" max="7172" width="9.7109375" style="76" customWidth="1"/>
    <col min="7173" max="7173" width="8.42578125" style="76" customWidth="1"/>
    <col min="7174" max="7174" width="9.7109375" style="76" customWidth="1"/>
    <col min="7175" max="7175" width="5" style="76" customWidth="1"/>
    <col min="7176" max="7176" width="8.140625" style="76" customWidth="1"/>
    <col min="7177" max="7177" width="9.7109375" style="76" customWidth="1"/>
    <col min="7178" max="7179" width="5" style="76" customWidth="1"/>
    <col min="7180" max="7180" width="12" style="76" customWidth="1"/>
    <col min="7181" max="7181" width="5" style="76" customWidth="1"/>
    <col min="7182" max="7182" width="11.7109375" style="76" customWidth="1"/>
    <col min="7183" max="7184" width="5" style="76" customWidth="1"/>
    <col min="7185" max="7185" width="9.42578125" style="76" customWidth="1"/>
    <col min="7186" max="7186" width="6.85546875" style="76" customWidth="1"/>
    <col min="7187" max="7424" width="11.28515625" style="76"/>
    <col min="7425" max="7425" width="25.5703125" style="76" customWidth="1"/>
    <col min="7426" max="7426" width="36.85546875" style="76" customWidth="1"/>
    <col min="7427" max="7427" width="5.7109375" style="76" customWidth="1"/>
    <col min="7428" max="7428" width="9.7109375" style="76" customWidth="1"/>
    <col min="7429" max="7429" width="8.42578125" style="76" customWidth="1"/>
    <col min="7430" max="7430" width="9.7109375" style="76" customWidth="1"/>
    <col min="7431" max="7431" width="5" style="76" customWidth="1"/>
    <col min="7432" max="7432" width="8.140625" style="76" customWidth="1"/>
    <col min="7433" max="7433" width="9.7109375" style="76" customWidth="1"/>
    <col min="7434" max="7435" width="5" style="76" customWidth="1"/>
    <col min="7436" max="7436" width="12" style="76" customWidth="1"/>
    <col min="7437" max="7437" width="5" style="76" customWidth="1"/>
    <col min="7438" max="7438" width="11.7109375" style="76" customWidth="1"/>
    <col min="7439" max="7440" width="5" style="76" customWidth="1"/>
    <col min="7441" max="7441" width="9.42578125" style="76" customWidth="1"/>
    <col min="7442" max="7442" width="6.85546875" style="76" customWidth="1"/>
    <col min="7443" max="7680" width="11.28515625" style="76"/>
    <col min="7681" max="7681" width="25.5703125" style="76" customWidth="1"/>
    <col min="7682" max="7682" width="36.85546875" style="76" customWidth="1"/>
    <col min="7683" max="7683" width="5.7109375" style="76" customWidth="1"/>
    <col min="7684" max="7684" width="9.7109375" style="76" customWidth="1"/>
    <col min="7685" max="7685" width="8.42578125" style="76" customWidth="1"/>
    <col min="7686" max="7686" width="9.7109375" style="76" customWidth="1"/>
    <col min="7687" max="7687" width="5" style="76" customWidth="1"/>
    <col min="7688" max="7688" width="8.140625" style="76" customWidth="1"/>
    <col min="7689" max="7689" width="9.7109375" style="76" customWidth="1"/>
    <col min="7690" max="7691" width="5" style="76" customWidth="1"/>
    <col min="7692" max="7692" width="12" style="76" customWidth="1"/>
    <col min="7693" max="7693" width="5" style="76" customWidth="1"/>
    <col min="7694" max="7694" width="11.7109375" style="76" customWidth="1"/>
    <col min="7695" max="7696" width="5" style="76" customWidth="1"/>
    <col min="7697" max="7697" width="9.42578125" style="76" customWidth="1"/>
    <col min="7698" max="7698" width="6.85546875" style="76" customWidth="1"/>
    <col min="7699" max="7936" width="11.28515625" style="76"/>
    <col min="7937" max="7937" width="25.5703125" style="76" customWidth="1"/>
    <col min="7938" max="7938" width="36.85546875" style="76" customWidth="1"/>
    <col min="7939" max="7939" width="5.7109375" style="76" customWidth="1"/>
    <col min="7940" max="7940" width="9.7109375" style="76" customWidth="1"/>
    <col min="7941" max="7941" width="8.42578125" style="76" customWidth="1"/>
    <col min="7942" max="7942" width="9.7109375" style="76" customWidth="1"/>
    <col min="7943" max="7943" width="5" style="76" customWidth="1"/>
    <col min="7944" max="7944" width="8.140625" style="76" customWidth="1"/>
    <col min="7945" max="7945" width="9.7109375" style="76" customWidth="1"/>
    <col min="7946" max="7947" width="5" style="76" customWidth="1"/>
    <col min="7948" max="7948" width="12" style="76" customWidth="1"/>
    <col min="7949" max="7949" width="5" style="76" customWidth="1"/>
    <col min="7950" max="7950" width="11.7109375" style="76" customWidth="1"/>
    <col min="7951" max="7952" width="5" style="76" customWidth="1"/>
    <col min="7953" max="7953" width="9.42578125" style="76" customWidth="1"/>
    <col min="7954" max="7954" width="6.85546875" style="76" customWidth="1"/>
    <col min="7955" max="8192" width="11.28515625" style="76"/>
    <col min="8193" max="8193" width="25.5703125" style="76" customWidth="1"/>
    <col min="8194" max="8194" width="36.85546875" style="76" customWidth="1"/>
    <col min="8195" max="8195" width="5.7109375" style="76" customWidth="1"/>
    <col min="8196" max="8196" width="9.7109375" style="76" customWidth="1"/>
    <col min="8197" max="8197" width="8.42578125" style="76" customWidth="1"/>
    <col min="8198" max="8198" width="9.7109375" style="76" customWidth="1"/>
    <col min="8199" max="8199" width="5" style="76" customWidth="1"/>
    <col min="8200" max="8200" width="8.140625" style="76" customWidth="1"/>
    <col min="8201" max="8201" width="9.7109375" style="76" customWidth="1"/>
    <col min="8202" max="8203" width="5" style="76" customWidth="1"/>
    <col min="8204" max="8204" width="12" style="76" customWidth="1"/>
    <col min="8205" max="8205" width="5" style="76" customWidth="1"/>
    <col min="8206" max="8206" width="11.7109375" style="76" customWidth="1"/>
    <col min="8207" max="8208" width="5" style="76" customWidth="1"/>
    <col min="8209" max="8209" width="9.42578125" style="76" customWidth="1"/>
    <col min="8210" max="8210" width="6.85546875" style="76" customWidth="1"/>
    <col min="8211" max="8448" width="11.28515625" style="76"/>
    <col min="8449" max="8449" width="25.5703125" style="76" customWidth="1"/>
    <col min="8450" max="8450" width="36.85546875" style="76" customWidth="1"/>
    <col min="8451" max="8451" width="5.7109375" style="76" customWidth="1"/>
    <col min="8452" max="8452" width="9.7109375" style="76" customWidth="1"/>
    <col min="8453" max="8453" width="8.42578125" style="76" customWidth="1"/>
    <col min="8454" max="8454" width="9.7109375" style="76" customWidth="1"/>
    <col min="8455" max="8455" width="5" style="76" customWidth="1"/>
    <col min="8456" max="8456" width="8.140625" style="76" customWidth="1"/>
    <col min="8457" max="8457" width="9.7109375" style="76" customWidth="1"/>
    <col min="8458" max="8459" width="5" style="76" customWidth="1"/>
    <col min="8460" max="8460" width="12" style="76" customWidth="1"/>
    <col min="8461" max="8461" width="5" style="76" customWidth="1"/>
    <col min="8462" max="8462" width="11.7109375" style="76" customWidth="1"/>
    <col min="8463" max="8464" width="5" style="76" customWidth="1"/>
    <col min="8465" max="8465" width="9.42578125" style="76" customWidth="1"/>
    <col min="8466" max="8466" width="6.85546875" style="76" customWidth="1"/>
    <col min="8467" max="8704" width="11.28515625" style="76"/>
    <col min="8705" max="8705" width="25.5703125" style="76" customWidth="1"/>
    <col min="8706" max="8706" width="36.85546875" style="76" customWidth="1"/>
    <col min="8707" max="8707" width="5.7109375" style="76" customWidth="1"/>
    <col min="8708" max="8708" width="9.7109375" style="76" customWidth="1"/>
    <col min="8709" max="8709" width="8.42578125" style="76" customWidth="1"/>
    <col min="8710" max="8710" width="9.7109375" style="76" customWidth="1"/>
    <col min="8711" max="8711" width="5" style="76" customWidth="1"/>
    <col min="8712" max="8712" width="8.140625" style="76" customWidth="1"/>
    <col min="8713" max="8713" width="9.7109375" style="76" customWidth="1"/>
    <col min="8714" max="8715" width="5" style="76" customWidth="1"/>
    <col min="8716" max="8716" width="12" style="76" customWidth="1"/>
    <col min="8717" max="8717" width="5" style="76" customWidth="1"/>
    <col min="8718" max="8718" width="11.7109375" style="76" customWidth="1"/>
    <col min="8719" max="8720" width="5" style="76" customWidth="1"/>
    <col min="8721" max="8721" width="9.42578125" style="76" customWidth="1"/>
    <col min="8722" max="8722" width="6.85546875" style="76" customWidth="1"/>
    <col min="8723" max="8960" width="11.28515625" style="76"/>
    <col min="8961" max="8961" width="25.5703125" style="76" customWidth="1"/>
    <col min="8962" max="8962" width="36.85546875" style="76" customWidth="1"/>
    <col min="8963" max="8963" width="5.7109375" style="76" customWidth="1"/>
    <col min="8964" max="8964" width="9.7109375" style="76" customWidth="1"/>
    <col min="8965" max="8965" width="8.42578125" style="76" customWidth="1"/>
    <col min="8966" max="8966" width="9.7109375" style="76" customWidth="1"/>
    <col min="8967" max="8967" width="5" style="76" customWidth="1"/>
    <col min="8968" max="8968" width="8.140625" style="76" customWidth="1"/>
    <col min="8969" max="8969" width="9.7109375" style="76" customWidth="1"/>
    <col min="8970" max="8971" width="5" style="76" customWidth="1"/>
    <col min="8972" max="8972" width="12" style="76" customWidth="1"/>
    <col min="8973" max="8973" width="5" style="76" customWidth="1"/>
    <col min="8974" max="8974" width="11.7109375" style="76" customWidth="1"/>
    <col min="8975" max="8976" width="5" style="76" customWidth="1"/>
    <col min="8977" max="8977" width="9.42578125" style="76" customWidth="1"/>
    <col min="8978" max="8978" width="6.85546875" style="76" customWidth="1"/>
    <col min="8979" max="9216" width="11.28515625" style="76"/>
    <col min="9217" max="9217" width="25.5703125" style="76" customWidth="1"/>
    <col min="9218" max="9218" width="36.85546875" style="76" customWidth="1"/>
    <col min="9219" max="9219" width="5.7109375" style="76" customWidth="1"/>
    <col min="9220" max="9220" width="9.7109375" style="76" customWidth="1"/>
    <col min="9221" max="9221" width="8.42578125" style="76" customWidth="1"/>
    <col min="9222" max="9222" width="9.7109375" style="76" customWidth="1"/>
    <col min="9223" max="9223" width="5" style="76" customWidth="1"/>
    <col min="9224" max="9224" width="8.140625" style="76" customWidth="1"/>
    <col min="9225" max="9225" width="9.7109375" style="76" customWidth="1"/>
    <col min="9226" max="9227" width="5" style="76" customWidth="1"/>
    <col min="9228" max="9228" width="12" style="76" customWidth="1"/>
    <col min="9229" max="9229" width="5" style="76" customWidth="1"/>
    <col min="9230" max="9230" width="11.7109375" style="76" customWidth="1"/>
    <col min="9231" max="9232" width="5" style="76" customWidth="1"/>
    <col min="9233" max="9233" width="9.42578125" style="76" customWidth="1"/>
    <col min="9234" max="9234" width="6.85546875" style="76" customWidth="1"/>
    <col min="9235" max="9472" width="11.28515625" style="76"/>
    <col min="9473" max="9473" width="25.5703125" style="76" customWidth="1"/>
    <col min="9474" max="9474" width="36.85546875" style="76" customWidth="1"/>
    <col min="9475" max="9475" width="5.7109375" style="76" customWidth="1"/>
    <col min="9476" max="9476" width="9.7109375" style="76" customWidth="1"/>
    <col min="9477" max="9477" width="8.42578125" style="76" customWidth="1"/>
    <col min="9478" max="9478" width="9.7109375" style="76" customWidth="1"/>
    <col min="9479" max="9479" width="5" style="76" customWidth="1"/>
    <col min="9480" max="9480" width="8.140625" style="76" customWidth="1"/>
    <col min="9481" max="9481" width="9.7109375" style="76" customWidth="1"/>
    <col min="9482" max="9483" width="5" style="76" customWidth="1"/>
    <col min="9484" max="9484" width="12" style="76" customWidth="1"/>
    <col min="9485" max="9485" width="5" style="76" customWidth="1"/>
    <col min="9486" max="9486" width="11.7109375" style="76" customWidth="1"/>
    <col min="9487" max="9488" width="5" style="76" customWidth="1"/>
    <col min="9489" max="9489" width="9.42578125" style="76" customWidth="1"/>
    <col min="9490" max="9490" width="6.85546875" style="76" customWidth="1"/>
    <col min="9491" max="9728" width="11.28515625" style="76"/>
    <col min="9729" max="9729" width="25.5703125" style="76" customWidth="1"/>
    <col min="9730" max="9730" width="36.85546875" style="76" customWidth="1"/>
    <col min="9731" max="9731" width="5.7109375" style="76" customWidth="1"/>
    <col min="9732" max="9732" width="9.7109375" style="76" customWidth="1"/>
    <col min="9733" max="9733" width="8.42578125" style="76" customWidth="1"/>
    <col min="9734" max="9734" width="9.7109375" style="76" customWidth="1"/>
    <col min="9735" max="9735" width="5" style="76" customWidth="1"/>
    <col min="9736" max="9736" width="8.140625" style="76" customWidth="1"/>
    <col min="9737" max="9737" width="9.7109375" style="76" customWidth="1"/>
    <col min="9738" max="9739" width="5" style="76" customWidth="1"/>
    <col min="9740" max="9740" width="12" style="76" customWidth="1"/>
    <col min="9741" max="9741" width="5" style="76" customWidth="1"/>
    <col min="9742" max="9742" width="11.7109375" style="76" customWidth="1"/>
    <col min="9743" max="9744" width="5" style="76" customWidth="1"/>
    <col min="9745" max="9745" width="9.42578125" style="76" customWidth="1"/>
    <col min="9746" max="9746" width="6.85546875" style="76" customWidth="1"/>
    <col min="9747" max="9984" width="11.28515625" style="76"/>
    <col min="9985" max="9985" width="25.5703125" style="76" customWidth="1"/>
    <col min="9986" max="9986" width="36.85546875" style="76" customWidth="1"/>
    <col min="9987" max="9987" width="5.7109375" style="76" customWidth="1"/>
    <col min="9988" max="9988" width="9.7109375" style="76" customWidth="1"/>
    <col min="9989" max="9989" width="8.42578125" style="76" customWidth="1"/>
    <col min="9990" max="9990" width="9.7109375" style="76" customWidth="1"/>
    <col min="9991" max="9991" width="5" style="76" customWidth="1"/>
    <col min="9992" max="9992" width="8.140625" style="76" customWidth="1"/>
    <col min="9993" max="9993" width="9.7109375" style="76" customWidth="1"/>
    <col min="9994" max="9995" width="5" style="76" customWidth="1"/>
    <col min="9996" max="9996" width="12" style="76" customWidth="1"/>
    <col min="9997" max="9997" width="5" style="76" customWidth="1"/>
    <col min="9998" max="9998" width="11.7109375" style="76" customWidth="1"/>
    <col min="9999" max="10000" width="5" style="76" customWidth="1"/>
    <col min="10001" max="10001" width="9.42578125" style="76" customWidth="1"/>
    <col min="10002" max="10002" width="6.85546875" style="76" customWidth="1"/>
    <col min="10003" max="10240" width="11.28515625" style="76"/>
    <col min="10241" max="10241" width="25.5703125" style="76" customWidth="1"/>
    <col min="10242" max="10242" width="36.85546875" style="76" customWidth="1"/>
    <col min="10243" max="10243" width="5.7109375" style="76" customWidth="1"/>
    <col min="10244" max="10244" width="9.7109375" style="76" customWidth="1"/>
    <col min="10245" max="10245" width="8.42578125" style="76" customWidth="1"/>
    <col min="10246" max="10246" width="9.7109375" style="76" customWidth="1"/>
    <col min="10247" max="10247" width="5" style="76" customWidth="1"/>
    <col min="10248" max="10248" width="8.140625" style="76" customWidth="1"/>
    <col min="10249" max="10249" width="9.7109375" style="76" customWidth="1"/>
    <col min="10250" max="10251" width="5" style="76" customWidth="1"/>
    <col min="10252" max="10252" width="12" style="76" customWidth="1"/>
    <col min="10253" max="10253" width="5" style="76" customWidth="1"/>
    <col min="10254" max="10254" width="11.7109375" style="76" customWidth="1"/>
    <col min="10255" max="10256" width="5" style="76" customWidth="1"/>
    <col min="10257" max="10257" width="9.42578125" style="76" customWidth="1"/>
    <col min="10258" max="10258" width="6.85546875" style="76" customWidth="1"/>
    <col min="10259" max="10496" width="11.28515625" style="76"/>
    <col min="10497" max="10497" width="25.5703125" style="76" customWidth="1"/>
    <col min="10498" max="10498" width="36.85546875" style="76" customWidth="1"/>
    <col min="10499" max="10499" width="5.7109375" style="76" customWidth="1"/>
    <col min="10500" max="10500" width="9.7109375" style="76" customWidth="1"/>
    <col min="10501" max="10501" width="8.42578125" style="76" customWidth="1"/>
    <col min="10502" max="10502" width="9.7109375" style="76" customWidth="1"/>
    <col min="10503" max="10503" width="5" style="76" customWidth="1"/>
    <col min="10504" max="10504" width="8.140625" style="76" customWidth="1"/>
    <col min="10505" max="10505" width="9.7109375" style="76" customWidth="1"/>
    <col min="10506" max="10507" width="5" style="76" customWidth="1"/>
    <col min="10508" max="10508" width="12" style="76" customWidth="1"/>
    <col min="10509" max="10509" width="5" style="76" customWidth="1"/>
    <col min="10510" max="10510" width="11.7109375" style="76" customWidth="1"/>
    <col min="10511" max="10512" width="5" style="76" customWidth="1"/>
    <col min="10513" max="10513" width="9.42578125" style="76" customWidth="1"/>
    <col min="10514" max="10514" width="6.85546875" style="76" customWidth="1"/>
    <col min="10515" max="10752" width="11.28515625" style="76"/>
    <col min="10753" max="10753" width="25.5703125" style="76" customWidth="1"/>
    <col min="10754" max="10754" width="36.85546875" style="76" customWidth="1"/>
    <col min="10755" max="10755" width="5.7109375" style="76" customWidth="1"/>
    <col min="10756" max="10756" width="9.7109375" style="76" customWidth="1"/>
    <col min="10757" max="10757" width="8.42578125" style="76" customWidth="1"/>
    <col min="10758" max="10758" width="9.7109375" style="76" customWidth="1"/>
    <col min="10759" max="10759" width="5" style="76" customWidth="1"/>
    <col min="10760" max="10760" width="8.140625" style="76" customWidth="1"/>
    <col min="10761" max="10761" width="9.7109375" style="76" customWidth="1"/>
    <col min="10762" max="10763" width="5" style="76" customWidth="1"/>
    <col min="10764" max="10764" width="12" style="76" customWidth="1"/>
    <col min="10765" max="10765" width="5" style="76" customWidth="1"/>
    <col min="10766" max="10766" width="11.7109375" style="76" customWidth="1"/>
    <col min="10767" max="10768" width="5" style="76" customWidth="1"/>
    <col min="10769" max="10769" width="9.42578125" style="76" customWidth="1"/>
    <col min="10770" max="10770" width="6.85546875" style="76" customWidth="1"/>
    <col min="10771" max="11008" width="11.28515625" style="76"/>
    <col min="11009" max="11009" width="25.5703125" style="76" customWidth="1"/>
    <col min="11010" max="11010" width="36.85546875" style="76" customWidth="1"/>
    <col min="11011" max="11011" width="5.7109375" style="76" customWidth="1"/>
    <col min="11012" max="11012" width="9.7109375" style="76" customWidth="1"/>
    <col min="11013" max="11013" width="8.42578125" style="76" customWidth="1"/>
    <col min="11014" max="11014" width="9.7109375" style="76" customWidth="1"/>
    <col min="11015" max="11015" width="5" style="76" customWidth="1"/>
    <col min="11016" max="11016" width="8.140625" style="76" customWidth="1"/>
    <col min="11017" max="11017" width="9.7109375" style="76" customWidth="1"/>
    <col min="11018" max="11019" width="5" style="76" customWidth="1"/>
    <col min="11020" max="11020" width="12" style="76" customWidth="1"/>
    <col min="11021" max="11021" width="5" style="76" customWidth="1"/>
    <col min="11022" max="11022" width="11.7109375" style="76" customWidth="1"/>
    <col min="11023" max="11024" width="5" style="76" customWidth="1"/>
    <col min="11025" max="11025" width="9.42578125" style="76" customWidth="1"/>
    <col min="11026" max="11026" width="6.85546875" style="76" customWidth="1"/>
    <col min="11027" max="11264" width="11.28515625" style="76"/>
    <col min="11265" max="11265" width="25.5703125" style="76" customWidth="1"/>
    <col min="11266" max="11266" width="36.85546875" style="76" customWidth="1"/>
    <col min="11267" max="11267" width="5.7109375" style="76" customWidth="1"/>
    <col min="11268" max="11268" width="9.7109375" style="76" customWidth="1"/>
    <col min="11269" max="11269" width="8.42578125" style="76" customWidth="1"/>
    <col min="11270" max="11270" width="9.7109375" style="76" customWidth="1"/>
    <col min="11271" max="11271" width="5" style="76" customWidth="1"/>
    <col min="11272" max="11272" width="8.140625" style="76" customWidth="1"/>
    <col min="11273" max="11273" width="9.7109375" style="76" customWidth="1"/>
    <col min="11274" max="11275" width="5" style="76" customWidth="1"/>
    <col min="11276" max="11276" width="12" style="76" customWidth="1"/>
    <col min="11277" max="11277" width="5" style="76" customWidth="1"/>
    <col min="11278" max="11278" width="11.7109375" style="76" customWidth="1"/>
    <col min="11279" max="11280" width="5" style="76" customWidth="1"/>
    <col min="11281" max="11281" width="9.42578125" style="76" customWidth="1"/>
    <col min="11282" max="11282" width="6.85546875" style="76" customWidth="1"/>
    <col min="11283" max="11520" width="11.28515625" style="76"/>
    <col min="11521" max="11521" width="25.5703125" style="76" customWidth="1"/>
    <col min="11522" max="11522" width="36.85546875" style="76" customWidth="1"/>
    <col min="11523" max="11523" width="5.7109375" style="76" customWidth="1"/>
    <col min="11524" max="11524" width="9.7109375" style="76" customWidth="1"/>
    <col min="11525" max="11525" width="8.42578125" style="76" customWidth="1"/>
    <col min="11526" max="11526" width="9.7109375" style="76" customWidth="1"/>
    <col min="11527" max="11527" width="5" style="76" customWidth="1"/>
    <col min="11528" max="11528" width="8.140625" style="76" customWidth="1"/>
    <col min="11529" max="11529" width="9.7109375" style="76" customWidth="1"/>
    <col min="11530" max="11531" width="5" style="76" customWidth="1"/>
    <col min="11532" max="11532" width="12" style="76" customWidth="1"/>
    <col min="11533" max="11533" width="5" style="76" customWidth="1"/>
    <col min="11534" max="11534" width="11.7109375" style="76" customWidth="1"/>
    <col min="11535" max="11536" width="5" style="76" customWidth="1"/>
    <col min="11537" max="11537" width="9.42578125" style="76" customWidth="1"/>
    <col min="11538" max="11538" width="6.85546875" style="76" customWidth="1"/>
    <col min="11539" max="11776" width="11.28515625" style="76"/>
    <col min="11777" max="11777" width="25.5703125" style="76" customWidth="1"/>
    <col min="11778" max="11778" width="36.85546875" style="76" customWidth="1"/>
    <col min="11779" max="11779" width="5.7109375" style="76" customWidth="1"/>
    <col min="11780" max="11780" width="9.7109375" style="76" customWidth="1"/>
    <col min="11781" max="11781" width="8.42578125" style="76" customWidth="1"/>
    <col min="11782" max="11782" width="9.7109375" style="76" customWidth="1"/>
    <col min="11783" max="11783" width="5" style="76" customWidth="1"/>
    <col min="11784" max="11784" width="8.140625" style="76" customWidth="1"/>
    <col min="11785" max="11785" width="9.7109375" style="76" customWidth="1"/>
    <col min="11786" max="11787" width="5" style="76" customWidth="1"/>
    <col min="11788" max="11788" width="12" style="76" customWidth="1"/>
    <col min="11789" max="11789" width="5" style="76" customWidth="1"/>
    <col min="11790" max="11790" width="11.7109375" style="76" customWidth="1"/>
    <col min="11791" max="11792" width="5" style="76" customWidth="1"/>
    <col min="11793" max="11793" width="9.42578125" style="76" customWidth="1"/>
    <col min="11794" max="11794" width="6.85546875" style="76" customWidth="1"/>
    <col min="11795" max="12032" width="11.28515625" style="76"/>
    <col min="12033" max="12033" width="25.5703125" style="76" customWidth="1"/>
    <col min="12034" max="12034" width="36.85546875" style="76" customWidth="1"/>
    <col min="12035" max="12035" width="5.7109375" style="76" customWidth="1"/>
    <col min="12036" max="12036" width="9.7109375" style="76" customWidth="1"/>
    <col min="12037" max="12037" width="8.42578125" style="76" customWidth="1"/>
    <col min="12038" max="12038" width="9.7109375" style="76" customWidth="1"/>
    <col min="12039" max="12039" width="5" style="76" customWidth="1"/>
    <col min="12040" max="12040" width="8.140625" style="76" customWidth="1"/>
    <col min="12041" max="12041" width="9.7109375" style="76" customWidth="1"/>
    <col min="12042" max="12043" width="5" style="76" customWidth="1"/>
    <col min="12044" max="12044" width="12" style="76" customWidth="1"/>
    <col min="12045" max="12045" width="5" style="76" customWidth="1"/>
    <col min="12046" max="12046" width="11.7109375" style="76" customWidth="1"/>
    <col min="12047" max="12048" width="5" style="76" customWidth="1"/>
    <col min="12049" max="12049" width="9.42578125" style="76" customWidth="1"/>
    <col min="12050" max="12050" width="6.85546875" style="76" customWidth="1"/>
    <col min="12051" max="12288" width="11.28515625" style="76"/>
    <col min="12289" max="12289" width="25.5703125" style="76" customWidth="1"/>
    <col min="12290" max="12290" width="36.85546875" style="76" customWidth="1"/>
    <col min="12291" max="12291" width="5.7109375" style="76" customWidth="1"/>
    <col min="12292" max="12292" width="9.7109375" style="76" customWidth="1"/>
    <col min="12293" max="12293" width="8.42578125" style="76" customWidth="1"/>
    <col min="12294" max="12294" width="9.7109375" style="76" customWidth="1"/>
    <col min="12295" max="12295" width="5" style="76" customWidth="1"/>
    <col min="12296" max="12296" width="8.140625" style="76" customWidth="1"/>
    <col min="12297" max="12297" width="9.7109375" style="76" customWidth="1"/>
    <col min="12298" max="12299" width="5" style="76" customWidth="1"/>
    <col min="12300" max="12300" width="12" style="76" customWidth="1"/>
    <col min="12301" max="12301" width="5" style="76" customWidth="1"/>
    <col min="12302" max="12302" width="11.7109375" style="76" customWidth="1"/>
    <col min="12303" max="12304" width="5" style="76" customWidth="1"/>
    <col min="12305" max="12305" width="9.42578125" style="76" customWidth="1"/>
    <col min="12306" max="12306" width="6.85546875" style="76" customWidth="1"/>
    <col min="12307" max="12544" width="11.28515625" style="76"/>
    <col min="12545" max="12545" width="25.5703125" style="76" customWidth="1"/>
    <col min="12546" max="12546" width="36.85546875" style="76" customWidth="1"/>
    <col min="12547" max="12547" width="5.7109375" style="76" customWidth="1"/>
    <col min="12548" max="12548" width="9.7109375" style="76" customWidth="1"/>
    <col min="12549" max="12549" width="8.42578125" style="76" customWidth="1"/>
    <col min="12550" max="12550" width="9.7109375" style="76" customWidth="1"/>
    <col min="12551" max="12551" width="5" style="76" customWidth="1"/>
    <col min="12552" max="12552" width="8.140625" style="76" customWidth="1"/>
    <col min="12553" max="12553" width="9.7109375" style="76" customWidth="1"/>
    <col min="12554" max="12555" width="5" style="76" customWidth="1"/>
    <col min="12556" max="12556" width="12" style="76" customWidth="1"/>
    <col min="12557" max="12557" width="5" style="76" customWidth="1"/>
    <col min="12558" max="12558" width="11.7109375" style="76" customWidth="1"/>
    <col min="12559" max="12560" width="5" style="76" customWidth="1"/>
    <col min="12561" max="12561" width="9.42578125" style="76" customWidth="1"/>
    <col min="12562" max="12562" width="6.85546875" style="76" customWidth="1"/>
    <col min="12563" max="12800" width="11.28515625" style="76"/>
    <col min="12801" max="12801" width="25.5703125" style="76" customWidth="1"/>
    <col min="12802" max="12802" width="36.85546875" style="76" customWidth="1"/>
    <col min="12803" max="12803" width="5.7109375" style="76" customWidth="1"/>
    <col min="12804" max="12804" width="9.7109375" style="76" customWidth="1"/>
    <col min="12805" max="12805" width="8.42578125" style="76" customWidth="1"/>
    <col min="12806" max="12806" width="9.7109375" style="76" customWidth="1"/>
    <col min="12807" max="12807" width="5" style="76" customWidth="1"/>
    <col min="12808" max="12808" width="8.140625" style="76" customWidth="1"/>
    <col min="12809" max="12809" width="9.7109375" style="76" customWidth="1"/>
    <col min="12810" max="12811" width="5" style="76" customWidth="1"/>
    <col min="12812" max="12812" width="12" style="76" customWidth="1"/>
    <col min="12813" max="12813" width="5" style="76" customWidth="1"/>
    <col min="12814" max="12814" width="11.7109375" style="76" customWidth="1"/>
    <col min="12815" max="12816" width="5" style="76" customWidth="1"/>
    <col min="12817" max="12817" width="9.42578125" style="76" customWidth="1"/>
    <col min="12818" max="12818" width="6.85546875" style="76" customWidth="1"/>
    <col min="12819" max="13056" width="11.28515625" style="76"/>
    <col min="13057" max="13057" width="25.5703125" style="76" customWidth="1"/>
    <col min="13058" max="13058" width="36.85546875" style="76" customWidth="1"/>
    <col min="13059" max="13059" width="5.7109375" style="76" customWidth="1"/>
    <col min="13060" max="13060" width="9.7109375" style="76" customWidth="1"/>
    <col min="13061" max="13061" width="8.42578125" style="76" customWidth="1"/>
    <col min="13062" max="13062" width="9.7109375" style="76" customWidth="1"/>
    <col min="13063" max="13063" width="5" style="76" customWidth="1"/>
    <col min="13064" max="13064" width="8.140625" style="76" customWidth="1"/>
    <col min="13065" max="13065" width="9.7109375" style="76" customWidth="1"/>
    <col min="13066" max="13067" width="5" style="76" customWidth="1"/>
    <col min="13068" max="13068" width="12" style="76" customWidth="1"/>
    <col min="13069" max="13069" width="5" style="76" customWidth="1"/>
    <col min="13070" max="13070" width="11.7109375" style="76" customWidth="1"/>
    <col min="13071" max="13072" width="5" style="76" customWidth="1"/>
    <col min="13073" max="13073" width="9.42578125" style="76" customWidth="1"/>
    <col min="13074" max="13074" width="6.85546875" style="76" customWidth="1"/>
    <col min="13075" max="13312" width="11.28515625" style="76"/>
    <col min="13313" max="13313" width="25.5703125" style="76" customWidth="1"/>
    <col min="13314" max="13314" width="36.85546875" style="76" customWidth="1"/>
    <col min="13315" max="13315" width="5.7109375" style="76" customWidth="1"/>
    <col min="13316" max="13316" width="9.7109375" style="76" customWidth="1"/>
    <col min="13317" max="13317" width="8.42578125" style="76" customWidth="1"/>
    <col min="13318" max="13318" width="9.7109375" style="76" customWidth="1"/>
    <col min="13319" max="13319" width="5" style="76" customWidth="1"/>
    <col min="13320" max="13320" width="8.140625" style="76" customWidth="1"/>
    <col min="13321" max="13321" width="9.7109375" style="76" customWidth="1"/>
    <col min="13322" max="13323" width="5" style="76" customWidth="1"/>
    <col min="13324" max="13324" width="12" style="76" customWidth="1"/>
    <col min="13325" max="13325" width="5" style="76" customWidth="1"/>
    <col min="13326" max="13326" width="11.7109375" style="76" customWidth="1"/>
    <col min="13327" max="13328" width="5" style="76" customWidth="1"/>
    <col min="13329" max="13329" width="9.42578125" style="76" customWidth="1"/>
    <col min="13330" max="13330" width="6.85546875" style="76" customWidth="1"/>
    <col min="13331" max="13568" width="11.28515625" style="76"/>
    <col min="13569" max="13569" width="25.5703125" style="76" customWidth="1"/>
    <col min="13570" max="13570" width="36.85546875" style="76" customWidth="1"/>
    <col min="13571" max="13571" width="5.7109375" style="76" customWidth="1"/>
    <col min="13572" max="13572" width="9.7109375" style="76" customWidth="1"/>
    <col min="13573" max="13573" width="8.42578125" style="76" customWidth="1"/>
    <col min="13574" max="13574" width="9.7109375" style="76" customWidth="1"/>
    <col min="13575" max="13575" width="5" style="76" customWidth="1"/>
    <col min="13576" max="13576" width="8.140625" style="76" customWidth="1"/>
    <col min="13577" max="13577" width="9.7109375" style="76" customWidth="1"/>
    <col min="13578" max="13579" width="5" style="76" customWidth="1"/>
    <col min="13580" max="13580" width="12" style="76" customWidth="1"/>
    <col min="13581" max="13581" width="5" style="76" customWidth="1"/>
    <col min="13582" max="13582" width="11.7109375" style="76" customWidth="1"/>
    <col min="13583" max="13584" width="5" style="76" customWidth="1"/>
    <col min="13585" max="13585" width="9.42578125" style="76" customWidth="1"/>
    <col min="13586" max="13586" width="6.85546875" style="76" customWidth="1"/>
    <col min="13587" max="13824" width="11.28515625" style="76"/>
    <col min="13825" max="13825" width="25.5703125" style="76" customWidth="1"/>
    <col min="13826" max="13826" width="36.85546875" style="76" customWidth="1"/>
    <col min="13827" max="13827" width="5.7109375" style="76" customWidth="1"/>
    <col min="13828" max="13828" width="9.7109375" style="76" customWidth="1"/>
    <col min="13829" max="13829" width="8.42578125" style="76" customWidth="1"/>
    <col min="13830" max="13830" width="9.7109375" style="76" customWidth="1"/>
    <col min="13831" max="13831" width="5" style="76" customWidth="1"/>
    <col min="13832" max="13832" width="8.140625" style="76" customWidth="1"/>
    <col min="13833" max="13833" width="9.7109375" style="76" customWidth="1"/>
    <col min="13834" max="13835" width="5" style="76" customWidth="1"/>
    <col min="13836" max="13836" width="12" style="76" customWidth="1"/>
    <col min="13837" max="13837" width="5" style="76" customWidth="1"/>
    <col min="13838" max="13838" width="11.7109375" style="76" customWidth="1"/>
    <col min="13839" max="13840" width="5" style="76" customWidth="1"/>
    <col min="13841" max="13841" width="9.42578125" style="76" customWidth="1"/>
    <col min="13842" max="13842" width="6.85546875" style="76" customWidth="1"/>
    <col min="13843" max="14080" width="11.28515625" style="76"/>
    <col min="14081" max="14081" width="25.5703125" style="76" customWidth="1"/>
    <col min="14082" max="14082" width="36.85546875" style="76" customWidth="1"/>
    <col min="14083" max="14083" width="5.7109375" style="76" customWidth="1"/>
    <col min="14084" max="14084" width="9.7109375" style="76" customWidth="1"/>
    <col min="14085" max="14085" width="8.42578125" style="76" customWidth="1"/>
    <col min="14086" max="14086" width="9.7109375" style="76" customWidth="1"/>
    <col min="14087" max="14087" width="5" style="76" customWidth="1"/>
    <col min="14088" max="14088" width="8.140625" style="76" customWidth="1"/>
    <col min="14089" max="14089" width="9.7109375" style="76" customWidth="1"/>
    <col min="14090" max="14091" width="5" style="76" customWidth="1"/>
    <col min="14092" max="14092" width="12" style="76" customWidth="1"/>
    <col min="14093" max="14093" width="5" style="76" customWidth="1"/>
    <col min="14094" max="14094" width="11.7109375" style="76" customWidth="1"/>
    <col min="14095" max="14096" width="5" style="76" customWidth="1"/>
    <col min="14097" max="14097" width="9.42578125" style="76" customWidth="1"/>
    <col min="14098" max="14098" width="6.85546875" style="76" customWidth="1"/>
    <col min="14099" max="14336" width="11.28515625" style="76"/>
    <col min="14337" max="14337" width="25.5703125" style="76" customWidth="1"/>
    <col min="14338" max="14338" width="36.85546875" style="76" customWidth="1"/>
    <col min="14339" max="14339" width="5.7109375" style="76" customWidth="1"/>
    <col min="14340" max="14340" width="9.7109375" style="76" customWidth="1"/>
    <col min="14341" max="14341" width="8.42578125" style="76" customWidth="1"/>
    <col min="14342" max="14342" width="9.7109375" style="76" customWidth="1"/>
    <col min="14343" max="14343" width="5" style="76" customWidth="1"/>
    <col min="14344" max="14344" width="8.140625" style="76" customWidth="1"/>
    <col min="14345" max="14345" width="9.7109375" style="76" customWidth="1"/>
    <col min="14346" max="14347" width="5" style="76" customWidth="1"/>
    <col min="14348" max="14348" width="12" style="76" customWidth="1"/>
    <col min="14349" max="14349" width="5" style="76" customWidth="1"/>
    <col min="14350" max="14350" width="11.7109375" style="76" customWidth="1"/>
    <col min="14351" max="14352" width="5" style="76" customWidth="1"/>
    <col min="14353" max="14353" width="9.42578125" style="76" customWidth="1"/>
    <col min="14354" max="14354" width="6.85546875" style="76" customWidth="1"/>
    <col min="14355" max="14592" width="11.28515625" style="76"/>
    <col min="14593" max="14593" width="25.5703125" style="76" customWidth="1"/>
    <col min="14594" max="14594" width="36.85546875" style="76" customWidth="1"/>
    <col min="14595" max="14595" width="5.7109375" style="76" customWidth="1"/>
    <col min="14596" max="14596" width="9.7109375" style="76" customWidth="1"/>
    <col min="14597" max="14597" width="8.42578125" style="76" customWidth="1"/>
    <col min="14598" max="14598" width="9.7109375" style="76" customWidth="1"/>
    <col min="14599" max="14599" width="5" style="76" customWidth="1"/>
    <col min="14600" max="14600" width="8.140625" style="76" customWidth="1"/>
    <col min="14601" max="14601" width="9.7109375" style="76" customWidth="1"/>
    <col min="14602" max="14603" width="5" style="76" customWidth="1"/>
    <col min="14604" max="14604" width="12" style="76" customWidth="1"/>
    <col min="14605" max="14605" width="5" style="76" customWidth="1"/>
    <col min="14606" max="14606" width="11.7109375" style="76" customWidth="1"/>
    <col min="14607" max="14608" width="5" style="76" customWidth="1"/>
    <col min="14609" max="14609" width="9.42578125" style="76" customWidth="1"/>
    <col min="14610" max="14610" width="6.85546875" style="76" customWidth="1"/>
    <col min="14611" max="14848" width="11.28515625" style="76"/>
    <col min="14849" max="14849" width="25.5703125" style="76" customWidth="1"/>
    <col min="14850" max="14850" width="36.85546875" style="76" customWidth="1"/>
    <col min="14851" max="14851" width="5.7109375" style="76" customWidth="1"/>
    <col min="14852" max="14852" width="9.7109375" style="76" customWidth="1"/>
    <col min="14853" max="14853" width="8.42578125" style="76" customWidth="1"/>
    <col min="14854" max="14854" width="9.7109375" style="76" customWidth="1"/>
    <col min="14855" max="14855" width="5" style="76" customWidth="1"/>
    <col min="14856" max="14856" width="8.140625" style="76" customWidth="1"/>
    <col min="14857" max="14857" width="9.7109375" style="76" customWidth="1"/>
    <col min="14858" max="14859" width="5" style="76" customWidth="1"/>
    <col min="14860" max="14860" width="12" style="76" customWidth="1"/>
    <col min="14861" max="14861" width="5" style="76" customWidth="1"/>
    <col min="14862" max="14862" width="11.7109375" style="76" customWidth="1"/>
    <col min="14863" max="14864" width="5" style="76" customWidth="1"/>
    <col min="14865" max="14865" width="9.42578125" style="76" customWidth="1"/>
    <col min="14866" max="14866" width="6.85546875" style="76" customWidth="1"/>
    <col min="14867" max="15104" width="11.28515625" style="76"/>
    <col min="15105" max="15105" width="25.5703125" style="76" customWidth="1"/>
    <col min="15106" max="15106" width="36.85546875" style="76" customWidth="1"/>
    <col min="15107" max="15107" width="5.7109375" style="76" customWidth="1"/>
    <col min="15108" max="15108" width="9.7109375" style="76" customWidth="1"/>
    <col min="15109" max="15109" width="8.42578125" style="76" customWidth="1"/>
    <col min="15110" max="15110" width="9.7109375" style="76" customWidth="1"/>
    <col min="15111" max="15111" width="5" style="76" customWidth="1"/>
    <col min="15112" max="15112" width="8.140625" style="76" customWidth="1"/>
    <col min="15113" max="15113" width="9.7109375" style="76" customWidth="1"/>
    <col min="15114" max="15115" width="5" style="76" customWidth="1"/>
    <col min="15116" max="15116" width="12" style="76" customWidth="1"/>
    <col min="15117" max="15117" width="5" style="76" customWidth="1"/>
    <col min="15118" max="15118" width="11.7109375" style="76" customWidth="1"/>
    <col min="15119" max="15120" width="5" style="76" customWidth="1"/>
    <col min="15121" max="15121" width="9.42578125" style="76" customWidth="1"/>
    <col min="15122" max="15122" width="6.85546875" style="76" customWidth="1"/>
    <col min="15123" max="15360" width="11.28515625" style="76"/>
    <col min="15361" max="15361" width="25.5703125" style="76" customWidth="1"/>
    <col min="15362" max="15362" width="36.85546875" style="76" customWidth="1"/>
    <col min="15363" max="15363" width="5.7109375" style="76" customWidth="1"/>
    <col min="15364" max="15364" width="9.7109375" style="76" customWidth="1"/>
    <col min="15365" max="15365" width="8.42578125" style="76" customWidth="1"/>
    <col min="15366" max="15366" width="9.7109375" style="76" customWidth="1"/>
    <col min="15367" max="15367" width="5" style="76" customWidth="1"/>
    <col min="15368" max="15368" width="8.140625" style="76" customWidth="1"/>
    <col min="15369" max="15369" width="9.7109375" style="76" customWidth="1"/>
    <col min="15370" max="15371" width="5" style="76" customWidth="1"/>
    <col min="15372" max="15372" width="12" style="76" customWidth="1"/>
    <col min="15373" max="15373" width="5" style="76" customWidth="1"/>
    <col min="15374" max="15374" width="11.7109375" style="76" customWidth="1"/>
    <col min="15375" max="15376" width="5" style="76" customWidth="1"/>
    <col min="15377" max="15377" width="9.42578125" style="76" customWidth="1"/>
    <col min="15378" max="15378" width="6.85546875" style="76" customWidth="1"/>
    <col min="15379" max="15616" width="11.28515625" style="76"/>
    <col min="15617" max="15617" width="25.5703125" style="76" customWidth="1"/>
    <col min="15618" max="15618" width="36.85546875" style="76" customWidth="1"/>
    <col min="15619" max="15619" width="5.7109375" style="76" customWidth="1"/>
    <col min="15620" max="15620" width="9.7109375" style="76" customWidth="1"/>
    <col min="15621" max="15621" width="8.42578125" style="76" customWidth="1"/>
    <col min="15622" max="15622" width="9.7109375" style="76" customWidth="1"/>
    <col min="15623" max="15623" width="5" style="76" customWidth="1"/>
    <col min="15624" max="15624" width="8.140625" style="76" customWidth="1"/>
    <col min="15625" max="15625" width="9.7109375" style="76" customWidth="1"/>
    <col min="15626" max="15627" width="5" style="76" customWidth="1"/>
    <col min="15628" max="15628" width="12" style="76" customWidth="1"/>
    <col min="15629" max="15629" width="5" style="76" customWidth="1"/>
    <col min="15630" max="15630" width="11.7109375" style="76" customWidth="1"/>
    <col min="15631" max="15632" width="5" style="76" customWidth="1"/>
    <col min="15633" max="15633" width="9.42578125" style="76" customWidth="1"/>
    <col min="15634" max="15634" width="6.85546875" style="76" customWidth="1"/>
    <col min="15635" max="15872" width="11.28515625" style="76"/>
    <col min="15873" max="15873" width="25.5703125" style="76" customWidth="1"/>
    <col min="15874" max="15874" width="36.85546875" style="76" customWidth="1"/>
    <col min="15875" max="15875" width="5.7109375" style="76" customWidth="1"/>
    <col min="15876" max="15876" width="9.7109375" style="76" customWidth="1"/>
    <col min="15877" max="15877" width="8.42578125" style="76" customWidth="1"/>
    <col min="15878" max="15878" width="9.7109375" style="76" customWidth="1"/>
    <col min="15879" max="15879" width="5" style="76" customWidth="1"/>
    <col min="15880" max="15880" width="8.140625" style="76" customWidth="1"/>
    <col min="15881" max="15881" width="9.7109375" style="76" customWidth="1"/>
    <col min="15882" max="15883" width="5" style="76" customWidth="1"/>
    <col min="15884" max="15884" width="12" style="76" customWidth="1"/>
    <col min="15885" max="15885" width="5" style="76" customWidth="1"/>
    <col min="15886" max="15886" width="11.7109375" style="76" customWidth="1"/>
    <col min="15887" max="15888" width="5" style="76" customWidth="1"/>
    <col min="15889" max="15889" width="9.42578125" style="76" customWidth="1"/>
    <col min="15890" max="15890" width="6.85546875" style="76" customWidth="1"/>
    <col min="15891" max="16128" width="11.28515625" style="76"/>
    <col min="16129" max="16129" width="25.5703125" style="76" customWidth="1"/>
    <col min="16130" max="16130" width="36.85546875" style="76" customWidth="1"/>
    <col min="16131" max="16131" width="5.7109375" style="76" customWidth="1"/>
    <col min="16132" max="16132" width="9.7109375" style="76" customWidth="1"/>
    <col min="16133" max="16133" width="8.42578125" style="76" customWidth="1"/>
    <col min="16134" max="16134" width="9.7109375" style="76" customWidth="1"/>
    <col min="16135" max="16135" width="5" style="76" customWidth="1"/>
    <col min="16136" max="16136" width="8.140625" style="76" customWidth="1"/>
    <col min="16137" max="16137" width="9.7109375" style="76" customWidth="1"/>
    <col min="16138" max="16139" width="5" style="76" customWidth="1"/>
    <col min="16140" max="16140" width="12" style="76" customWidth="1"/>
    <col min="16141" max="16141" width="5" style="76" customWidth="1"/>
    <col min="16142" max="16142" width="11.7109375" style="76" customWidth="1"/>
    <col min="16143" max="16144" width="5" style="76" customWidth="1"/>
    <col min="16145" max="16145" width="9.42578125" style="76" customWidth="1"/>
    <col min="16146" max="16146" width="6.85546875" style="76" customWidth="1"/>
    <col min="16147" max="16384" width="11.28515625" style="76"/>
  </cols>
  <sheetData>
    <row r="1" spans="1:23" x14ac:dyDescent="0.2">
      <c r="A1" s="190" t="s">
        <v>419</v>
      </c>
      <c r="B1" s="190"/>
      <c r="C1" s="441"/>
      <c r="D1" s="441"/>
      <c r="E1" s="441"/>
      <c r="F1" s="441"/>
      <c r="G1" s="441"/>
      <c r="H1" s="31"/>
      <c r="I1" s="31"/>
      <c r="J1" s="31"/>
      <c r="K1" s="31"/>
      <c r="L1" s="31"/>
      <c r="M1" s="31"/>
      <c r="N1" s="31"/>
      <c r="O1" s="31"/>
      <c r="P1" s="31"/>
      <c r="Q1" s="442"/>
      <c r="R1" s="31"/>
    </row>
    <row r="2" spans="1:23" ht="12" thickBot="1" x14ac:dyDescent="0.25">
      <c r="A2" s="190" t="s">
        <v>11142</v>
      </c>
      <c r="B2" s="193"/>
      <c r="C2" s="193"/>
      <c r="D2" s="193"/>
      <c r="E2" s="193"/>
      <c r="F2" s="193"/>
      <c r="G2" s="193"/>
      <c r="H2" s="193"/>
      <c r="I2" s="193"/>
      <c r="J2" s="193"/>
      <c r="K2" s="193"/>
      <c r="L2" s="193"/>
      <c r="M2" s="193"/>
      <c r="N2" s="193"/>
      <c r="O2" s="193"/>
      <c r="P2" s="193"/>
      <c r="Q2" s="443"/>
      <c r="R2" s="193"/>
      <c r="S2" s="444"/>
      <c r="T2" s="444"/>
      <c r="U2" s="444"/>
      <c r="V2" s="444"/>
      <c r="W2" s="444"/>
    </row>
    <row r="3" spans="1:23" s="60" customFormat="1" ht="28.35" customHeight="1" thickBot="1" x14ac:dyDescent="0.25">
      <c r="A3" s="1053" t="s">
        <v>321</v>
      </c>
      <c r="B3" s="1053" t="s">
        <v>306</v>
      </c>
      <c r="C3" s="1055" t="s">
        <v>125</v>
      </c>
      <c r="D3" s="1056"/>
      <c r="E3" s="1056"/>
      <c r="F3" s="1056"/>
      <c r="G3" s="1056"/>
      <c r="H3" s="1056"/>
      <c r="I3" s="1057"/>
      <c r="J3" s="1055" t="s">
        <v>113</v>
      </c>
      <c r="K3" s="1056"/>
      <c r="L3" s="1056"/>
      <c r="M3" s="1056"/>
      <c r="N3" s="1057"/>
      <c r="O3" s="1055" t="s">
        <v>100</v>
      </c>
      <c r="P3" s="1057"/>
      <c r="Q3" s="1055" t="s">
        <v>2</v>
      </c>
      <c r="R3" s="1057"/>
    </row>
    <row r="4" spans="1:23" s="61" customFormat="1" ht="109.5" customHeight="1" thickBot="1" x14ac:dyDescent="0.25">
      <c r="A4" s="1054"/>
      <c r="B4" s="1054"/>
      <c r="C4" s="111" t="s">
        <v>114</v>
      </c>
      <c r="D4" s="112" t="s">
        <v>115</v>
      </c>
      <c r="E4" s="112" t="s">
        <v>116</v>
      </c>
      <c r="F4" s="112" t="s">
        <v>117</v>
      </c>
      <c r="G4" s="112" t="s">
        <v>118</v>
      </c>
      <c r="H4" s="112" t="s">
        <v>119</v>
      </c>
      <c r="I4" s="445" t="s">
        <v>110</v>
      </c>
      <c r="J4" s="111" t="s">
        <v>120</v>
      </c>
      <c r="K4" s="112" t="s">
        <v>121</v>
      </c>
      <c r="L4" s="112" t="s">
        <v>122</v>
      </c>
      <c r="M4" s="112" t="s">
        <v>123</v>
      </c>
      <c r="N4" s="113" t="s">
        <v>111</v>
      </c>
      <c r="O4" s="111" t="s">
        <v>124</v>
      </c>
      <c r="P4" s="113" t="s">
        <v>112</v>
      </c>
      <c r="Q4" s="446" t="s">
        <v>149</v>
      </c>
      <c r="R4" s="114" t="s">
        <v>98</v>
      </c>
    </row>
    <row r="5" spans="1:23" ht="22.5" x14ac:dyDescent="0.2">
      <c r="A5" s="447" t="s">
        <v>1429</v>
      </c>
      <c r="B5" s="115" t="s">
        <v>1430</v>
      </c>
      <c r="C5" s="448"/>
      <c r="D5" s="449">
        <v>5937278</v>
      </c>
      <c r="E5" s="450">
        <v>1443395</v>
      </c>
      <c r="F5" s="450">
        <v>9171370</v>
      </c>
      <c r="G5" s="117"/>
      <c r="H5" s="450">
        <v>23585</v>
      </c>
      <c r="I5" s="451">
        <f>SUM(C5:H5)</f>
        <v>16575628</v>
      </c>
      <c r="J5" s="116"/>
      <c r="K5" s="117"/>
      <c r="L5" s="452">
        <v>198391433</v>
      </c>
      <c r="M5" s="117"/>
      <c r="N5" s="451">
        <f>SUM(J5:M5)</f>
        <v>198391433</v>
      </c>
      <c r="O5" s="116"/>
      <c r="P5" s="118"/>
      <c r="Q5" s="453">
        <f>+I5+N5</f>
        <v>214967061</v>
      </c>
      <c r="R5" s="119">
        <f>+Q5/Q23*100</f>
        <v>22.888022867884601</v>
      </c>
    </row>
    <row r="6" spans="1:23" ht="22.5" x14ac:dyDescent="0.2">
      <c r="A6" s="454" t="s">
        <v>1429</v>
      </c>
      <c r="B6" s="120" t="s">
        <v>1431</v>
      </c>
      <c r="C6" s="455"/>
      <c r="D6" s="456">
        <v>679741</v>
      </c>
      <c r="E6" s="457"/>
      <c r="F6" s="457">
        <v>454813</v>
      </c>
      <c r="G6" s="122"/>
      <c r="H6" s="458"/>
      <c r="I6" s="451">
        <f t="shared" ref="I6:I22" si="0">SUM(C6:H6)</f>
        <v>1134554</v>
      </c>
      <c r="J6" s="121"/>
      <c r="K6" s="122"/>
      <c r="L6" s="459">
        <v>8000000</v>
      </c>
      <c r="M6" s="122"/>
      <c r="N6" s="451">
        <f t="shared" ref="N6:N22" si="1">SUM(J6:M6)</f>
        <v>8000000</v>
      </c>
      <c r="O6" s="121"/>
      <c r="P6" s="123"/>
      <c r="Q6" s="453">
        <f t="shared" ref="Q6:Q22" si="2">+I6+N6</f>
        <v>9134554</v>
      </c>
      <c r="R6" s="119">
        <f>+Q6/Q23*100</f>
        <v>0.97257635596519032</v>
      </c>
    </row>
    <row r="7" spans="1:23" ht="22.5" x14ac:dyDescent="0.2">
      <c r="A7" s="454" t="s">
        <v>1429</v>
      </c>
      <c r="B7" s="120" t="s">
        <v>1432</v>
      </c>
      <c r="C7" s="460"/>
      <c r="D7" s="456">
        <v>448605</v>
      </c>
      <c r="E7" s="456">
        <v>13588</v>
      </c>
      <c r="F7" s="456">
        <v>713684</v>
      </c>
      <c r="G7" s="126"/>
      <c r="H7" s="456"/>
      <c r="I7" s="451">
        <f t="shared" si="0"/>
        <v>1175877</v>
      </c>
      <c r="J7" s="124"/>
      <c r="K7" s="125"/>
      <c r="L7" s="456">
        <v>16000000</v>
      </c>
      <c r="M7" s="125"/>
      <c r="N7" s="451">
        <f t="shared" si="1"/>
        <v>16000000</v>
      </c>
      <c r="O7" s="124"/>
      <c r="P7" s="127"/>
      <c r="Q7" s="453">
        <f t="shared" si="2"/>
        <v>17175877</v>
      </c>
      <c r="R7" s="461">
        <f>+Q7/Q23*100</f>
        <v>1.8287539668785497</v>
      </c>
    </row>
    <row r="8" spans="1:23" ht="22.5" x14ac:dyDescent="0.2">
      <c r="A8" s="454" t="s">
        <v>1429</v>
      </c>
      <c r="B8" s="120" t="s">
        <v>1433</v>
      </c>
      <c r="C8" s="460"/>
      <c r="D8" s="456">
        <v>265790</v>
      </c>
      <c r="E8" s="456"/>
      <c r="F8" s="456">
        <v>361517</v>
      </c>
      <c r="G8" s="126"/>
      <c r="H8" s="456"/>
      <c r="I8" s="451">
        <f t="shared" si="0"/>
        <v>627307</v>
      </c>
      <c r="J8" s="124"/>
      <c r="K8" s="125"/>
      <c r="L8" s="456">
        <v>17627525</v>
      </c>
      <c r="M8" s="125"/>
      <c r="N8" s="451">
        <f t="shared" si="1"/>
        <v>17627525</v>
      </c>
      <c r="O8" s="124"/>
      <c r="P8" s="127"/>
      <c r="Q8" s="453">
        <f t="shared" si="2"/>
        <v>18254832</v>
      </c>
      <c r="R8" s="461">
        <f>+Q8/Q23*100</f>
        <v>1.9436327143412524</v>
      </c>
    </row>
    <row r="9" spans="1:23" ht="22.5" x14ac:dyDescent="0.2">
      <c r="A9" s="454" t="s">
        <v>1429</v>
      </c>
      <c r="B9" s="120" t="s">
        <v>1434</v>
      </c>
      <c r="C9" s="455"/>
      <c r="D9" s="459"/>
      <c r="E9" s="458"/>
      <c r="F9" s="458"/>
      <c r="G9" s="122"/>
      <c r="H9" s="458"/>
      <c r="I9" s="451">
        <f t="shared" si="0"/>
        <v>0</v>
      </c>
      <c r="J9" s="121"/>
      <c r="K9" s="122"/>
      <c r="L9" s="459">
        <v>4616896</v>
      </c>
      <c r="M9" s="122"/>
      <c r="N9" s="451">
        <f t="shared" si="1"/>
        <v>4616896</v>
      </c>
      <c r="O9" s="121"/>
      <c r="P9" s="123"/>
      <c r="Q9" s="453">
        <f t="shared" si="2"/>
        <v>4616896</v>
      </c>
      <c r="R9" s="461">
        <f>+Q9/Q23*100</f>
        <v>0.49157122367991507</v>
      </c>
    </row>
    <row r="10" spans="1:23" ht="22.5" x14ac:dyDescent="0.2">
      <c r="A10" s="454" t="s">
        <v>1429</v>
      </c>
      <c r="B10" s="120" t="s">
        <v>1435</v>
      </c>
      <c r="C10" s="460"/>
      <c r="D10" s="456">
        <v>1299051</v>
      </c>
      <c r="E10" s="457">
        <v>902133</v>
      </c>
      <c r="F10" s="457">
        <v>1951650</v>
      </c>
      <c r="G10" s="129"/>
      <c r="H10" s="457"/>
      <c r="I10" s="451">
        <f t="shared" si="0"/>
        <v>4152834</v>
      </c>
      <c r="J10" s="128"/>
      <c r="K10" s="129"/>
      <c r="L10" s="456">
        <v>2000000</v>
      </c>
      <c r="M10" s="129"/>
      <c r="N10" s="451">
        <f t="shared" si="1"/>
        <v>2000000</v>
      </c>
      <c r="O10" s="128"/>
      <c r="P10" s="130"/>
      <c r="Q10" s="453">
        <f t="shared" si="2"/>
        <v>6152834</v>
      </c>
      <c r="R10" s="461">
        <f>+Q10/Q23*100</f>
        <v>0.65510597130179815</v>
      </c>
    </row>
    <row r="11" spans="1:23" ht="22.5" x14ac:dyDescent="0.2">
      <c r="A11" s="454" t="s">
        <v>1429</v>
      </c>
      <c r="B11" s="120" t="s">
        <v>1436</v>
      </c>
      <c r="C11" s="460"/>
      <c r="D11" s="456">
        <v>893062</v>
      </c>
      <c r="E11" s="457">
        <v>310684</v>
      </c>
      <c r="F11" s="457">
        <v>18542142</v>
      </c>
      <c r="G11" s="129"/>
      <c r="H11" s="457"/>
      <c r="I11" s="451">
        <f t="shared" si="0"/>
        <v>19745888</v>
      </c>
      <c r="J11" s="128"/>
      <c r="K11" s="129"/>
      <c r="L11" s="129"/>
      <c r="M11" s="129"/>
      <c r="N11" s="451">
        <f t="shared" si="1"/>
        <v>0</v>
      </c>
      <c r="O11" s="131"/>
      <c r="P11" s="130"/>
      <c r="Q11" s="453">
        <f t="shared" si="2"/>
        <v>19745888</v>
      </c>
      <c r="R11" s="461">
        <f>+Q11/Q23*100</f>
        <v>2.1023887752304908</v>
      </c>
    </row>
    <row r="12" spans="1:23" ht="22.5" x14ac:dyDescent="0.2">
      <c r="A12" s="462" t="s">
        <v>1429</v>
      </c>
      <c r="B12" s="463" t="s">
        <v>1437</v>
      </c>
      <c r="C12" s="464"/>
      <c r="D12" s="465">
        <v>159348133</v>
      </c>
      <c r="E12" s="466">
        <v>12571186</v>
      </c>
      <c r="F12" s="466">
        <v>4601140</v>
      </c>
      <c r="G12" s="467"/>
      <c r="H12" s="466"/>
      <c r="I12" s="451">
        <f t="shared" si="0"/>
        <v>176520459</v>
      </c>
      <c r="J12" s="468"/>
      <c r="K12" s="467"/>
      <c r="L12" s="467">
        <v>51360</v>
      </c>
      <c r="M12" s="467"/>
      <c r="N12" s="451">
        <f t="shared" si="1"/>
        <v>51360</v>
      </c>
      <c r="O12" s="469"/>
      <c r="P12" s="470"/>
      <c r="Q12" s="453">
        <f t="shared" si="2"/>
        <v>176571819</v>
      </c>
      <c r="R12" s="461">
        <f>+Q12/Q23*100</f>
        <v>18.799995740258929</v>
      </c>
    </row>
    <row r="13" spans="1:23" ht="22.5" x14ac:dyDescent="0.2">
      <c r="A13" s="462" t="s">
        <v>1429</v>
      </c>
      <c r="B13" s="463" t="s">
        <v>1438</v>
      </c>
      <c r="C13" s="464"/>
      <c r="D13" s="465">
        <v>101520902</v>
      </c>
      <c r="E13" s="466">
        <v>2068609</v>
      </c>
      <c r="F13" s="466">
        <v>2579094</v>
      </c>
      <c r="G13" s="467"/>
      <c r="H13" s="466"/>
      <c r="I13" s="451">
        <f t="shared" si="0"/>
        <v>106168605</v>
      </c>
      <c r="J13" s="468"/>
      <c r="K13" s="467"/>
      <c r="L13" s="467"/>
      <c r="M13" s="467"/>
      <c r="N13" s="451">
        <f t="shared" si="1"/>
        <v>0</v>
      </c>
      <c r="O13" s="469"/>
      <c r="P13" s="470"/>
      <c r="Q13" s="453">
        <f t="shared" si="2"/>
        <v>106168605</v>
      </c>
      <c r="R13" s="461">
        <f>+Q13/Q23*100</f>
        <v>11.304008380574212</v>
      </c>
    </row>
    <row r="14" spans="1:23" ht="22.5" x14ac:dyDescent="0.2">
      <c r="A14" s="462" t="s">
        <v>1429</v>
      </c>
      <c r="B14" s="463" t="s">
        <v>1439</v>
      </c>
      <c r="C14" s="464"/>
      <c r="D14" s="465">
        <v>74111566</v>
      </c>
      <c r="E14" s="466">
        <v>1206720</v>
      </c>
      <c r="F14" s="466">
        <v>2564455</v>
      </c>
      <c r="G14" s="467"/>
      <c r="H14" s="466"/>
      <c r="I14" s="451">
        <f t="shared" si="0"/>
        <v>77882741</v>
      </c>
      <c r="J14" s="468"/>
      <c r="K14" s="467"/>
      <c r="L14" s="467"/>
      <c r="M14" s="467"/>
      <c r="N14" s="451">
        <f t="shared" si="1"/>
        <v>0</v>
      </c>
      <c r="O14" s="469"/>
      <c r="P14" s="470"/>
      <c r="Q14" s="453">
        <f t="shared" si="2"/>
        <v>77882741</v>
      </c>
      <c r="R14" s="461">
        <f>+Q14/Q23*100</f>
        <v>8.292349296348867</v>
      </c>
    </row>
    <row r="15" spans="1:23" ht="22.5" x14ac:dyDescent="0.2">
      <c r="A15" s="462" t="s">
        <v>1429</v>
      </c>
      <c r="B15" s="463" t="s">
        <v>1440</v>
      </c>
      <c r="C15" s="464"/>
      <c r="D15" s="465">
        <v>91406585</v>
      </c>
      <c r="E15" s="466">
        <v>2599046</v>
      </c>
      <c r="F15" s="466">
        <v>2226479</v>
      </c>
      <c r="G15" s="467"/>
      <c r="H15" s="466"/>
      <c r="I15" s="451">
        <f t="shared" si="0"/>
        <v>96232110</v>
      </c>
      <c r="J15" s="468"/>
      <c r="K15" s="467"/>
      <c r="L15" s="467"/>
      <c r="M15" s="467"/>
      <c r="N15" s="451">
        <f t="shared" si="1"/>
        <v>0</v>
      </c>
      <c r="O15" s="469"/>
      <c r="P15" s="470"/>
      <c r="Q15" s="453">
        <f t="shared" si="2"/>
        <v>96232110</v>
      </c>
      <c r="R15" s="461">
        <f>+Q15/Q23*100</f>
        <v>10.246047576120448</v>
      </c>
    </row>
    <row r="16" spans="1:23" ht="22.5" x14ac:dyDescent="0.2">
      <c r="A16" s="462" t="s">
        <v>1429</v>
      </c>
      <c r="B16" s="463" t="s">
        <v>1441</v>
      </c>
      <c r="C16" s="464"/>
      <c r="D16" s="465">
        <v>43027178</v>
      </c>
      <c r="E16" s="466">
        <v>1649734</v>
      </c>
      <c r="F16" s="466">
        <v>24759415</v>
      </c>
      <c r="G16" s="467"/>
      <c r="H16" s="466">
        <v>942919</v>
      </c>
      <c r="I16" s="451">
        <f t="shared" si="0"/>
        <v>70379246</v>
      </c>
      <c r="J16" s="468"/>
      <c r="K16" s="467"/>
      <c r="L16" s="467">
        <v>2223600</v>
      </c>
      <c r="M16" s="467"/>
      <c r="N16" s="451">
        <f t="shared" si="1"/>
        <v>2223600</v>
      </c>
      <c r="O16" s="469"/>
      <c r="P16" s="470"/>
      <c r="Q16" s="453">
        <f t="shared" si="2"/>
        <v>72602846</v>
      </c>
      <c r="R16" s="461">
        <f>+Q16/Q23*100</f>
        <v>7.7301870890885196</v>
      </c>
    </row>
    <row r="17" spans="1:18" ht="22.5" x14ac:dyDescent="0.2">
      <c r="A17" s="462" t="s">
        <v>1429</v>
      </c>
      <c r="B17" s="463" t="s">
        <v>1442</v>
      </c>
      <c r="C17" s="464"/>
      <c r="D17" s="465">
        <v>17263736</v>
      </c>
      <c r="E17" s="466">
        <v>397567</v>
      </c>
      <c r="F17" s="466">
        <v>6636097</v>
      </c>
      <c r="G17" s="467"/>
      <c r="H17" s="466">
        <v>26000</v>
      </c>
      <c r="I17" s="451">
        <f t="shared" si="0"/>
        <v>24323400</v>
      </c>
      <c r="J17" s="468"/>
      <c r="K17" s="467"/>
      <c r="L17" s="467"/>
      <c r="M17" s="467"/>
      <c r="N17" s="451">
        <f t="shared" si="1"/>
        <v>0</v>
      </c>
      <c r="O17" s="469"/>
      <c r="P17" s="470"/>
      <c r="Q17" s="453">
        <f t="shared" si="2"/>
        <v>24323400</v>
      </c>
      <c r="R17" s="461">
        <f>+Q17/Q23*100</f>
        <v>2.5897666965112593</v>
      </c>
    </row>
    <row r="18" spans="1:18" ht="22.5" x14ac:dyDescent="0.2">
      <c r="A18" s="462" t="s">
        <v>1429</v>
      </c>
      <c r="B18" s="463" t="s">
        <v>1443</v>
      </c>
      <c r="C18" s="464"/>
      <c r="D18" s="465">
        <v>16368735</v>
      </c>
      <c r="E18" s="466">
        <v>47423</v>
      </c>
      <c r="F18" s="466">
        <v>10057650</v>
      </c>
      <c r="G18" s="467"/>
      <c r="H18" s="466"/>
      <c r="I18" s="451">
        <f t="shared" si="0"/>
        <v>26473808</v>
      </c>
      <c r="J18" s="468"/>
      <c r="K18" s="467"/>
      <c r="L18" s="467"/>
      <c r="M18" s="467"/>
      <c r="N18" s="451">
        <f t="shared" si="1"/>
        <v>0</v>
      </c>
      <c r="O18" s="469"/>
      <c r="P18" s="470"/>
      <c r="Q18" s="453">
        <f t="shared" si="2"/>
        <v>26473808</v>
      </c>
      <c r="R18" s="461">
        <f>+Q18/Q23*100</f>
        <v>2.8187254367495229</v>
      </c>
    </row>
    <row r="19" spans="1:18" ht="22.5" x14ac:dyDescent="0.2">
      <c r="A19" s="462" t="s">
        <v>1429</v>
      </c>
      <c r="B19" s="463" t="s">
        <v>1444</v>
      </c>
      <c r="C19" s="464"/>
      <c r="D19" s="465">
        <v>10206899</v>
      </c>
      <c r="E19" s="466"/>
      <c r="F19" s="466">
        <v>5719070</v>
      </c>
      <c r="G19" s="467"/>
      <c r="H19" s="466"/>
      <c r="I19" s="451">
        <f t="shared" si="0"/>
        <v>15925969</v>
      </c>
      <c r="J19" s="468"/>
      <c r="K19" s="467"/>
      <c r="L19" s="467"/>
      <c r="M19" s="467"/>
      <c r="N19" s="451">
        <f t="shared" si="1"/>
        <v>0</v>
      </c>
      <c r="O19" s="469"/>
      <c r="P19" s="470"/>
      <c r="Q19" s="453">
        <f t="shared" si="2"/>
        <v>15925969</v>
      </c>
      <c r="R19" s="461">
        <f>+Q19/Q23*100</f>
        <v>1.6956734718777278</v>
      </c>
    </row>
    <row r="20" spans="1:18" ht="22.5" x14ac:dyDescent="0.2">
      <c r="A20" s="462" t="s">
        <v>1429</v>
      </c>
      <c r="B20" s="463" t="s">
        <v>1445</v>
      </c>
      <c r="C20" s="464"/>
      <c r="D20" s="465">
        <v>21628170</v>
      </c>
      <c r="E20" s="466">
        <v>127583</v>
      </c>
      <c r="F20" s="466">
        <v>11811117</v>
      </c>
      <c r="G20" s="467"/>
      <c r="H20" s="466">
        <v>261240</v>
      </c>
      <c r="I20" s="451">
        <f t="shared" si="0"/>
        <v>33828110</v>
      </c>
      <c r="J20" s="468"/>
      <c r="K20" s="467"/>
      <c r="L20" s="467"/>
      <c r="M20" s="467"/>
      <c r="N20" s="451">
        <f t="shared" si="1"/>
        <v>0</v>
      </c>
      <c r="O20" s="469"/>
      <c r="P20" s="470"/>
      <c r="Q20" s="453">
        <f t="shared" si="2"/>
        <v>33828110</v>
      </c>
      <c r="R20" s="461">
        <f>+Q20/Q23*100</f>
        <v>3.6017543881167722</v>
      </c>
    </row>
    <row r="21" spans="1:18" ht="22.5" x14ac:dyDescent="0.2">
      <c r="A21" s="462" t="s">
        <v>1429</v>
      </c>
      <c r="B21" s="463" t="s">
        <v>1446</v>
      </c>
      <c r="C21" s="464"/>
      <c r="D21" s="465">
        <v>12005074</v>
      </c>
      <c r="E21" s="466"/>
      <c r="F21" s="466">
        <v>7149592</v>
      </c>
      <c r="G21" s="467"/>
      <c r="H21" s="466"/>
      <c r="I21" s="451">
        <f t="shared" si="0"/>
        <v>19154666</v>
      </c>
      <c r="J21" s="468"/>
      <c r="K21" s="467"/>
      <c r="L21" s="467"/>
      <c r="M21" s="467"/>
      <c r="N21" s="451">
        <f t="shared" si="1"/>
        <v>0</v>
      </c>
      <c r="O21" s="469"/>
      <c r="P21" s="470"/>
      <c r="Q21" s="453">
        <f t="shared" si="2"/>
        <v>19154666</v>
      </c>
      <c r="R21" s="461">
        <f>+Q21/Q23*100</f>
        <v>2.0394400490719446</v>
      </c>
    </row>
    <row r="22" spans="1:18" ht="12" thickBot="1" x14ac:dyDescent="0.25">
      <c r="A22" s="132" t="s">
        <v>30</v>
      </c>
      <c r="B22" s="132" t="s">
        <v>30</v>
      </c>
      <c r="C22" s="133"/>
      <c r="D22" s="134"/>
      <c r="E22" s="134"/>
      <c r="F22" s="134"/>
      <c r="G22" s="134"/>
      <c r="H22" s="134"/>
      <c r="I22" s="451">
        <f t="shared" si="0"/>
        <v>0</v>
      </c>
      <c r="J22" s="133"/>
      <c r="K22" s="134"/>
      <c r="L22" s="134"/>
      <c r="M22" s="134"/>
      <c r="N22" s="451">
        <f t="shared" si="1"/>
        <v>0</v>
      </c>
      <c r="O22" s="133"/>
      <c r="P22" s="135"/>
      <c r="Q22" s="453">
        <f t="shared" si="2"/>
        <v>0</v>
      </c>
      <c r="R22" s="461"/>
    </row>
    <row r="23" spans="1:18" ht="12" thickBot="1" x14ac:dyDescent="0.25">
      <c r="A23" s="136" t="s">
        <v>91</v>
      </c>
      <c r="B23" s="136" t="s">
        <v>91</v>
      </c>
      <c r="C23" s="137">
        <f t="shared" ref="C23:N23" si="3">SUM(C5:C22)</f>
        <v>0</v>
      </c>
      <c r="D23" s="471">
        <f t="shared" si="3"/>
        <v>556410505</v>
      </c>
      <c r="E23" s="471">
        <f t="shared" si="3"/>
        <v>23337668</v>
      </c>
      <c r="F23" s="471">
        <f t="shared" si="3"/>
        <v>109299285</v>
      </c>
      <c r="G23" s="471">
        <f t="shared" si="3"/>
        <v>0</v>
      </c>
      <c r="H23" s="471">
        <f t="shared" si="3"/>
        <v>1253744</v>
      </c>
      <c r="I23" s="472">
        <f t="shared" si="3"/>
        <v>690301202</v>
      </c>
      <c r="J23" s="137">
        <f t="shared" si="3"/>
        <v>0</v>
      </c>
      <c r="K23" s="137">
        <f t="shared" si="3"/>
        <v>0</v>
      </c>
      <c r="L23" s="137">
        <f t="shared" si="3"/>
        <v>248910814</v>
      </c>
      <c r="M23" s="137">
        <f t="shared" si="3"/>
        <v>0</v>
      </c>
      <c r="N23" s="137">
        <f t="shared" si="3"/>
        <v>248910814</v>
      </c>
      <c r="O23" s="137"/>
      <c r="P23" s="138"/>
      <c r="Q23" s="473">
        <f>SUM(Q5:Q22)</f>
        <v>939212016</v>
      </c>
      <c r="R23" s="139">
        <f>SUM(R5:R22)</f>
        <v>99.999999999999986</v>
      </c>
    </row>
    <row r="24" spans="1:18" x14ac:dyDescent="0.2">
      <c r="A24" s="474"/>
      <c r="B24" s="474"/>
      <c r="C24" s="63"/>
      <c r="D24" s="63"/>
      <c r="E24" s="64"/>
      <c r="F24" s="64"/>
      <c r="G24" s="64"/>
      <c r="H24" s="64"/>
      <c r="I24" s="64"/>
      <c r="J24" s="64"/>
      <c r="K24" s="64"/>
      <c r="L24" s="64"/>
      <c r="M24" s="64"/>
      <c r="N24" s="64"/>
      <c r="O24" s="64"/>
      <c r="P24" s="64"/>
      <c r="Q24" s="64"/>
      <c r="R24" s="64"/>
    </row>
  </sheetData>
  <mergeCells count="6">
    <mergeCell ref="A3:A4"/>
    <mergeCell ref="J3:N3"/>
    <mergeCell ref="O3:P3"/>
    <mergeCell ref="Q3:R3"/>
    <mergeCell ref="C3:I3"/>
    <mergeCell ref="B3:B4"/>
  </mergeCells>
  <phoneticPr fontId="0" type="noConversion"/>
  <pageMargins left="0.23622047244094491" right="0.23622047244094491" top="0.74803149606299213" bottom="0.74803149606299213" header="0.31496062992125984" footer="0.31496062992125984"/>
  <pageSetup paperSize="9" scale="79"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D141"/>
  <sheetViews>
    <sheetView topLeftCell="A103" zoomScaleNormal="100" workbookViewId="0">
      <selection activeCell="A102" sqref="A102"/>
    </sheetView>
  </sheetViews>
  <sheetFormatPr baseColWidth="10" defaultColWidth="11.28515625" defaultRowHeight="12.75" x14ac:dyDescent="0.2"/>
  <cols>
    <col min="1" max="1" width="75.140625" style="491" customWidth="1"/>
    <col min="2" max="2" width="12.7109375" style="189" customWidth="1"/>
    <col min="3" max="3" width="13" style="189" customWidth="1"/>
    <col min="4" max="4" width="11.7109375" style="189" customWidth="1"/>
    <col min="257" max="257" width="75.140625" customWidth="1"/>
    <col min="258" max="258" width="12.7109375" customWidth="1"/>
    <col min="259" max="259" width="13" customWidth="1"/>
    <col min="260" max="260" width="11.7109375" customWidth="1"/>
    <col min="513" max="513" width="75.140625" customWidth="1"/>
    <col min="514" max="514" width="12.7109375" customWidth="1"/>
    <col min="515" max="515" width="13" customWidth="1"/>
    <col min="516" max="516" width="11.7109375" customWidth="1"/>
    <col min="769" max="769" width="75.140625" customWidth="1"/>
    <col min="770" max="770" width="12.7109375" customWidth="1"/>
    <col min="771" max="771" width="13" customWidth="1"/>
    <col min="772" max="772" width="11.7109375" customWidth="1"/>
    <col min="1025" max="1025" width="75.140625" customWidth="1"/>
    <col min="1026" max="1026" width="12.7109375" customWidth="1"/>
    <col min="1027" max="1027" width="13" customWidth="1"/>
    <col min="1028" max="1028" width="11.7109375" customWidth="1"/>
    <col min="1281" max="1281" width="75.140625" customWidth="1"/>
    <col min="1282" max="1282" width="12.7109375" customWidth="1"/>
    <col min="1283" max="1283" width="13" customWidth="1"/>
    <col min="1284" max="1284" width="11.7109375" customWidth="1"/>
    <col min="1537" max="1537" width="75.140625" customWidth="1"/>
    <col min="1538" max="1538" width="12.7109375" customWidth="1"/>
    <col min="1539" max="1539" width="13" customWidth="1"/>
    <col min="1540" max="1540" width="11.7109375" customWidth="1"/>
    <col min="1793" max="1793" width="75.140625" customWidth="1"/>
    <col min="1794" max="1794" width="12.7109375" customWidth="1"/>
    <col min="1795" max="1795" width="13" customWidth="1"/>
    <col min="1796" max="1796" width="11.7109375" customWidth="1"/>
    <col min="2049" max="2049" width="75.140625" customWidth="1"/>
    <col min="2050" max="2050" width="12.7109375" customWidth="1"/>
    <col min="2051" max="2051" width="13" customWidth="1"/>
    <col min="2052" max="2052" width="11.7109375" customWidth="1"/>
    <col min="2305" max="2305" width="75.140625" customWidth="1"/>
    <col min="2306" max="2306" width="12.7109375" customWidth="1"/>
    <col min="2307" max="2307" width="13" customWidth="1"/>
    <col min="2308" max="2308" width="11.7109375" customWidth="1"/>
    <col min="2561" max="2561" width="75.140625" customWidth="1"/>
    <col min="2562" max="2562" width="12.7109375" customWidth="1"/>
    <col min="2563" max="2563" width="13" customWidth="1"/>
    <col min="2564" max="2564" width="11.7109375" customWidth="1"/>
    <col min="2817" max="2817" width="75.140625" customWidth="1"/>
    <col min="2818" max="2818" width="12.7109375" customWidth="1"/>
    <col min="2819" max="2819" width="13" customWidth="1"/>
    <col min="2820" max="2820" width="11.7109375" customWidth="1"/>
    <col min="3073" max="3073" width="75.140625" customWidth="1"/>
    <col min="3074" max="3074" width="12.7109375" customWidth="1"/>
    <col min="3075" max="3075" width="13" customWidth="1"/>
    <col min="3076" max="3076" width="11.7109375" customWidth="1"/>
    <col min="3329" max="3329" width="75.140625" customWidth="1"/>
    <col min="3330" max="3330" width="12.7109375" customWidth="1"/>
    <col min="3331" max="3331" width="13" customWidth="1"/>
    <col min="3332" max="3332" width="11.7109375" customWidth="1"/>
    <col min="3585" max="3585" width="75.140625" customWidth="1"/>
    <col min="3586" max="3586" width="12.7109375" customWidth="1"/>
    <col min="3587" max="3587" width="13" customWidth="1"/>
    <col min="3588" max="3588" width="11.7109375" customWidth="1"/>
    <col min="3841" max="3841" width="75.140625" customWidth="1"/>
    <col min="3842" max="3842" width="12.7109375" customWidth="1"/>
    <col min="3843" max="3843" width="13" customWidth="1"/>
    <col min="3844" max="3844" width="11.7109375" customWidth="1"/>
    <col min="4097" max="4097" width="75.140625" customWidth="1"/>
    <col min="4098" max="4098" width="12.7109375" customWidth="1"/>
    <col min="4099" max="4099" width="13" customWidth="1"/>
    <col min="4100" max="4100" width="11.7109375" customWidth="1"/>
    <col min="4353" max="4353" width="75.140625" customWidth="1"/>
    <col min="4354" max="4354" width="12.7109375" customWidth="1"/>
    <col min="4355" max="4355" width="13" customWidth="1"/>
    <col min="4356" max="4356" width="11.7109375" customWidth="1"/>
    <col min="4609" max="4609" width="75.140625" customWidth="1"/>
    <col min="4610" max="4610" width="12.7109375" customWidth="1"/>
    <col min="4611" max="4611" width="13" customWidth="1"/>
    <col min="4612" max="4612" width="11.7109375" customWidth="1"/>
    <col min="4865" max="4865" width="75.140625" customWidth="1"/>
    <col min="4866" max="4866" width="12.7109375" customWidth="1"/>
    <col min="4867" max="4867" width="13" customWidth="1"/>
    <col min="4868" max="4868" width="11.7109375" customWidth="1"/>
    <col min="5121" max="5121" width="75.140625" customWidth="1"/>
    <col min="5122" max="5122" width="12.7109375" customWidth="1"/>
    <col min="5123" max="5123" width="13" customWidth="1"/>
    <col min="5124" max="5124" width="11.7109375" customWidth="1"/>
    <col min="5377" max="5377" width="75.140625" customWidth="1"/>
    <col min="5378" max="5378" width="12.7109375" customWidth="1"/>
    <col min="5379" max="5379" width="13" customWidth="1"/>
    <col min="5380" max="5380" width="11.7109375" customWidth="1"/>
    <col min="5633" max="5633" width="75.140625" customWidth="1"/>
    <col min="5634" max="5634" width="12.7109375" customWidth="1"/>
    <col min="5635" max="5635" width="13" customWidth="1"/>
    <col min="5636" max="5636" width="11.7109375" customWidth="1"/>
    <col min="5889" max="5889" width="75.140625" customWidth="1"/>
    <col min="5890" max="5890" width="12.7109375" customWidth="1"/>
    <col min="5891" max="5891" width="13" customWidth="1"/>
    <col min="5892" max="5892" width="11.7109375" customWidth="1"/>
    <col min="6145" max="6145" width="75.140625" customWidth="1"/>
    <col min="6146" max="6146" width="12.7109375" customWidth="1"/>
    <col min="6147" max="6147" width="13" customWidth="1"/>
    <col min="6148" max="6148" width="11.7109375" customWidth="1"/>
    <col min="6401" max="6401" width="75.140625" customWidth="1"/>
    <col min="6402" max="6402" width="12.7109375" customWidth="1"/>
    <col min="6403" max="6403" width="13" customWidth="1"/>
    <col min="6404" max="6404" width="11.7109375" customWidth="1"/>
    <col min="6657" max="6657" width="75.140625" customWidth="1"/>
    <col min="6658" max="6658" width="12.7109375" customWidth="1"/>
    <col min="6659" max="6659" width="13" customWidth="1"/>
    <col min="6660" max="6660" width="11.7109375" customWidth="1"/>
    <col min="6913" max="6913" width="75.140625" customWidth="1"/>
    <col min="6914" max="6914" width="12.7109375" customWidth="1"/>
    <col min="6915" max="6915" width="13" customWidth="1"/>
    <col min="6916" max="6916" width="11.7109375" customWidth="1"/>
    <col min="7169" max="7169" width="75.140625" customWidth="1"/>
    <col min="7170" max="7170" width="12.7109375" customWidth="1"/>
    <col min="7171" max="7171" width="13" customWidth="1"/>
    <col min="7172" max="7172" width="11.7109375" customWidth="1"/>
    <col min="7425" max="7425" width="75.140625" customWidth="1"/>
    <col min="7426" max="7426" width="12.7109375" customWidth="1"/>
    <col min="7427" max="7427" width="13" customWidth="1"/>
    <col min="7428" max="7428" width="11.7109375" customWidth="1"/>
    <col min="7681" max="7681" width="75.140625" customWidth="1"/>
    <col min="7682" max="7682" width="12.7109375" customWidth="1"/>
    <col min="7683" max="7683" width="13" customWidth="1"/>
    <col min="7684" max="7684" width="11.7109375" customWidth="1"/>
    <col min="7937" max="7937" width="75.140625" customWidth="1"/>
    <col min="7938" max="7938" width="12.7109375" customWidth="1"/>
    <col min="7939" max="7939" width="13" customWidth="1"/>
    <col min="7940" max="7940" width="11.7109375" customWidth="1"/>
    <col min="8193" max="8193" width="75.140625" customWidth="1"/>
    <col min="8194" max="8194" width="12.7109375" customWidth="1"/>
    <col min="8195" max="8195" width="13" customWidth="1"/>
    <col min="8196" max="8196" width="11.7109375" customWidth="1"/>
    <col min="8449" max="8449" width="75.140625" customWidth="1"/>
    <col min="8450" max="8450" width="12.7109375" customWidth="1"/>
    <col min="8451" max="8451" width="13" customWidth="1"/>
    <col min="8452" max="8452" width="11.7109375" customWidth="1"/>
    <col min="8705" max="8705" width="75.140625" customWidth="1"/>
    <col min="8706" max="8706" width="12.7109375" customWidth="1"/>
    <col min="8707" max="8707" width="13" customWidth="1"/>
    <col min="8708" max="8708" width="11.7109375" customWidth="1"/>
    <col min="8961" max="8961" width="75.140625" customWidth="1"/>
    <col min="8962" max="8962" width="12.7109375" customWidth="1"/>
    <col min="8963" max="8963" width="13" customWidth="1"/>
    <col min="8964" max="8964" width="11.7109375" customWidth="1"/>
    <col min="9217" max="9217" width="75.140625" customWidth="1"/>
    <col min="9218" max="9218" width="12.7109375" customWidth="1"/>
    <col min="9219" max="9219" width="13" customWidth="1"/>
    <col min="9220" max="9220" width="11.7109375" customWidth="1"/>
    <col min="9473" max="9473" width="75.140625" customWidth="1"/>
    <col min="9474" max="9474" width="12.7109375" customWidth="1"/>
    <col min="9475" max="9475" width="13" customWidth="1"/>
    <col min="9476" max="9476" width="11.7109375" customWidth="1"/>
    <col min="9729" max="9729" width="75.140625" customWidth="1"/>
    <col min="9730" max="9730" width="12.7109375" customWidth="1"/>
    <col min="9731" max="9731" width="13" customWidth="1"/>
    <col min="9732" max="9732" width="11.7109375" customWidth="1"/>
    <col min="9985" max="9985" width="75.140625" customWidth="1"/>
    <col min="9986" max="9986" width="12.7109375" customWidth="1"/>
    <col min="9987" max="9987" width="13" customWidth="1"/>
    <col min="9988" max="9988" width="11.7109375" customWidth="1"/>
    <col min="10241" max="10241" width="75.140625" customWidth="1"/>
    <col min="10242" max="10242" width="12.7109375" customWidth="1"/>
    <col min="10243" max="10243" width="13" customWidth="1"/>
    <col min="10244" max="10244" width="11.7109375" customWidth="1"/>
    <col min="10497" max="10497" width="75.140625" customWidth="1"/>
    <col min="10498" max="10498" width="12.7109375" customWidth="1"/>
    <col min="10499" max="10499" width="13" customWidth="1"/>
    <col min="10500" max="10500" width="11.7109375" customWidth="1"/>
    <col min="10753" max="10753" width="75.140625" customWidth="1"/>
    <col min="10754" max="10754" width="12.7109375" customWidth="1"/>
    <col min="10755" max="10755" width="13" customWidth="1"/>
    <col min="10756" max="10756" width="11.7109375" customWidth="1"/>
    <col min="11009" max="11009" width="75.140625" customWidth="1"/>
    <col min="11010" max="11010" width="12.7109375" customWidth="1"/>
    <col min="11011" max="11011" width="13" customWidth="1"/>
    <col min="11012" max="11012" width="11.7109375" customWidth="1"/>
    <col min="11265" max="11265" width="75.140625" customWidth="1"/>
    <col min="11266" max="11266" width="12.7109375" customWidth="1"/>
    <col min="11267" max="11267" width="13" customWidth="1"/>
    <col min="11268" max="11268" width="11.7109375" customWidth="1"/>
    <col min="11521" max="11521" width="75.140625" customWidth="1"/>
    <col min="11522" max="11522" width="12.7109375" customWidth="1"/>
    <col min="11523" max="11523" width="13" customWidth="1"/>
    <col min="11524" max="11524" width="11.7109375" customWidth="1"/>
    <col min="11777" max="11777" width="75.140625" customWidth="1"/>
    <col min="11778" max="11778" width="12.7109375" customWidth="1"/>
    <col min="11779" max="11779" width="13" customWidth="1"/>
    <col min="11780" max="11780" width="11.7109375" customWidth="1"/>
    <col min="12033" max="12033" width="75.140625" customWidth="1"/>
    <col min="12034" max="12034" width="12.7109375" customWidth="1"/>
    <col min="12035" max="12035" width="13" customWidth="1"/>
    <col min="12036" max="12036" width="11.7109375" customWidth="1"/>
    <col min="12289" max="12289" width="75.140625" customWidth="1"/>
    <col min="12290" max="12290" width="12.7109375" customWidth="1"/>
    <col min="12291" max="12291" width="13" customWidth="1"/>
    <col min="12292" max="12292" width="11.7109375" customWidth="1"/>
    <col min="12545" max="12545" width="75.140625" customWidth="1"/>
    <col min="12546" max="12546" width="12.7109375" customWidth="1"/>
    <col min="12547" max="12547" width="13" customWidth="1"/>
    <col min="12548" max="12548" width="11.7109375" customWidth="1"/>
    <col min="12801" max="12801" width="75.140625" customWidth="1"/>
    <col min="12802" max="12802" width="12.7109375" customWidth="1"/>
    <col min="12803" max="12803" width="13" customWidth="1"/>
    <col min="12804" max="12804" width="11.7109375" customWidth="1"/>
    <col min="13057" max="13057" width="75.140625" customWidth="1"/>
    <col min="13058" max="13058" width="12.7109375" customWidth="1"/>
    <col min="13059" max="13059" width="13" customWidth="1"/>
    <col min="13060" max="13060" width="11.7109375" customWidth="1"/>
    <col min="13313" max="13313" width="75.140625" customWidth="1"/>
    <col min="13314" max="13314" width="12.7109375" customWidth="1"/>
    <col min="13315" max="13315" width="13" customWidth="1"/>
    <col min="13316" max="13316" width="11.7109375" customWidth="1"/>
    <col min="13569" max="13569" width="75.140625" customWidth="1"/>
    <col min="13570" max="13570" width="12.7109375" customWidth="1"/>
    <col min="13571" max="13571" width="13" customWidth="1"/>
    <col min="13572" max="13572" width="11.7109375" customWidth="1"/>
    <col min="13825" max="13825" width="75.140625" customWidth="1"/>
    <col min="13826" max="13826" width="12.7109375" customWidth="1"/>
    <col min="13827" max="13827" width="13" customWidth="1"/>
    <col min="13828" max="13828" width="11.7109375" customWidth="1"/>
    <col min="14081" max="14081" width="75.140625" customWidth="1"/>
    <col min="14082" max="14082" width="12.7109375" customWidth="1"/>
    <col min="14083" max="14083" width="13" customWidth="1"/>
    <col min="14084" max="14084" width="11.7109375" customWidth="1"/>
    <col min="14337" max="14337" width="75.140625" customWidth="1"/>
    <col min="14338" max="14338" width="12.7109375" customWidth="1"/>
    <col min="14339" max="14339" width="13" customWidth="1"/>
    <col min="14340" max="14340" width="11.7109375" customWidth="1"/>
    <col min="14593" max="14593" width="75.140625" customWidth="1"/>
    <col min="14594" max="14594" width="12.7109375" customWidth="1"/>
    <col min="14595" max="14595" width="13" customWidth="1"/>
    <col min="14596" max="14596" width="11.7109375" customWidth="1"/>
    <col min="14849" max="14849" width="75.140625" customWidth="1"/>
    <col min="14850" max="14850" width="12.7109375" customWidth="1"/>
    <col min="14851" max="14851" width="13" customWidth="1"/>
    <col min="14852" max="14852" width="11.7109375" customWidth="1"/>
    <col min="15105" max="15105" width="75.140625" customWidth="1"/>
    <col min="15106" max="15106" width="12.7109375" customWidth="1"/>
    <col min="15107" max="15107" width="13" customWidth="1"/>
    <col min="15108" max="15108" width="11.7109375" customWidth="1"/>
    <col min="15361" max="15361" width="75.140625" customWidth="1"/>
    <col min="15362" max="15362" width="12.7109375" customWidth="1"/>
    <col min="15363" max="15363" width="13" customWidth="1"/>
    <col min="15364" max="15364" width="11.7109375" customWidth="1"/>
    <col min="15617" max="15617" width="75.140625" customWidth="1"/>
    <col min="15618" max="15618" width="12.7109375" customWidth="1"/>
    <col min="15619" max="15619" width="13" customWidth="1"/>
    <col min="15620" max="15620" width="11.7109375" customWidth="1"/>
    <col min="15873" max="15873" width="75.140625" customWidth="1"/>
    <col min="15874" max="15874" width="12.7109375" customWidth="1"/>
    <col min="15875" max="15875" width="13" customWidth="1"/>
    <col min="15876" max="15876" width="11.7109375" customWidth="1"/>
    <col min="16129" max="16129" width="75.140625" customWidth="1"/>
    <col min="16130" max="16130" width="12.7109375" customWidth="1"/>
    <col min="16131" max="16131" width="13" customWidth="1"/>
    <col min="16132" max="16132" width="11.7109375" customWidth="1"/>
  </cols>
  <sheetData>
    <row r="1" spans="1:4" x14ac:dyDescent="0.2">
      <c r="A1" s="476" t="s">
        <v>420</v>
      </c>
    </row>
    <row r="2" spans="1:4" x14ac:dyDescent="0.2">
      <c r="A2" s="477" t="s">
        <v>366</v>
      </c>
    </row>
    <row r="3" spans="1:4" s="67" customFormat="1" ht="25.5" x14ac:dyDescent="0.2">
      <c r="A3" s="478" t="s">
        <v>362</v>
      </c>
      <c r="B3" s="479">
        <v>2020</v>
      </c>
      <c r="C3" s="479">
        <v>2021</v>
      </c>
      <c r="D3" s="479">
        <v>2022</v>
      </c>
    </row>
    <row r="4" spans="1:4" x14ac:dyDescent="0.2">
      <c r="A4" s="480" t="s">
        <v>1447</v>
      </c>
      <c r="B4" s="481">
        <v>92413061</v>
      </c>
      <c r="C4" s="481">
        <v>105352304</v>
      </c>
      <c r="D4" s="482">
        <v>5204829</v>
      </c>
    </row>
    <row r="5" spans="1:4" s="191" customFormat="1" x14ac:dyDescent="0.2">
      <c r="A5" s="480" t="s">
        <v>1448</v>
      </c>
      <c r="B5" s="483">
        <v>25074300</v>
      </c>
      <c r="C5" s="483">
        <v>27243414</v>
      </c>
      <c r="D5" s="484">
        <v>23253928</v>
      </c>
    </row>
    <row r="6" spans="1:4" s="191" customFormat="1" x14ac:dyDescent="0.2">
      <c r="A6" s="480" t="s">
        <v>1449</v>
      </c>
      <c r="B6" s="483">
        <v>5217595</v>
      </c>
      <c r="C6" s="483">
        <v>5603106</v>
      </c>
      <c r="D6" s="484">
        <v>5035049</v>
      </c>
    </row>
    <row r="7" spans="1:4" s="191" customFormat="1" x14ac:dyDescent="0.2">
      <c r="A7" s="480" t="s">
        <v>1450</v>
      </c>
      <c r="B7" s="483">
        <v>7631578</v>
      </c>
      <c r="C7" s="483">
        <v>7653830</v>
      </c>
      <c r="D7" s="484">
        <v>6889377</v>
      </c>
    </row>
    <row r="8" spans="1:4" s="191" customFormat="1" x14ac:dyDescent="0.2">
      <c r="A8" s="480" t="s">
        <v>1451</v>
      </c>
      <c r="B8" s="483">
        <v>10798958</v>
      </c>
      <c r="C8" s="483">
        <v>11836340</v>
      </c>
      <c r="D8" s="484">
        <v>11285353</v>
      </c>
    </row>
    <row r="9" spans="1:4" s="191" customFormat="1" x14ac:dyDescent="0.2">
      <c r="A9" s="480" t="s">
        <v>1452</v>
      </c>
      <c r="B9" s="483">
        <v>2865902</v>
      </c>
      <c r="C9" s="483">
        <v>3461227</v>
      </c>
      <c r="D9" s="484">
        <v>3449106</v>
      </c>
    </row>
    <row r="10" spans="1:4" s="191" customFormat="1" x14ac:dyDescent="0.2">
      <c r="A10" s="480" t="s">
        <v>1453</v>
      </c>
      <c r="B10" s="483">
        <v>1000100</v>
      </c>
      <c r="C10" s="483">
        <v>450000</v>
      </c>
      <c r="D10" s="484">
        <v>200000</v>
      </c>
    </row>
    <row r="11" spans="1:4" s="191" customFormat="1" x14ac:dyDescent="0.2">
      <c r="A11" s="480" t="s">
        <v>1454</v>
      </c>
      <c r="B11" s="483">
        <v>383107</v>
      </c>
      <c r="C11" s="483">
        <v>1744185</v>
      </c>
      <c r="D11" s="484">
        <v>1600000</v>
      </c>
    </row>
    <row r="12" spans="1:4" s="191" customFormat="1" x14ac:dyDescent="0.2">
      <c r="A12" s="480" t="s">
        <v>1455</v>
      </c>
      <c r="B12" s="483">
        <v>2906714</v>
      </c>
      <c r="C12" s="483"/>
      <c r="D12" s="484"/>
    </row>
    <row r="13" spans="1:4" s="191" customFormat="1" ht="15" customHeight="1" x14ac:dyDescent="0.2">
      <c r="A13" s="480" t="s">
        <v>1456</v>
      </c>
      <c r="B13" s="485">
        <v>0</v>
      </c>
      <c r="C13" s="485">
        <v>500000</v>
      </c>
      <c r="D13" s="486">
        <v>2950000</v>
      </c>
    </row>
    <row r="14" spans="1:4" s="191" customFormat="1" x14ac:dyDescent="0.2">
      <c r="A14" s="480" t="s">
        <v>1457</v>
      </c>
      <c r="B14" s="485">
        <v>400384</v>
      </c>
      <c r="C14" s="485">
        <v>367173</v>
      </c>
      <c r="D14" s="486"/>
    </row>
    <row r="15" spans="1:4" s="191" customFormat="1" x14ac:dyDescent="0.2">
      <c r="A15" s="480" t="s">
        <v>1458</v>
      </c>
      <c r="B15" s="485">
        <v>756426</v>
      </c>
      <c r="C15" s="485">
        <v>731542</v>
      </c>
      <c r="D15" s="486">
        <v>794761</v>
      </c>
    </row>
    <row r="16" spans="1:4" s="191" customFormat="1" ht="15" customHeight="1" x14ac:dyDescent="0.2">
      <c r="A16" s="480" t="s">
        <v>1459</v>
      </c>
      <c r="B16" s="485">
        <v>0</v>
      </c>
      <c r="C16" s="485">
        <v>0</v>
      </c>
      <c r="D16" s="486"/>
    </row>
    <row r="17" spans="1:4" s="191" customFormat="1" x14ac:dyDescent="0.2">
      <c r="A17" s="480" t="s">
        <v>1460</v>
      </c>
      <c r="B17" s="485">
        <v>0</v>
      </c>
      <c r="C17" s="485">
        <v>0</v>
      </c>
      <c r="D17" s="486"/>
    </row>
    <row r="18" spans="1:4" s="191" customFormat="1" ht="25.5" x14ac:dyDescent="0.2">
      <c r="A18" s="480" t="s">
        <v>1461</v>
      </c>
      <c r="B18" s="485">
        <v>4345531</v>
      </c>
      <c r="C18" s="485">
        <v>5409447</v>
      </c>
      <c r="D18" s="486">
        <v>6519175</v>
      </c>
    </row>
    <row r="19" spans="1:4" s="191" customFormat="1" x14ac:dyDescent="0.2">
      <c r="A19" s="480" t="s">
        <v>1462</v>
      </c>
      <c r="B19" s="485">
        <v>0</v>
      </c>
      <c r="C19" s="485">
        <v>0</v>
      </c>
      <c r="D19" s="486">
        <v>400000</v>
      </c>
    </row>
    <row r="20" spans="1:4" s="191" customFormat="1" x14ac:dyDescent="0.2">
      <c r="A20" s="480" t="s">
        <v>1463</v>
      </c>
      <c r="B20" s="485">
        <v>0</v>
      </c>
      <c r="C20" s="485">
        <v>104648</v>
      </c>
      <c r="D20" s="486">
        <v>5200000</v>
      </c>
    </row>
    <row r="21" spans="1:4" s="191" customFormat="1" x14ac:dyDescent="0.2">
      <c r="A21" s="480" t="s">
        <v>1464</v>
      </c>
      <c r="B21" s="485">
        <v>4752492</v>
      </c>
      <c r="C21" s="485">
        <v>15765863</v>
      </c>
      <c r="D21" s="486">
        <v>11422233</v>
      </c>
    </row>
    <row r="22" spans="1:4" s="191" customFormat="1" ht="14.25" customHeight="1" x14ac:dyDescent="0.2">
      <c r="A22" s="480" t="s">
        <v>1465</v>
      </c>
      <c r="B22" s="485">
        <v>1950011</v>
      </c>
      <c r="C22" s="485">
        <v>0</v>
      </c>
      <c r="D22" s="486"/>
    </row>
    <row r="23" spans="1:4" s="191" customFormat="1" ht="25.5" x14ac:dyDescent="0.2">
      <c r="A23" s="480" t="s">
        <v>1466</v>
      </c>
      <c r="B23" s="485">
        <v>427822689</v>
      </c>
      <c r="C23" s="485">
        <v>467955317</v>
      </c>
      <c r="D23" s="486">
        <v>445727957</v>
      </c>
    </row>
    <row r="24" spans="1:4" s="191" customFormat="1" ht="25.5" x14ac:dyDescent="0.2">
      <c r="A24" s="480" t="s">
        <v>1467</v>
      </c>
      <c r="B24" s="485">
        <v>0</v>
      </c>
      <c r="C24" s="485">
        <v>71300</v>
      </c>
      <c r="D24" s="486"/>
    </row>
    <row r="25" spans="1:4" s="191" customFormat="1" x14ac:dyDescent="0.2">
      <c r="A25" s="480" t="s">
        <v>1468</v>
      </c>
      <c r="B25" s="485">
        <v>258944</v>
      </c>
      <c r="C25" s="485">
        <v>231041</v>
      </c>
      <c r="D25" s="486">
        <v>145386</v>
      </c>
    </row>
    <row r="26" spans="1:4" s="191" customFormat="1" ht="25.5" x14ac:dyDescent="0.2">
      <c r="A26" s="480" t="s">
        <v>1469</v>
      </c>
      <c r="B26" s="485">
        <v>3908653</v>
      </c>
      <c r="C26" s="485">
        <v>3879463</v>
      </c>
      <c r="D26" s="486">
        <v>3153224</v>
      </c>
    </row>
    <row r="27" spans="1:4" s="191" customFormat="1" ht="28.5" customHeight="1" x14ac:dyDescent="0.2">
      <c r="A27" s="480" t="s">
        <v>1470</v>
      </c>
      <c r="B27" s="485">
        <v>1158784</v>
      </c>
      <c r="C27" s="485">
        <v>1542510</v>
      </c>
      <c r="D27" s="486">
        <v>1045394</v>
      </c>
    </row>
    <row r="28" spans="1:4" s="191" customFormat="1" ht="14.25" customHeight="1" x14ac:dyDescent="0.2">
      <c r="A28" s="480" t="s">
        <v>1471</v>
      </c>
      <c r="B28" s="485">
        <v>2541608</v>
      </c>
      <c r="C28" s="485">
        <v>2657328</v>
      </c>
      <c r="D28" s="486">
        <v>5023072</v>
      </c>
    </row>
    <row r="29" spans="1:4" s="191" customFormat="1" x14ac:dyDescent="0.2">
      <c r="A29" s="480" t="s">
        <v>1472</v>
      </c>
      <c r="B29" s="485">
        <v>0</v>
      </c>
      <c r="C29" s="485">
        <v>150000</v>
      </c>
      <c r="D29" s="486">
        <v>300000</v>
      </c>
    </row>
    <row r="30" spans="1:4" s="191" customFormat="1" ht="25.5" x14ac:dyDescent="0.2">
      <c r="A30" s="480" t="s">
        <v>1473</v>
      </c>
      <c r="B30" s="485">
        <v>0</v>
      </c>
      <c r="C30" s="485">
        <v>0</v>
      </c>
      <c r="D30" s="486">
        <v>11671</v>
      </c>
    </row>
    <row r="31" spans="1:4" s="191" customFormat="1" ht="25.5" x14ac:dyDescent="0.2">
      <c r="A31" s="480" t="s">
        <v>1474</v>
      </c>
      <c r="B31" s="485"/>
      <c r="C31" s="485"/>
      <c r="D31" s="486">
        <v>689038</v>
      </c>
    </row>
    <row r="32" spans="1:4" s="191" customFormat="1" ht="16.5" customHeight="1" x14ac:dyDescent="0.2">
      <c r="A32" s="480" t="s">
        <v>1475</v>
      </c>
      <c r="B32" s="485">
        <v>40802</v>
      </c>
      <c r="C32" s="485">
        <v>24281</v>
      </c>
      <c r="D32" s="486">
        <v>1500000</v>
      </c>
    </row>
    <row r="33" spans="1:4" s="191" customFormat="1" ht="15" customHeight="1" x14ac:dyDescent="0.2">
      <c r="A33" s="480" t="s">
        <v>1476</v>
      </c>
      <c r="B33" s="485">
        <v>0</v>
      </c>
      <c r="C33" s="485">
        <v>0</v>
      </c>
      <c r="D33" s="486"/>
    </row>
    <row r="34" spans="1:4" s="191" customFormat="1" ht="17.25" customHeight="1" x14ac:dyDescent="0.2">
      <c r="A34" s="480" t="s">
        <v>1477</v>
      </c>
      <c r="B34" s="485">
        <v>26246647</v>
      </c>
      <c r="C34" s="485">
        <v>13865837</v>
      </c>
      <c r="D34" s="486">
        <v>1342917</v>
      </c>
    </row>
    <row r="35" spans="1:4" s="191" customFormat="1" ht="25.5" x14ac:dyDescent="0.2">
      <c r="A35" s="480" t="s">
        <v>1478</v>
      </c>
      <c r="B35" s="485">
        <v>167086</v>
      </c>
      <c r="C35" s="485">
        <v>167086</v>
      </c>
      <c r="D35" s="486">
        <v>164086</v>
      </c>
    </row>
    <row r="36" spans="1:4" s="191" customFormat="1" ht="25.5" x14ac:dyDescent="0.2">
      <c r="A36" s="480" t="s">
        <v>1479</v>
      </c>
      <c r="B36" s="485">
        <v>203911</v>
      </c>
      <c r="C36" s="485">
        <v>175389</v>
      </c>
      <c r="D36" s="486">
        <v>125307</v>
      </c>
    </row>
    <row r="37" spans="1:4" s="191" customFormat="1" x14ac:dyDescent="0.2">
      <c r="A37" s="480" t="s">
        <v>1480</v>
      </c>
      <c r="B37" s="485">
        <v>5525181</v>
      </c>
      <c r="C37" s="485">
        <v>5676501</v>
      </c>
      <c r="D37" s="486">
        <v>4261653</v>
      </c>
    </row>
    <row r="38" spans="1:4" s="191" customFormat="1" ht="25.5" x14ac:dyDescent="0.2">
      <c r="A38" s="480" t="s">
        <v>1481</v>
      </c>
      <c r="B38" s="485">
        <v>93645039</v>
      </c>
      <c r="C38" s="485">
        <v>93695610</v>
      </c>
      <c r="D38" s="486">
        <v>142322192</v>
      </c>
    </row>
    <row r="39" spans="1:4" s="191" customFormat="1" ht="25.5" x14ac:dyDescent="0.2">
      <c r="A39" s="480" t="s">
        <v>1482</v>
      </c>
      <c r="B39" s="485">
        <v>1170648</v>
      </c>
      <c r="C39" s="485">
        <v>2264683</v>
      </c>
      <c r="D39" s="486">
        <v>2000000</v>
      </c>
    </row>
    <row r="40" spans="1:4" s="191" customFormat="1" ht="18" customHeight="1" x14ac:dyDescent="0.2">
      <c r="A40" s="480" t="s">
        <v>1483</v>
      </c>
      <c r="B40" s="485">
        <v>0</v>
      </c>
      <c r="C40" s="485"/>
      <c r="D40" s="486"/>
    </row>
    <row r="41" spans="1:4" s="191" customFormat="1" ht="15.75" customHeight="1" x14ac:dyDescent="0.2">
      <c r="A41" s="480" t="s">
        <v>1484</v>
      </c>
      <c r="B41" s="485">
        <v>169304</v>
      </c>
      <c r="C41" s="485">
        <v>258921</v>
      </c>
      <c r="D41" s="486">
        <v>746178</v>
      </c>
    </row>
    <row r="42" spans="1:4" s="191" customFormat="1" ht="25.5" x14ac:dyDescent="0.2">
      <c r="A42" s="480" t="s">
        <v>1485</v>
      </c>
      <c r="B42" s="485">
        <v>3467262</v>
      </c>
      <c r="C42" s="485">
        <v>1195904</v>
      </c>
      <c r="D42" s="486">
        <v>68319</v>
      </c>
    </row>
    <row r="43" spans="1:4" s="191" customFormat="1" ht="16.5" customHeight="1" x14ac:dyDescent="0.2">
      <c r="A43" s="480" t="s">
        <v>1486</v>
      </c>
      <c r="B43" s="485"/>
      <c r="C43" s="485"/>
      <c r="D43" s="486">
        <v>42873517</v>
      </c>
    </row>
    <row r="44" spans="1:4" s="191" customFormat="1" ht="25.5" x14ac:dyDescent="0.2">
      <c r="A44" s="487" t="s">
        <v>1487</v>
      </c>
      <c r="B44" s="485"/>
      <c r="C44" s="485">
        <v>253941</v>
      </c>
      <c r="D44" s="486"/>
    </row>
    <row r="45" spans="1:4" s="191" customFormat="1" x14ac:dyDescent="0.2">
      <c r="A45" s="480" t="s">
        <v>1488</v>
      </c>
      <c r="B45" s="485">
        <v>63255341</v>
      </c>
      <c r="C45" s="485">
        <v>54103618</v>
      </c>
      <c r="D45" s="486">
        <v>69115388</v>
      </c>
    </row>
    <row r="46" spans="1:4" s="191" customFormat="1" ht="18" customHeight="1" x14ac:dyDescent="0.2">
      <c r="A46" s="480" t="s">
        <v>1489</v>
      </c>
      <c r="B46" s="485">
        <v>107891887</v>
      </c>
      <c r="C46" s="485">
        <v>112408960</v>
      </c>
      <c r="D46" s="486">
        <v>134392906</v>
      </c>
    </row>
    <row r="47" spans="1:4" s="490" customFormat="1" x14ac:dyDescent="0.2">
      <c r="A47" s="488" t="s">
        <v>350</v>
      </c>
      <c r="B47" s="489">
        <f>SUM(B4:B46)</f>
        <v>897969945</v>
      </c>
      <c r="C47" s="489">
        <f>SUM(C4:C46)</f>
        <v>946800769</v>
      </c>
      <c r="D47" s="489">
        <f>SUM(D4:D46)</f>
        <v>939212016</v>
      </c>
    </row>
    <row r="49" spans="1:4" s="67" customFormat="1" ht="25.5" x14ac:dyDescent="0.2">
      <c r="A49" s="478" t="s">
        <v>363</v>
      </c>
      <c r="B49" s="479">
        <v>2020</v>
      </c>
      <c r="C49" s="479" t="s">
        <v>414</v>
      </c>
      <c r="D49" s="479" t="s">
        <v>415</v>
      </c>
    </row>
    <row r="50" spans="1:4" x14ac:dyDescent="0.2">
      <c r="A50" s="492" t="s">
        <v>1490</v>
      </c>
      <c r="B50" s="482">
        <v>87383872</v>
      </c>
      <c r="C50" s="482">
        <v>85138922</v>
      </c>
      <c r="D50" s="482">
        <v>5204829</v>
      </c>
    </row>
    <row r="51" spans="1:4" x14ac:dyDescent="0.2">
      <c r="A51" s="492" t="s">
        <v>1491</v>
      </c>
      <c r="B51" s="482">
        <v>30573950</v>
      </c>
      <c r="C51" s="482">
        <v>30104446</v>
      </c>
      <c r="D51" s="482">
        <v>23253928</v>
      </c>
    </row>
    <row r="52" spans="1:4" x14ac:dyDescent="0.2">
      <c r="A52" s="492" t="s">
        <v>1492</v>
      </c>
      <c r="B52" s="482">
        <v>5435730</v>
      </c>
      <c r="C52" s="482">
        <v>5800862</v>
      </c>
      <c r="D52" s="482">
        <v>5035049</v>
      </c>
    </row>
    <row r="53" spans="1:4" x14ac:dyDescent="0.2">
      <c r="A53" s="492" t="s">
        <v>1493</v>
      </c>
      <c r="B53" s="482">
        <v>8137631</v>
      </c>
      <c r="C53" s="482">
        <v>7950719</v>
      </c>
      <c r="D53" s="482">
        <v>6889377</v>
      </c>
    </row>
    <row r="54" spans="1:4" x14ac:dyDescent="0.2">
      <c r="A54" s="492" t="s">
        <v>1494</v>
      </c>
      <c r="B54" s="482">
        <v>13049638</v>
      </c>
      <c r="C54" s="482">
        <v>13698914</v>
      </c>
      <c r="D54" s="482">
        <v>11285353</v>
      </c>
    </row>
    <row r="55" spans="1:4" x14ac:dyDescent="0.2">
      <c r="A55" s="492" t="s">
        <v>1495</v>
      </c>
      <c r="B55" s="482">
        <v>2958278</v>
      </c>
      <c r="C55" s="482">
        <v>3870504</v>
      </c>
      <c r="D55" s="482">
        <v>3449106</v>
      </c>
    </row>
    <row r="56" spans="1:4" x14ac:dyDescent="0.2">
      <c r="A56" s="492" t="s">
        <v>1496</v>
      </c>
      <c r="B56" s="482">
        <v>1719066</v>
      </c>
      <c r="C56" s="482">
        <v>650000</v>
      </c>
      <c r="D56" s="482">
        <v>200000</v>
      </c>
    </row>
    <row r="57" spans="1:4" x14ac:dyDescent="0.2">
      <c r="A57" s="492" t="s">
        <v>1497</v>
      </c>
      <c r="B57" s="482">
        <v>1644685</v>
      </c>
      <c r="C57" s="482">
        <v>1770329</v>
      </c>
      <c r="D57" s="482">
        <v>1600000</v>
      </c>
    </row>
    <row r="58" spans="1:4" x14ac:dyDescent="0.2">
      <c r="A58" s="492" t="s">
        <v>1498</v>
      </c>
      <c r="B58" s="482">
        <v>0</v>
      </c>
      <c r="C58" s="482"/>
      <c r="D58" s="482"/>
    </row>
    <row r="59" spans="1:4" x14ac:dyDescent="0.2">
      <c r="A59" s="492" t="s">
        <v>1499</v>
      </c>
      <c r="B59" s="482">
        <v>432618</v>
      </c>
      <c r="C59" s="482">
        <v>1322396</v>
      </c>
      <c r="D59" s="482">
        <v>2950000</v>
      </c>
    </row>
    <row r="60" spans="1:4" x14ac:dyDescent="0.2">
      <c r="A60" s="492" t="s">
        <v>1500</v>
      </c>
      <c r="B60" s="482">
        <v>1319872</v>
      </c>
      <c r="C60" s="482">
        <v>1942782</v>
      </c>
      <c r="D60" s="482"/>
    </row>
    <row r="61" spans="1:4" x14ac:dyDescent="0.2">
      <c r="A61" s="492" t="s">
        <v>1501</v>
      </c>
      <c r="B61" s="482">
        <v>710748</v>
      </c>
      <c r="C61" s="482">
        <v>731542</v>
      </c>
      <c r="D61" s="482">
        <v>794761</v>
      </c>
    </row>
    <row r="62" spans="1:4" ht="25.5" x14ac:dyDescent="0.2">
      <c r="A62" s="480" t="s">
        <v>1502</v>
      </c>
      <c r="B62" s="493">
        <v>5000</v>
      </c>
      <c r="C62" s="493">
        <v>5000</v>
      </c>
      <c r="D62" s="493"/>
    </row>
    <row r="63" spans="1:4" x14ac:dyDescent="0.2">
      <c r="A63" s="480" t="s">
        <v>1503</v>
      </c>
      <c r="B63" s="493">
        <v>1223990</v>
      </c>
      <c r="C63" s="493">
        <v>278505</v>
      </c>
      <c r="D63" s="493"/>
    </row>
    <row r="64" spans="1:4" ht="25.5" x14ac:dyDescent="0.2">
      <c r="A64" s="480" t="s">
        <v>1504</v>
      </c>
      <c r="B64" s="493">
        <v>5931195</v>
      </c>
      <c r="C64" s="493">
        <v>5541276</v>
      </c>
      <c r="D64" s="493">
        <v>6519175</v>
      </c>
    </row>
    <row r="65" spans="1:4" x14ac:dyDescent="0.2">
      <c r="A65" s="480" t="s">
        <v>1505</v>
      </c>
      <c r="B65" s="493">
        <v>580762</v>
      </c>
      <c r="C65" s="493">
        <v>60000</v>
      </c>
      <c r="D65" s="493">
        <v>400000</v>
      </c>
    </row>
    <row r="66" spans="1:4" x14ac:dyDescent="0.2">
      <c r="A66" s="480" t="s">
        <v>1506</v>
      </c>
      <c r="B66" s="493">
        <v>3000422</v>
      </c>
      <c r="C66" s="493">
        <v>4342848</v>
      </c>
      <c r="D66" s="493">
        <v>5200000</v>
      </c>
    </row>
    <row r="67" spans="1:4" x14ac:dyDescent="0.2">
      <c r="A67" s="480" t="s">
        <v>1507</v>
      </c>
      <c r="B67" s="493">
        <v>42936152</v>
      </c>
      <c r="C67" s="493">
        <v>23039815</v>
      </c>
      <c r="D67" s="493">
        <v>11422233</v>
      </c>
    </row>
    <row r="68" spans="1:4" x14ac:dyDescent="0.2">
      <c r="A68" s="480" t="s">
        <v>1508</v>
      </c>
      <c r="B68" s="493">
        <v>33997</v>
      </c>
      <c r="C68" s="493">
        <v>16998</v>
      </c>
      <c r="D68" s="493"/>
    </row>
    <row r="69" spans="1:4" ht="25.5" x14ac:dyDescent="0.2">
      <c r="A69" s="480" t="s">
        <v>1509</v>
      </c>
      <c r="B69" s="493">
        <v>496854003</v>
      </c>
      <c r="C69" s="493">
        <v>495928168</v>
      </c>
      <c r="D69" s="493">
        <v>445727957</v>
      </c>
    </row>
    <row r="70" spans="1:4" ht="25.5" x14ac:dyDescent="0.2">
      <c r="A70" s="480" t="s">
        <v>1510</v>
      </c>
      <c r="B70" s="493">
        <v>208339</v>
      </c>
      <c r="C70" s="493">
        <v>1943976</v>
      </c>
      <c r="D70" s="493"/>
    </row>
    <row r="71" spans="1:4" x14ac:dyDescent="0.2">
      <c r="A71" s="480" t="s">
        <v>1511</v>
      </c>
      <c r="B71" s="493">
        <v>1267997</v>
      </c>
      <c r="C71" s="493">
        <v>1004853</v>
      </c>
      <c r="D71" s="493">
        <v>145386</v>
      </c>
    </row>
    <row r="72" spans="1:4" ht="25.5" x14ac:dyDescent="0.2">
      <c r="A72" s="480" t="s">
        <v>1512</v>
      </c>
      <c r="B72" s="493">
        <v>5500504</v>
      </c>
      <c r="C72" s="493">
        <v>5172934</v>
      </c>
      <c r="D72" s="493">
        <v>3153224</v>
      </c>
    </row>
    <row r="73" spans="1:4" ht="25.5" x14ac:dyDescent="0.2">
      <c r="A73" s="480" t="s">
        <v>1513</v>
      </c>
      <c r="B73" s="493">
        <v>1718045</v>
      </c>
      <c r="C73" s="493">
        <v>1890908</v>
      </c>
      <c r="D73" s="493">
        <v>1045394</v>
      </c>
    </row>
    <row r="74" spans="1:4" ht="25.5" x14ac:dyDescent="0.2">
      <c r="A74" s="480" t="s">
        <v>1514</v>
      </c>
      <c r="B74" s="493">
        <v>3017432</v>
      </c>
      <c r="C74" s="493">
        <v>2932024</v>
      </c>
      <c r="D74" s="493">
        <v>5023072</v>
      </c>
    </row>
    <row r="75" spans="1:4" x14ac:dyDescent="0.2">
      <c r="A75" s="480" t="s">
        <v>1515</v>
      </c>
      <c r="B75" s="493">
        <v>713689</v>
      </c>
      <c r="C75" s="493">
        <v>276808</v>
      </c>
      <c r="D75" s="493">
        <v>300000</v>
      </c>
    </row>
    <row r="76" spans="1:4" ht="25.5" x14ac:dyDescent="0.2">
      <c r="A76" s="480" t="s">
        <v>1516</v>
      </c>
      <c r="B76" s="493">
        <v>37149</v>
      </c>
      <c r="C76" s="493">
        <v>220532</v>
      </c>
      <c r="D76" s="493">
        <v>11671</v>
      </c>
    </row>
    <row r="77" spans="1:4" ht="25.5" x14ac:dyDescent="0.2">
      <c r="A77" s="480" t="s">
        <v>1474</v>
      </c>
      <c r="B77" s="493"/>
      <c r="C77" s="493"/>
      <c r="D77" s="493">
        <v>689038</v>
      </c>
    </row>
    <row r="78" spans="1:4" ht="25.5" x14ac:dyDescent="0.2">
      <c r="A78" s="480" t="s">
        <v>1517</v>
      </c>
      <c r="B78" s="493">
        <v>2871628</v>
      </c>
      <c r="C78" s="493">
        <v>3689392</v>
      </c>
      <c r="D78" s="493">
        <v>1500000</v>
      </c>
    </row>
    <row r="79" spans="1:4" ht="18" customHeight="1" x14ac:dyDescent="0.2">
      <c r="A79" s="480" t="s">
        <v>1518</v>
      </c>
      <c r="B79" s="493">
        <v>316091</v>
      </c>
      <c r="C79" s="493">
        <v>326119</v>
      </c>
      <c r="D79" s="493"/>
    </row>
    <row r="80" spans="1:4" x14ac:dyDescent="0.2">
      <c r="A80" s="480" t="s">
        <v>1519</v>
      </c>
      <c r="B80" s="493">
        <v>12599809</v>
      </c>
      <c r="C80" s="493">
        <v>12015666</v>
      </c>
      <c r="D80" s="493">
        <v>1342917</v>
      </c>
    </row>
    <row r="81" spans="1:4" ht="25.5" x14ac:dyDescent="0.2">
      <c r="A81" s="480" t="s">
        <v>1520</v>
      </c>
      <c r="B81" s="493">
        <v>158347</v>
      </c>
      <c r="C81" s="493">
        <v>167086</v>
      </c>
      <c r="D81" s="493">
        <v>164086</v>
      </c>
    </row>
    <row r="82" spans="1:4" ht="25.5" x14ac:dyDescent="0.2">
      <c r="A82" s="480" t="s">
        <v>1521</v>
      </c>
      <c r="B82" s="493">
        <v>250229</v>
      </c>
      <c r="C82" s="493">
        <v>224961</v>
      </c>
      <c r="D82" s="493">
        <v>125307</v>
      </c>
    </row>
    <row r="83" spans="1:4" x14ac:dyDescent="0.2">
      <c r="A83" s="480" t="s">
        <v>1522</v>
      </c>
      <c r="B83" s="493">
        <v>7695867</v>
      </c>
      <c r="C83" s="493">
        <v>8344930</v>
      </c>
      <c r="D83" s="493">
        <v>4261653</v>
      </c>
    </row>
    <row r="84" spans="1:4" ht="25.5" x14ac:dyDescent="0.2">
      <c r="A84" s="480" t="s">
        <v>1523</v>
      </c>
      <c r="B84" s="493">
        <v>134218130</v>
      </c>
      <c r="C84" s="493">
        <v>103388648</v>
      </c>
      <c r="D84" s="493">
        <v>142322192</v>
      </c>
    </row>
    <row r="85" spans="1:4" ht="25.5" x14ac:dyDescent="0.2">
      <c r="A85" s="480" t="s">
        <v>1524</v>
      </c>
      <c r="B85" s="493">
        <v>1821436</v>
      </c>
      <c r="C85" s="493">
        <v>2182686</v>
      </c>
      <c r="D85" s="493">
        <v>2000000</v>
      </c>
    </row>
    <row r="86" spans="1:4" x14ac:dyDescent="0.2">
      <c r="A86" s="480" t="s">
        <v>1525</v>
      </c>
      <c r="B86" s="493">
        <v>10083</v>
      </c>
      <c r="C86" s="493"/>
      <c r="D86" s="493"/>
    </row>
    <row r="87" spans="1:4" x14ac:dyDescent="0.2">
      <c r="A87" s="480" t="s">
        <v>1526</v>
      </c>
      <c r="B87" s="493">
        <v>4813058</v>
      </c>
      <c r="C87" s="493">
        <v>324152</v>
      </c>
      <c r="D87" s="493">
        <v>746178</v>
      </c>
    </row>
    <row r="88" spans="1:4" ht="25.5" x14ac:dyDescent="0.2">
      <c r="A88" s="480" t="s">
        <v>1527</v>
      </c>
      <c r="B88" s="493">
        <v>6027921</v>
      </c>
      <c r="C88" s="493">
        <v>4043032</v>
      </c>
      <c r="D88" s="493">
        <v>68319</v>
      </c>
    </row>
    <row r="89" spans="1:4" x14ac:dyDescent="0.2">
      <c r="A89" s="492" t="s">
        <v>1486</v>
      </c>
      <c r="B89" s="493"/>
      <c r="C89" s="493"/>
      <c r="D89" s="493">
        <v>42873517</v>
      </c>
    </row>
    <row r="90" spans="1:4" ht="25.5" x14ac:dyDescent="0.2">
      <c r="A90" s="480" t="s">
        <v>1528</v>
      </c>
      <c r="B90" s="493"/>
      <c r="C90" s="493">
        <v>515594</v>
      </c>
      <c r="D90" s="493"/>
    </row>
    <row r="91" spans="1:4" x14ac:dyDescent="0.2">
      <c r="A91" s="492" t="s">
        <v>1529</v>
      </c>
      <c r="B91" s="493">
        <v>59468102</v>
      </c>
      <c r="C91" s="493">
        <v>61918966</v>
      </c>
      <c r="D91" s="493">
        <v>69115388</v>
      </c>
    </row>
    <row r="92" spans="1:4" x14ac:dyDescent="0.2">
      <c r="A92" s="492" t="s">
        <v>1530</v>
      </c>
      <c r="B92" s="493">
        <v>197602093</v>
      </c>
      <c r="C92" s="493">
        <v>239372636</v>
      </c>
      <c r="D92" s="493">
        <v>134392906</v>
      </c>
    </row>
    <row r="93" spans="1:4" s="490" customFormat="1" x14ac:dyDescent="0.2">
      <c r="A93" s="488" t="s">
        <v>351</v>
      </c>
      <c r="B93" s="489">
        <f>SUM(B50:B92)</f>
        <v>1144247558</v>
      </c>
      <c r="C93" s="489">
        <f>SUM(C50:C92)</f>
        <v>1132149929</v>
      </c>
      <c r="D93" s="489">
        <f>SUM(D50:D92)</f>
        <v>939212016</v>
      </c>
    </row>
    <row r="95" spans="1:4" s="67" customFormat="1" ht="25.5" x14ac:dyDescent="0.2">
      <c r="A95" s="478" t="s">
        <v>364</v>
      </c>
      <c r="B95" s="479">
        <v>2020</v>
      </c>
      <c r="C95" s="479" t="s">
        <v>414</v>
      </c>
      <c r="D95" s="479" t="s">
        <v>415</v>
      </c>
    </row>
    <row r="96" spans="1:4" x14ac:dyDescent="0.2">
      <c r="A96" s="492" t="s">
        <v>1490</v>
      </c>
      <c r="B96" s="482">
        <v>85521620</v>
      </c>
      <c r="C96" s="482">
        <v>85138922</v>
      </c>
      <c r="D96" s="482">
        <v>5204829</v>
      </c>
    </row>
    <row r="97" spans="1:4" x14ac:dyDescent="0.2">
      <c r="A97" s="492" t="s">
        <v>1491</v>
      </c>
      <c r="B97" s="482">
        <v>29878570</v>
      </c>
      <c r="C97" s="482">
        <v>30104446</v>
      </c>
      <c r="D97" s="482">
        <v>23253928</v>
      </c>
    </row>
    <row r="98" spans="1:4" x14ac:dyDescent="0.2">
      <c r="A98" s="492" t="s">
        <v>1492</v>
      </c>
      <c r="B98" s="482">
        <v>5421070</v>
      </c>
      <c r="C98" s="482">
        <v>5800862</v>
      </c>
      <c r="D98" s="482">
        <v>5035049</v>
      </c>
    </row>
    <row r="99" spans="1:4" x14ac:dyDescent="0.2">
      <c r="A99" s="492" t="s">
        <v>1493</v>
      </c>
      <c r="B99" s="482">
        <v>8098114</v>
      </c>
      <c r="C99" s="482">
        <v>7950719</v>
      </c>
      <c r="D99" s="482">
        <v>6889377</v>
      </c>
    </row>
    <row r="100" spans="1:4" x14ac:dyDescent="0.2">
      <c r="A100" s="492" t="s">
        <v>1494</v>
      </c>
      <c r="B100" s="482">
        <v>12963377</v>
      </c>
      <c r="C100" s="482">
        <v>13698914</v>
      </c>
      <c r="D100" s="482">
        <v>11285353</v>
      </c>
    </row>
    <row r="101" spans="1:4" x14ac:dyDescent="0.2">
      <c r="A101" s="492" t="s">
        <v>1495</v>
      </c>
      <c r="B101" s="482">
        <v>2943019</v>
      </c>
      <c r="C101" s="482">
        <v>3870504</v>
      </c>
      <c r="D101" s="482">
        <v>3449106</v>
      </c>
    </row>
    <row r="102" spans="1:4" x14ac:dyDescent="0.2">
      <c r="A102" s="492" t="s">
        <v>1496</v>
      </c>
      <c r="B102" s="482">
        <v>1719066</v>
      </c>
      <c r="C102" s="482">
        <v>650000</v>
      </c>
      <c r="D102" s="482">
        <v>200000</v>
      </c>
    </row>
    <row r="103" spans="1:4" x14ac:dyDescent="0.2">
      <c r="A103" s="492" t="s">
        <v>1497</v>
      </c>
      <c r="B103" s="482">
        <v>1644684</v>
      </c>
      <c r="C103" s="482">
        <v>1770329</v>
      </c>
      <c r="D103" s="482">
        <v>1600000</v>
      </c>
    </row>
    <row r="104" spans="1:4" x14ac:dyDescent="0.2">
      <c r="A104" s="492" t="s">
        <v>1498</v>
      </c>
      <c r="B104" s="482"/>
      <c r="C104" s="482"/>
      <c r="D104" s="482"/>
    </row>
    <row r="105" spans="1:4" x14ac:dyDescent="0.2">
      <c r="A105" s="492" t="s">
        <v>1499</v>
      </c>
      <c r="B105" s="482">
        <v>431108</v>
      </c>
      <c r="C105" s="482">
        <v>1322396</v>
      </c>
      <c r="D105" s="482">
        <v>2950000</v>
      </c>
    </row>
    <row r="106" spans="1:4" x14ac:dyDescent="0.2">
      <c r="A106" s="492" t="s">
        <v>1500</v>
      </c>
      <c r="B106" s="482">
        <v>1314868</v>
      </c>
      <c r="C106" s="482">
        <v>1942782</v>
      </c>
      <c r="D106" s="482"/>
    </row>
    <row r="107" spans="1:4" x14ac:dyDescent="0.2">
      <c r="A107" s="492" t="s">
        <v>1501</v>
      </c>
      <c r="B107" s="482">
        <v>696697</v>
      </c>
      <c r="C107" s="482">
        <v>731542</v>
      </c>
      <c r="D107" s="482">
        <v>794761</v>
      </c>
    </row>
    <row r="108" spans="1:4" ht="25.5" x14ac:dyDescent="0.2">
      <c r="A108" s="480" t="s">
        <v>1502</v>
      </c>
      <c r="B108" s="493">
        <v>4199</v>
      </c>
      <c r="C108" s="493">
        <v>5000</v>
      </c>
      <c r="D108" s="493"/>
    </row>
    <row r="109" spans="1:4" x14ac:dyDescent="0.2">
      <c r="A109" s="480" t="s">
        <v>1503</v>
      </c>
      <c r="B109" s="493">
        <v>1223980</v>
      </c>
      <c r="C109" s="493">
        <v>278505</v>
      </c>
      <c r="D109" s="493"/>
    </row>
    <row r="110" spans="1:4" ht="25.5" x14ac:dyDescent="0.2">
      <c r="A110" s="480" t="s">
        <v>1504</v>
      </c>
      <c r="B110" s="493">
        <v>5282308</v>
      </c>
      <c r="C110" s="493">
        <v>5541276</v>
      </c>
      <c r="D110" s="493">
        <v>6519175</v>
      </c>
    </row>
    <row r="111" spans="1:4" x14ac:dyDescent="0.2">
      <c r="A111" s="480" t="s">
        <v>1505</v>
      </c>
      <c r="B111" s="493">
        <v>579008</v>
      </c>
      <c r="C111" s="493">
        <v>60000</v>
      </c>
      <c r="D111" s="493">
        <v>400000</v>
      </c>
    </row>
    <row r="112" spans="1:4" x14ac:dyDescent="0.2">
      <c r="A112" s="480" t="s">
        <v>1506</v>
      </c>
      <c r="B112" s="493">
        <v>2918773</v>
      </c>
      <c r="C112" s="493">
        <v>4342848</v>
      </c>
      <c r="D112" s="493">
        <v>5200000</v>
      </c>
    </row>
    <row r="113" spans="1:4" x14ac:dyDescent="0.2">
      <c r="A113" s="480" t="s">
        <v>1507</v>
      </c>
      <c r="B113" s="493">
        <v>41493396</v>
      </c>
      <c r="C113" s="493">
        <v>23039815</v>
      </c>
      <c r="D113" s="493">
        <v>11422233</v>
      </c>
    </row>
    <row r="114" spans="1:4" x14ac:dyDescent="0.2">
      <c r="A114" s="480" t="s">
        <v>1508</v>
      </c>
      <c r="B114" s="493">
        <v>16999</v>
      </c>
      <c r="C114" s="493">
        <v>16998</v>
      </c>
      <c r="D114" s="493"/>
    </row>
    <row r="115" spans="1:4" ht="25.5" x14ac:dyDescent="0.2">
      <c r="A115" s="480" t="s">
        <v>1509</v>
      </c>
      <c r="B115" s="493">
        <v>484405350</v>
      </c>
      <c r="C115" s="493">
        <v>495928168</v>
      </c>
      <c r="D115" s="493">
        <v>445727957</v>
      </c>
    </row>
    <row r="116" spans="1:4" ht="25.5" x14ac:dyDescent="0.2">
      <c r="A116" s="480" t="s">
        <v>1510</v>
      </c>
      <c r="B116" s="493">
        <v>208306</v>
      </c>
      <c r="C116" s="493">
        <v>1943976</v>
      </c>
      <c r="D116" s="493"/>
    </row>
    <row r="117" spans="1:4" x14ac:dyDescent="0.2">
      <c r="A117" s="480" t="s">
        <v>1511</v>
      </c>
      <c r="B117" s="493">
        <v>331546</v>
      </c>
      <c r="C117" s="493">
        <v>1004853</v>
      </c>
      <c r="D117" s="493">
        <v>145386</v>
      </c>
    </row>
    <row r="118" spans="1:4" ht="25.5" x14ac:dyDescent="0.2">
      <c r="A118" s="480" t="s">
        <v>1512</v>
      </c>
      <c r="B118" s="493">
        <v>4961337</v>
      </c>
      <c r="C118" s="493">
        <v>5172934</v>
      </c>
      <c r="D118" s="493">
        <v>3153224</v>
      </c>
    </row>
    <row r="119" spans="1:4" ht="25.5" x14ac:dyDescent="0.2">
      <c r="A119" s="480" t="s">
        <v>1513</v>
      </c>
      <c r="B119" s="493">
        <v>1685967</v>
      </c>
      <c r="C119" s="493">
        <v>1890908</v>
      </c>
      <c r="D119" s="493">
        <v>1045394</v>
      </c>
    </row>
    <row r="120" spans="1:4" ht="25.5" x14ac:dyDescent="0.2">
      <c r="A120" s="480" t="s">
        <v>1514</v>
      </c>
      <c r="B120" s="493">
        <v>3015020</v>
      </c>
      <c r="C120" s="493">
        <v>2932024</v>
      </c>
      <c r="D120" s="493">
        <v>5023072</v>
      </c>
    </row>
    <row r="121" spans="1:4" x14ac:dyDescent="0.2">
      <c r="A121" s="480" t="s">
        <v>1515</v>
      </c>
      <c r="B121" s="493">
        <v>705194</v>
      </c>
      <c r="C121" s="493">
        <v>276808</v>
      </c>
      <c r="D121" s="493">
        <v>300000</v>
      </c>
    </row>
    <row r="122" spans="1:4" ht="25.5" x14ac:dyDescent="0.2">
      <c r="A122" s="480" t="s">
        <v>1516</v>
      </c>
      <c r="B122" s="493">
        <v>33014</v>
      </c>
      <c r="C122" s="493">
        <v>220532</v>
      </c>
      <c r="D122" s="493">
        <v>11671</v>
      </c>
    </row>
    <row r="123" spans="1:4" ht="25.5" x14ac:dyDescent="0.2">
      <c r="A123" s="480" t="s">
        <v>1474</v>
      </c>
      <c r="B123" s="493"/>
      <c r="C123" s="493"/>
      <c r="D123" s="493">
        <v>689038</v>
      </c>
    </row>
    <row r="124" spans="1:4" ht="25.5" x14ac:dyDescent="0.2">
      <c r="A124" s="480" t="s">
        <v>1517</v>
      </c>
      <c r="B124" s="493">
        <v>2735277</v>
      </c>
      <c r="C124" s="493">
        <v>3689392</v>
      </c>
      <c r="D124" s="493">
        <v>1500000</v>
      </c>
    </row>
    <row r="125" spans="1:4" ht="25.5" x14ac:dyDescent="0.2">
      <c r="A125" s="480" t="s">
        <v>1518</v>
      </c>
      <c r="B125" s="493">
        <v>10022</v>
      </c>
      <c r="C125" s="493">
        <v>326119</v>
      </c>
      <c r="D125" s="493"/>
    </row>
    <row r="126" spans="1:4" x14ac:dyDescent="0.2">
      <c r="A126" s="480" t="s">
        <v>1519</v>
      </c>
      <c r="B126" s="493">
        <v>12187091</v>
      </c>
      <c r="C126" s="493">
        <v>12015666</v>
      </c>
      <c r="D126" s="493">
        <v>1342917</v>
      </c>
    </row>
    <row r="127" spans="1:4" ht="25.5" x14ac:dyDescent="0.2">
      <c r="A127" s="480" t="s">
        <v>1520</v>
      </c>
      <c r="B127" s="493">
        <v>158342</v>
      </c>
      <c r="C127" s="493">
        <v>167086</v>
      </c>
      <c r="D127" s="493">
        <v>164086</v>
      </c>
    </row>
    <row r="128" spans="1:4" ht="25.5" x14ac:dyDescent="0.2">
      <c r="A128" s="480" t="s">
        <v>1521</v>
      </c>
      <c r="B128" s="493">
        <v>246652</v>
      </c>
      <c r="C128" s="493">
        <v>224961</v>
      </c>
      <c r="D128" s="493">
        <v>125307</v>
      </c>
    </row>
    <row r="129" spans="1:4" x14ac:dyDescent="0.2">
      <c r="A129" s="480" t="s">
        <v>1522</v>
      </c>
      <c r="B129" s="493">
        <v>7524232</v>
      </c>
      <c r="C129" s="493">
        <v>8344930</v>
      </c>
      <c r="D129" s="493">
        <v>4261653</v>
      </c>
    </row>
    <row r="130" spans="1:4" ht="25.5" x14ac:dyDescent="0.2">
      <c r="A130" s="480" t="s">
        <v>1523</v>
      </c>
      <c r="B130" s="493">
        <v>110450464</v>
      </c>
      <c r="C130" s="493">
        <v>103388648</v>
      </c>
      <c r="D130" s="493">
        <v>142322192</v>
      </c>
    </row>
    <row r="131" spans="1:4" ht="25.5" x14ac:dyDescent="0.2">
      <c r="A131" s="480" t="s">
        <v>1524</v>
      </c>
      <c r="B131" s="493">
        <v>1809867</v>
      </c>
      <c r="C131" s="493">
        <v>2182686</v>
      </c>
      <c r="D131" s="493">
        <v>2000000</v>
      </c>
    </row>
    <row r="132" spans="1:4" x14ac:dyDescent="0.2">
      <c r="A132" s="480" t="s">
        <v>1525</v>
      </c>
      <c r="B132" s="493">
        <v>10083</v>
      </c>
      <c r="C132" s="493"/>
      <c r="D132" s="493"/>
    </row>
    <row r="133" spans="1:4" x14ac:dyDescent="0.2">
      <c r="A133" s="480" t="s">
        <v>1526</v>
      </c>
      <c r="B133" s="493">
        <v>4813056</v>
      </c>
      <c r="C133" s="493">
        <v>324152</v>
      </c>
      <c r="D133" s="493">
        <v>746178</v>
      </c>
    </row>
    <row r="134" spans="1:4" ht="25.5" x14ac:dyDescent="0.2">
      <c r="A134" s="480" t="s">
        <v>1527</v>
      </c>
      <c r="B134" s="493">
        <v>5130752</v>
      </c>
      <c r="C134" s="493">
        <v>4043032</v>
      </c>
      <c r="D134" s="493">
        <v>68319</v>
      </c>
    </row>
    <row r="135" spans="1:4" x14ac:dyDescent="0.2">
      <c r="A135" s="480" t="s">
        <v>1486</v>
      </c>
      <c r="B135" s="493"/>
      <c r="C135" s="493"/>
      <c r="D135" s="493">
        <v>42873517</v>
      </c>
    </row>
    <row r="136" spans="1:4" ht="25.5" x14ac:dyDescent="0.2">
      <c r="A136" s="480" t="s">
        <v>1528</v>
      </c>
      <c r="B136" s="493"/>
      <c r="C136" s="493">
        <v>515594</v>
      </c>
      <c r="D136" s="493"/>
    </row>
    <row r="137" spans="1:4" x14ac:dyDescent="0.2">
      <c r="A137" s="492" t="s">
        <v>1529</v>
      </c>
      <c r="B137" s="493">
        <v>57508509</v>
      </c>
      <c r="C137" s="493">
        <v>61918966</v>
      </c>
      <c r="D137" s="493">
        <v>69115388</v>
      </c>
    </row>
    <row r="138" spans="1:4" x14ac:dyDescent="0.2">
      <c r="A138" s="492" t="s">
        <v>1530</v>
      </c>
      <c r="B138" s="493">
        <v>189547247</v>
      </c>
      <c r="C138" s="493">
        <v>239372636</v>
      </c>
      <c r="D138" s="493">
        <v>134392906</v>
      </c>
    </row>
    <row r="139" spans="1:4" s="490" customFormat="1" x14ac:dyDescent="0.2">
      <c r="A139" s="494" t="s">
        <v>1531</v>
      </c>
      <c r="B139" s="489">
        <f>SUM(B96:B138)</f>
        <v>1089628184</v>
      </c>
      <c r="C139" s="489">
        <f>SUM(C96:C138)</f>
        <v>1132149929</v>
      </c>
      <c r="D139" s="489">
        <f>SUM(D96:D138)</f>
        <v>939212016</v>
      </c>
    </row>
    <row r="140" spans="1:4" x14ac:dyDescent="0.2">
      <c r="A140" s="495" t="s">
        <v>416</v>
      </c>
    </row>
    <row r="141" spans="1:4" x14ac:dyDescent="0.2">
      <c r="A141" s="496" t="s">
        <v>417</v>
      </c>
    </row>
  </sheetData>
  <pageMargins left="0.47244094488188981" right="0.51181102362204722" top="0.74803149606299213" bottom="0.74803149606299213" header="0.31496062992125984" footer="0.31496062992125984"/>
  <pageSetup paperSize="9" scale="84" fitToHeight="0" orientation="portrait" r:id="rId1"/>
  <headerFooter>
    <oddHeader>&amp;C&amp;"Arial,Negrita"&amp;18PROYECTO DE PRESUPUESTO 2022</oddHeader>
    <oddFooter>&amp;L&amp;"Arial,Negrita"&amp;8PROYECTO DE PRESUPUESTO PARA EL AÑO FISCAL 2022
INFORMACIÓN PARA LA COMISIÓN DE PRESUPUESTO Y CUENTA GENERAL DE LA REPÚBLICA DEL CONGRESO DE LA REPÚBLICA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theme="9" tint="-0.249977111117893"/>
    <pageSetUpPr fitToPage="1"/>
  </sheetPr>
  <dimension ref="A1:N51"/>
  <sheetViews>
    <sheetView topLeftCell="A28" zoomScaleNormal="100" zoomScaleSheetLayoutView="70" zoomScalePageLayoutView="90" workbookViewId="0">
      <selection activeCell="H62" sqref="H62"/>
    </sheetView>
  </sheetViews>
  <sheetFormatPr baseColWidth="10" defaultColWidth="11.28515625" defaultRowHeight="11.25" x14ac:dyDescent="0.2"/>
  <cols>
    <col min="1" max="1" width="30.7109375" style="76" customWidth="1"/>
    <col min="2" max="8" width="11.42578125" style="76" customWidth="1"/>
    <col min="9" max="14" width="8.7109375" style="76" customWidth="1"/>
    <col min="15" max="16384" width="11.28515625" style="76"/>
  </cols>
  <sheetData>
    <row r="1" spans="1:14" s="59" customFormat="1" ht="14.25" customHeight="1" x14ac:dyDescent="0.2">
      <c r="A1" s="199" t="s">
        <v>421</v>
      </c>
      <c r="B1" s="200"/>
      <c r="C1" s="200"/>
      <c r="D1" s="200"/>
      <c r="E1" s="200"/>
      <c r="F1" s="200"/>
      <c r="G1" s="200"/>
      <c r="H1" s="200"/>
      <c r="I1" s="200"/>
      <c r="J1" s="200"/>
      <c r="K1" s="200"/>
      <c r="L1" s="200"/>
      <c r="M1" s="200"/>
      <c r="N1" s="200"/>
    </row>
    <row r="2" spans="1:14" ht="12" thickBot="1" x14ac:dyDescent="0.25">
      <c r="A2" s="193" t="s">
        <v>173</v>
      </c>
      <c r="B2" s="193"/>
      <c r="C2" s="193"/>
      <c r="D2" s="193"/>
      <c r="E2" s="193"/>
      <c r="F2" s="193"/>
      <c r="G2" s="193"/>
      <c r="H2" s="193"/>
      <c r="I2" s="193"/>
      <c r="J2" s="193"/>
      <c r="K2" s="193"/>
      <c r="L2" s="193"/>
      <c r="M2" s="193"/>
      <c r="N2" s="193"/>
    </row>
    <row r="3" spans="1:14" s="59" customFormat="1" ht="12.75" customHeight="1" thickBot="1" x14ac:dyDescent="0.25">
      <c r="A3" s="1058" t="s">
        <v>215</v>
      </c>
      <c r="B3" s="1071" t="s">
        <v>248</v>
      </c>
      <c r="C3" s="1072"/>
      <c r="D3" s="1072"/>
      <c r="E3" s="1072"/>
      <c r="F3" s="1068" t="s">
        <v>249</v>
      </c>
      <c r="G3" s="1069"/>
      <c r="H3" s="1070"/>
      <c r="I3" s="1068" t="s">
        <v>247</v>
      </c>
      <c r="J3" s="1069"/>
      <c r="K3" s="1069"/>
      <c r="L3" s="1069"/>
      <c r="M3" s="1069"/>
      <c r="N3" s="1070"/>
    </row>
    <row r="4" spans="1:14" s="65" customFormat="1" ht="84.95" customHeight="1" thickBot="1" x14ac:dyDescent="0.25">
      <c r="A4" s="1059"/>
      <c r="B4" s="140">
        <v>2020</v>
      </c>
      <c r="C4" s="141">
        <v>2021</v>
      </c>
      <c r="D4" s="141" t="s">
        <v>407</v>
      </c>
      <c r="E4" s="143" t="s">
        <v>422</v>
      </c>
      <c r="F4" s="140">
        <v>2020</v>
      </c>
      <c r="G4" s="141">
        <v>2021</v>
      </c>
      <c r="H4" s="141" t="s">
        <v>407</v>
      </c>
      <c r="I4" s="140">
        <v>2020</v>
      </c>
      <c r="J4" s="141" t="s">
        <v>414</v>
      </c>
      <c r="K4" s="141" t="s">
        <v>407</v>
      </c>
      <c r="L4" s="142" t="s">
        <v>423</v>
      </c>
      <c r="M4" s="142" t="s">
        <v>422</v>
      </c>
      <c r="N4" s="143" t="s">
        <v>424</v>
      </c>
    </row>
    <row r="5" spans="1:14" x14ac:dyDescent="0.2">
      <c r="A5" s="144"/>
      <c r="B5" s="145"/>
      <c r="C5" s="146"/>
      <c r="D5" s="146"/>
      <c r="E5" s="147"/>
      <c r="F5" s="145"/>
      <c r="G5" s="146"/>
      <c r="H5" s="148"/>
      <c r="I5" s="145"/>
      <c r="J5" s="146"/>
      <c r="K5" s="148"/>
      <c r="L5" s="147"/>
      <c r="M5" s="147"/>
      <c r="N5" s="148"/>
    </row>
    <row r="6" spans="1:14" ht="22.5" x14ac:dyDescent="0.2">
      <c r="A6" s="201" t="s">
        <v>246</v>
      </c>
      <c r="B6" s="149"/>
      <c r="C6" s="150"/>
      <c r="D6" s="150"/>
      <c r="E6" s="151"/>
      <c r="F6" s="149"/>
      <c r="G6" s="150"/>
      <c r="H6" s="152"/>
      <c r="I6" s="149"/>
      <c r="J6" s="150"/>
      <c r="K6" s="152"/>
      <c r="L6" s="151"/>
      <c r="M6" s="151"/>
      <c r="N6" s="152"/>
    </row>
    <row r="7" spans="1:14" x14ac:dyDescent="0.2">
      <c r="A7" s="202" t="s">
        <v>216</v>
      </c>
      <c r="B7" s="153"/>
      <c r="C7" s="154"/>
      <c r="D7" s="154"/>
      <c r="E7" s="155"/>
      <c r="F7" s="153"/>
      <c r="G7" s="154"/>
      <c r="H7" s="156"/>
      <c r="I7" s="153"/>
      <c r="J7" s="154"/>
      <c r="K7" s="156"/>
      <c r="L7" s="155"/>
      <c r="M7" s="155"/>
      <c r="N7" s="156"/>
    </row>
    <row r="8" spans="1:14" s="59" customFormat="1" x14ac:dyDescent="0.2">
      <c r="A8" s="203"/>
      <c r="B8" s="153"/>
      <c r="C8" s="154"/>
      <c r="D8" s="154"/>
      <c r="E8" s="155"/>
      <c r="F8" s="153"/>
      <c r="G8" s="154"/>
      <c r="H8" s="156"/>
      <c r="I8" s="153"/>
      <c r="J8" s="154"/>
      <c r="K8" s="156"/>
      <c r="L8" s="155"/>
      <c r="M8" s="155"/>
      <c r="N8" s="156"/>
    </row>
    <row r="9" spans="1:14" x14ac:dyDescent="0.2">
      <c r="A9" s="201" t="s">
        <v>221</v>
      </c>
      <c r="B9" s="153"/>
      <c r="C9" s="154"/>
      <c r="D9" s="154"/>
      <c r="E9" s="155"/>
      <c r="F9" s="153"/>
      <c r="G9" s="154"/>
      <c r="H9" s="156"/>
      <c r="I9" s="153"/>
      <c r="J9" s="154"/>
      <c r="K9" s="156"/>
      <c r="L9" s="155"/>
      <c r="M9" s="155"/>
      <c r="N9" s="156"/>
    </row>
    <row r="10" spans="1:14" x14ac:dyDescent="0.2">
      <c r="A10" s="204" t="s">
        <v>217</v>
      </c>
      <c r="B10" s="205">
        <v>3908653</v>
      </c>
      <c r="C10" s="206">
        <v>3879463</v>
      </c>
      <c r="D10" s="206">
        <v>29190</v>
      </c>
      <c r="E10" s="206">
        <v>5172934</v>
      </c>
      <c r="F10" s="205">
        <v>5500504</v>
      </c>
      <c r="G10" s="206">
        <v>5172934</v>
      </c>
      <c r="H10" s="207">
        <v>327570</v>
      </c>
      <c r="I10" s="208">
        <v>7030</v>
      </c>
      <c r="J10" s="209">
        <v>7500</v>
      </c>
      <c r="K10" s="207">
        <v>-470</v>
      </c>
      <c r="L10" s="205">
        <v>7500</v>
      </c>
      <c r="M10" s="206">
        <v>7970</v>
      </c>
      <c r="N10" s="207">
        <v>-470</v>
      </c>
    </row>
    <row r="11" spans="1:14" x14ac:dyDescent="0.2">
      <c r="A11" s="204" t="s">
        <v>218</v>
      </c>
      <c r="B11" s="205">
        <v>25074300</v>
      </c>
      <c r="C11" s="206">
        <v>27243414</v>
      </c>
      <c r="D11" s="206">
        <v>-2169114</v>
      </c>
      <c r="E11" s="206">
        <v>30104446</v>
      </c>
      <c r="F11" s="205">
        <v>30573950</v>
      </c>
      <c r="G11" s="206">
        <v>30104446</v>
      </c>
      <c r="H11" s="207">
        <v>469504</v>
      </c>
      <c r="I11" s="208">
        <v>29429</v>
      </c>
      <c r="J11" s="210">
        <v>30549</v>
      </c>
      <c r="K11" s="207">
        <v>-1120</v>
      </c>
      <c r="L11" s="205">
        <v>30549</v>
      </c>
      <c r="M11" s="206">
        <v>31669</v>
      </c>
      <c r="N11" s="207">
        <v>-1120</v>
      </c>
    </row>
    <row r="12" spans="1:14" x14ac:dyDescent="0.2">
      <c r="A12" s="204" t="s">
        <v>219</v>
      </c>
      <c r="B12" s="153"/>
      <c r="C12" s="154"/>
      <c r="D12" s="154"/>
      <c r="E12" s="155"/>
      <c r="F12" s="153"/>
      <c r="G12" s="154"/>
      <c r="H12" s="156"/>
      <c r="I12" s="153"/>
      <c r="J12" s="154"/>
      <c r="K12" s="156"/>
      <c r="L12" s="155"/>
      <c r="M12" s="155"/>
      <c r="N12" s="156"/>
    </row>
    <row r="13" spans="1:14" x14ac:dyDescent="0.2">
      <c r="A13" s="204" t="s">
        <v>220</v>
      </c>
      <c r="B13" s="153"/>
      <c r="C13" s="154"/>
      <c r="D13" s="154"/>
      <c r="E13" s="155"/>
      <c r="F13" s="153"/>
      <c r="G13" s="154"/>
      <c r="H13" s="156"/>
      <c r="I13" s="153"/>
      <c r="J13" s="154"/>
      <c r="K13" s="156"/>
      <c r="L13" s="155"/>
      <c r="M13" s="155"/>
      <c r="N13" s="156"/>
    </row>
    <row r="14" spans="1:14" x14ac:dyDescent="0.2">
      <c r="A14" s="204"/>
      <c r="B14" s="149"/>
      <c r="C14" s="150"/>
      <c r="D14" s="150"/>
      <c r="E14" s="151"/>
      <c r="F14" s="149"/>
      <c r="G14" s="150"/>
      <c r="H14" s="152"/>
      <c r="I14" s="149"/>
      <c r="J14" s="150"/>
      <c r="K14" s="152"/>
      <c r="L14" s="151"/>
      <c r="M14" s="151"/>
      <c r="N14" s="152"/>
    </row>
    <row r="15" spans="1:14" x14ac:dyDescent="0.2">
      <c r="A15" s="201" t="s">
        <v>240</v>
      </c>
      <c r="B15" s="153"/>
      <c r="C15" s="154"/>
      <c r="D15" s="154"/>
      <c r="E15" s="155"/>
      <c r="F15" s="153"/>
      <c r="G15" s="154"/>
      <c r="H15" s="156"/>
      <c r="I15" s="153"/>
      <c r="J15" s="154"/>
      <c r="K15" s="156"/>
      <c r="L15" s="155"/>
      <c r="M15" s="155"/>
      <c r="N15" s="156"/>
    </row>
    <row r="16" spans="1:14" x14ac:dyDescent="0.2">
      <c r="A16" s="204" t="s">
        <v>222</v>
      </c>
      <c r="B16" s="205">
        <v>50833603</v>
      </c>
      <c r="C16" s="206">
        <v>55030222</v>
      </c>
      <c r="D16" s="206">
        <v>-4196619</v>
      </c>
      <c r="E16" s="206">
        <v>60877558</v>
      </c>
      <c r="F16" s="205">
        <v>62767302</v>
      </c>
      <c r="G16" s="206">
        <v>60877558</v>
      </c>
      <c r="H16" s="207">
        <v>1889744</v>
      </c>
      <c r="I16" s="208">
        <v>33386</v>
      </c>
      <c r="J16" s="154">
        <v>34909</v>
      </c>
      <c r="K16" s="156">
        <v>-1523</v>
      </c>
      <c r="L16" s="154">
        <v>34909</v>
      </c>
      <c r="M16" s="155">
        <v>36432</v>
      </c>
      <c r="N16" s="207">
        <v>-1523</v>
      </c>
    </row>
    <row r="17" spans="1:14" x14ac:dyDescent="0.2">
      <c r="A17" s="204" t="s">
        <v>223</v>
      </c>
      <c r="B17" s="153"/>
      <c r="C17" s="154"/>
      <c r="D17" s="154"/>
      <c r="E17" s="155"/>
      <c r="F17" s="153"/>
      <c r="G17" s="154"/>
      <c r="H17" s="156"/>
      <c r="I17" s="153"/>
      <c r="J17" s="154"/>
      <c r="K17" s="156"/>
      <c r="L17" s="155"/>
      <c r="M17" s="155"/>
      <c r="N17" s="156"/>
    </row>
    <row r="18" spans="1:14" x14ac:dyDescent="0.2">
      <c r="A18" s="204" t="s">
        <v>224</v>
      </c>
      <c r="B18" s="153"/>
      <c r="C18" s="154"/>
      <c r="D18" s="154"/>
      <c r="E18" s="155"/>
      <c r="F18" s="153"/>
      <c r="G18" s="154"/>
      <c r="H18" s="156"/>
      <c r="I18" s="153"/>
      <c r="J18" s="154"/>
      <c r="K18" s="156"/>
      <c r="L18" s="155"/>
      <c r="M18" s="155"/>
      <c r="N18" s="156"/>
    </row>
    <row r="19" spans="1:14" x14ac:dyDescent="0.2">
      <c r="A19" s="204" t="s">
        <v>225</v>
      </c>
      <c r="B19" s="153"/>
      <c r="C19" s="154"/>
      <c r="D19" s="154"/>
      <c r="E19" s="155"/>
      <c r="F19" s="153"/>
      <c r="G19" s="154"/>
      <c r="H19" s="156"/>
      <c r="I19" s="153"/>
      <c r="J19" s="154"/>
      <c r="K19" s="156"/>
      <c r="L19" s="155"/>
      <c r="M19" s="155"/>
      <c r="N19" s="156"/>
    </row>
    <row r="20" spans="1:14" ht="22.5" x14ac:dyDescent="0.2">
      <c r="A20" s="204" t="s">
        <v>226</v>
      </c>
      <c r="B20" s="153"/>
      <c r="C20" s="154"/>
      <c r="D20" s="154"/>
      <c r="E20" s="155"/>
      <c r="F20" s="153"/>
      <c r="G20" s="154"/>
      <c r="H20" s="156"/>
      <c r="I20" s="153"/>
      <c r="J20" s="154"/>
      <c r="K20" s="156"/>
      <c r="L20" s="155"/>
      <c r="M20" s="155"/>
      <c r="N20" s="156"/>
    </row>
    <row r="21" spans="1:14" x14ac:dyDescent="0.2">
      <c r="A21" s="211"/>
      <c r="B21" s="153"/>
      <c r="C21" s="154"/>
      <c r="D21" s="154"/>
      <c r="E21" s="155"/>
      <c r="F21" s="153"/>
      <c r="G21" s="154"/>
      <c r="H21" s="156"/>
      <c r="I21" s="153"/>
      <c r="J21" s="154"/>
      <c r="K21" s="156"/>
      <c r="L21" s="155"/>
      <c r="M21" s="155"/>
      <c r="N21" s="156"/>
    </row>
    <row r="22" spans="1:14" x14ac:dyDescent="0.2">
      <c r="A22" s="212" t="s">
        <v>241</v>
      </c>
      <c r="B22" s="153">
        <v>382443204</v>
      </c>
      <c r="C22" s="154">
        <v>417399208</v>
      </c>
      <c r="D22" s="154">
        <v>-34956004</v>
      </c>
      <c r="E22" s="155">
        <v>456037695</v>
      </c>
      <c r="F22" s="153">
        <v>451864732</v>
      </c>
      <c r="G22" s="154">
        <v>456037695</v>
      </c>
      <c r="H22" s="156">
        <v>-4172963</v>
      </c>
      <c r="I22" s="153"/>
      <c r="J22" s="154"/>
      <c r="K22" s="156"/>
      <c r="L22" s="155"/>
      <c r="M22" s="155"/>
      <c r="N22" s="156"/>
    </row>
    <row r="23" spans="1:14" x14ac:dyDescent="0.2">
      <c r="A23" s="204" t="s">
        <v>227</v>
      </c>
      <c r="B23" s="153"/>
      <c r="C23" s="154"/>
      <c r="D23" s="154"/>
      <c r="E23" s="155"/>
      <c r="F23" s="153"/>
      <c r="G23" s="154"/>
      <c r="H23" s="156"/>
      <c r="I23" s="153">
        <v>22339</v>
      </c>
      <c r="J23" s="154">
        <v>22339</v>
      </c>
      <c r="K23" s="156">
        <v>0</v>
      </c>
      <c r="L23" s="155">
        <v>22339</v>
      </c>
      <c r="M23" s="155">
        <v>22339</v>
      </c>
      <c r="N23" s="156">
        <v>0</v>
      </c>
    </row>
    <row r="24" spans="1:14" x14ac:dyDescent="0.2">
      <c r="A24" s="204" t="s">
        <v>228</v>
      </c>
      <c r="B24" s="153"/>
      <c r="C24" s="154"/>
      <c r="D24" s="154"/>
      <c r="E24" s="155"/>
      <c r="F24" s="153"/>
      <c r="G24" s="154"/>
      <c r="H24" s="156"/>
      <c r="I24" s="153"/>
      <c r="J24" s="154"/>
      <c r="K24" s="156"/>
      <c r="L24" s="155"/>
      <c r="M24" s="155"/>
      <c r="N24" s="156"/>
    </row>
    <row r="25" spans="1:14" x14ac:dyDescent="0.2">
      <c r="A25" s="204" t="s">
        <v>229</v>
      </c>
      <c r="B25" s="153"/>
      <c r="C25" s="154"/>
      <c r="D25" s="154"/>
      <c r="E25" s="155"/>
      <c r="F25" s="153"/>
      <c r="G25" s="154"/>
      <c r="H25" s="156"/>
      <c r="I25" s="153"/>
      <c r="J25" s="154"/>
      <c r="K25" s="156"/>
      <c r="L25" s="155"/>
      <c r="M25" s="155"/>
      <c r="N25" s="156"/>
    </row>
    <row r="26" spans="1:14" x14ac:dyDescent="0.2">
      <c r="A26" s="204"/>
      <c r="B26" s="153"/>
      <c r="C26" s="154"/>
      <c r="D26" s="154"/>
      <c r="E26" s="155"/>
      <c r="F26" s="153"/>
      <c r="G26" s="154"/>
      <c r="H26" s="156"/>
      <c r="I26" s="153"/>
      <c r="J26" s="154"/>
      <c r="K26" s="156"/>
      <c r="L26" s="155"/>
      <c r="M26" s="155"/>
      <c r="N26" s="156"/>
    </row>
    <row r="27" spans="1:14" x14ac:dyDescent="0.2">
      <c r="A27" s="212" t="s">
        <v>242</v>
      </c>
      <c r="B27" s="153"/>
      <c r="C27" s="154"/>
      <c r="D27" s="154"/>
      <c r="E27" s="155"/>
      <c r="F27" s="153"/>
      <c r="G27" s="154"/>
      <c r="H27" s="156"/>
      <c r="I27" s="153"/>
      <c r="J27" s="154"/>
      <c r="K27" s="156"/>
      <c r="L27" s="155"/>
      <c r="M27" s="155"/>
      <c r="N27" s="156"/>
    </row>
    <row r="28" spans="1:14" x14ac:dyDescent="0.2">
      <c r="A28" s="204" t="s">
        <v>230</v>
      </c>
      <c r="B28" s="153"/>
      <c r="C28" s="154"/>
      <c r="D28" s="154"/>
      <c r="E28" s="155"/>
      <c r="F28" s="153"/>
      <c r="G28" s="154"/>
      <c r="H28" s="156"/>
      <c r="I28" s="153">
        <v>51811</v>
      </c>
      <c r="J28" s="154">
        <v>51811</v>
      </c>
      <c r="K28" s="156">
        <v>0</v>
      </c>
      <c r="L28" s="155">
        <v>51811</v>
      </c>
      <c r="M28" s="155">
        <v>51811</v>
      </c>
      <c r="N28" s="156">
        <v>0</v>
      </c>
    </row>
    <row r="29" spans="1:14" x14ac:dyDescent="0.2">
      <c r="A29" s="204" t="s">
        <v>228</v>
      </c>
      <c r="B29" s="153"/>
      <c r="C29" s="154"/>
      <c r="D29" s="154"/>
      <c r="E29" s="155"/>
      <c r="F29" s="153"/>
      <c r="G29" s="154"/>
      <c r="H29" s="156"/>
      <c r="I29" s="153"/>
      <c r="J29" s="154"/>
      <c r="K29" s="156"/>
      <c r="L29" s="155"/>
      <c r="M29" s="155"/>
      <c r="N29" s="156"/>
    </row>
    <row r="30" spans="1:14" x14ac:dyDescent="0.2">
      <c r="A30" s="204"/>
      <c r="B30" s="153"/>
      <c r="C30" s="154"/>
      <c r="D30" s="154"/>
      <c r="E30" s="155"/>
      <c r="F30" s="153"/>
      <c r="G30" s="154"/>
      <c r="H30" s="156"/>
      <c r="I30" s="153"/>
      <c r="J30" s="154"/>
      <c r="K30" s="156"/>
      <c r="L30" s="155"/>
      <c r="M30" s="155"/>
      <c r="N30" s="156"/>
    </row>
    <row r="31" spans="1:14" x14ac:dyDescent="0.2">
      <c r="A31" s="212" t="s">
        <v>243</v>
      </c>
      <c r="B31" s="153"/>
      <c r="C31" s="154"/>
      <c r="D31" s="154"/>
      <c r="E31" s="155"/>
      <c r="F31" s="153"/>
      <c r="G31" s="154"/>
      <c r="H31" s="156"/>
      <c r="I31" s="153"/>
      <c r="J31" s="154"/>
      <c r="K31" s="156"/>
      <c r="L31" s="155"/>
      <c r="M31" s="155"/>
      <c r="N31" s="156"/>
    </row>
    <row r="32" spans="1:14" x14ac:dyDescent="0.2">
      <c r="A32" s="204" t="s">
        <v>231</v>
      </c>
      <c r="B32" s="153"/>
      <c r="C32" s="154"/>
      <c r="D32" s="154"/>
      <c r="E32" s="155"/>
      <c r="F32" s="153"/>
      <c r="G32" s="154"/>
      <c r="H32" s="156"/>
      <c r="I32" s="153">
        <v>33179</v>
      </c>
      <c r="J32" s="154">
        <v>33179</v>
      </c>
      <c r="K32" s="156">
        <v>0</v>
      </c>
      <c r="L32" s="155">
        <v>33179</v>
      </c>
      <c r="M32" s="155">
        <v>33179</v>
      </c>
      <c r="N32" s="156">
        <v>0</v>
      </c>
    </row>
    <row r="33" spans="1:14" x14ac:dyDescent="0.2">
      <c r="A33" s="204" t="s">
        <v>229</v>
      </c>
      <c r="B33" s="153"/>
      <c r="C33" s="154"/>
      <c r="D33" s="154"/>
      <c r="E33" s="155"/>
      <c r="F33" s="153"/>
      <c r="G33" s="154"/>
      <c r="H33" s="156"/>
      <c r="I33" s="153"/>
      <c r="J33" s="154"/>
      <c r="K33" s="156"/>
      <c r="L33" s="155"/>
      <c r="M33" s="155"/>
      <c r="N33" s="156"/>
    </row>
    <row r="34" spans="1:14" x14ac:dyDescent="0.2">
      <c r="A34" s="204" t="s">
        <v>232</v>
      </c>
      <c r="B34" s="153"/>
      <c r="C34" s="154"/>
      <c r="D34" s="154"/>
      <c r="E34" s="155"/>
      <c r="F34" s="153"/>
      <c r="G34" s="154"/>
      <c r="H34" s="156"/>
      <c r="I34" s="153"/>
      <c r="J34" s="154"/>
      <c r="K34" s="156"/>
      <c r="L34" s="155"/>
      <c r="M34" s="155"/>
      <c r="N34" s="156"/>
    </row>
    <row r="35" spans="1:14" x14ac:dyDescent="0.2">
      <c r="A35" s="204" t="s">
        <v>233</v>
      </c>
      <c r="B35" s="153"/>
      <c r="C35" s="154"/>
      <c r="D35" s="154"/>
      <c r="E35" s="155"/>
      <c r="F35" s="153"/>
      <c r="G35" s="154"/>
      <c r="H35" s="156"/>
      <c r="I35" s="153"/>
      <c r="J35" s="154"/>
      <c r="K35" s="156"/>
      <c r="L35" s="155"/>
      <c r="M35" s="155"/>
      <c r="N35" s="156"/>
    </row>
    <row r="36" spans="1:14" x14ac:dyDescent="0.2">
      <c r="A36" s="204"/>
      <c r="B36" s="153"/>
      <c r="C36" s="154"/>
      <c r="D36" s="154"/>
      <c r="E36" s="155"/>
      <c r="F36" s="153"/>
      <c r="G36" s="154"/>
      <c r="H36" s="156"/>
      <c r="I36" s="153"/>
      <c r="J36" s="154"/>
      <c r="K36" s="156"/>
      <c r="L36" s="155"/>
      <c r="M36" s="155"/>
      <c r="N36" s="156"/>
    </row>
    <row r="37" spans="1:14" x14ac:dyDescent="0.2">
      <c r="A37" s="212" t="s">
        <v>244</v>
      </c>
      <c r="B37" s="153"/>
      <c r="C37" s="154"/>
      <c r="D37" s="154"/>
      <c r="E37" s="155"/>
      <c r="F37" s="153"/>
      <c r="G37" s="154"/>
      <c r="H37" s="156"/>
      <c r="I37" s="153"/>
      <c r="J37" s="154"/>
      <c r="K37" s="156"/>
      <c r="L37" s="155"/>
      <c r="M37" s="155"/>
      <c r="N37" s="156"/>
    </row>
    <row r="38" spans="1:14" x14ac:dyDescent="0.2">
      <c r="A38" s="204" t="s">
        <v>234</v>
      </c>
      <c r="B38" s="153"/>
      <c r="C38" s="154"/>
      <c r="D38" s="154"/>
      <c r="E38" s="155"/>
      <c r="F38" s="153"/>
      <c r="G38" s="154"/>
      <c r="H38" s="156"/>
      <c r="I38" s="153"/>
      <c r="J38" s="154"/>
      <c r="K38" s="156"/>
      <c r="L38" s="155"/>
      <c r="M38" s="155"/>
      <c r="N38" s="156"/>
    </row>
    <row r="39" spans="1:14" x14ac:dyDescent="0.2">
      <c r="A39" s="204" t="s">
        <v>235</v>
      </c>
      <c r="B39" s="153"/>
      <c r="C39" s="154"/>
      <c r="D39" s="154"/>
      <c r="E39" s="155"/>
      <c r="F39" s="153"/>
      <c r="G39" s="154"/>
      <c r="H39" s="156"/>
      <c r="I39" s="153"/>
      <c r="J39" s="154"/>
      <c r="K39" s="156"/>
      <c r="L39" s="155"/>
      <c r="M39" s="155"/>
      <c r="N39" s="156"/>
    </row>
    <row r="40" spans="1:14" ht="23.25" thickBot="1" x14ac:dyDescent="0.25">
      <c r="A40" s="981" t="s">
        <v>236</v>
      </c>
      <c r="B40" s="982"/>
      <c r="C40" s="983"/>
      <c r="D40" s="983"/>
      <c r="E40" s="984"/>
      <c r="F40" s="982"/>
      <c r="G40" s="983"/>
      <c r="H40" s="985"/>
      <c r="I40" s="982"/>
      <c r="J40" s="983"/>
      <c r="K40" s="985"/>
      <c r="L40" s="984"/>
      <c r="M40" s="984"/>
      <c r="N40" s="985"/>
    </row>
    <row r="41" spans="1:14" ht="22.5" x14ac:dyDescent="0.2">
      <c r="A41" s="204" t="s">
        <v>237</v>
      </c>
      <c r="B41" s="153"/>
      <c r="C41" s="154"/>
      <c r="D41" s="154"/>
      <c r="E41" s="155"/>
      <c r="F41" s="153"/>
      <c r="G41" s="154"/>
      <c r="H41" s="156"/>
      <c r="I41" s="153"/>
      <c r="J41" s="154"/>
      <c r="K41" s="156"/>
      <c r="L41" s="155"/>
      <c r="M41" s="155"/>
      <c r="N41" s="156"/>
    </row>
    <row r="42" spans="1:14" x14ac:dyDescent="0.2">
      <c r="A42" s="204"/>
      <c r="B42" s="153"/>
      <c r="C42" s="154"/>
      <c r="D42" s="154"/>
      <c r="E42" s="155"/>
      <c r="F42" s="153"/>
      <c r="G42" s="154"/>
      <c r="H42" s="156"/>
      <c r="I42" s="153"/>
      <c r="J42" s="154"/>
      <c r="K42" s="156"/>
      <c r="L42" s="155"/>
      <c r="M42" s="155"/>
      <c r="N42" s="156"/>
    </row>
    <row r="43" spans="1:14" x14ac:dyDescent="0.2">
      <c r="A43" s="212" t="s">
        <v>245</v>
      </c>
      <c r="B43" s="153"/>
      <c r="C43" s="154"/>
      <c r="D43" s="154"/>
      <c r="E43" s="155"/>
      <c r="F43" s="153"/>
      <c r="G43" s="154"/>
      <c r="H43" s="156"/>
      <c r="I43" s="153"/>
      <c r="J43" s="154"/>
      <c r="K43" s="156"/>
      <c r="L43" s="155"/>
      <c r="M43" s="155"/>
      <c r="N43" s="156"/>
    </row>
    <row r="44" spans="1:14" x14ac:dyDescent="0.2">
      <c r="A44" s="204" t="s">
        <v>238</v>
      </c>
      <c r="B44" s="153"/>
      <c r="C44" s="154"/>
      <c r="D44" s="154"/>
      <c r="E44" s="155"/>
      <c r="F44" s="153"/>
      <c r="G44" s="154"/>
      <c r="H44" s="156"/>
      <c r="I44" s="153"/>
      <c r="J44" s="154"/>
      <c r="K44" s="156"/>
      <c r="L44" s="155"/>
      <c r="M44" s="155"/>
      <c r="N44" s="156"/>
    </row>
    <row r="45" spans="1:14" s="59" customFormat="1" ht="22.5" x14ac:dyDescent="0.2">
      <c r="A45" s="204" t="s">
        <v>239</v>
      </c>
      <c r="B45" s="153"/>
      <c r="C45" s="154"/>
      <c r="D45" s="154"/>
      <c r="E45" s="155"/>
      <c r="F45" s="153"/>
      <c r="G45" s="154"/>
      <c r="H45" s="156"/>
      <c r="I45" s="153"/>
      <c r="J45" s="154"/>
      <c r="K45" s="156"/>
      <c r="L45" s="155"/>
      <c r="M45" s="155"/>
      <c r="N45" s="156"/>
    </row>
    <row r="46" spans="1:14" ht="12" thickBot="1" x14ac:dyDescent="0.25">
      <c r="A46" s="157"/>
      <c r="B46" s="153"/>
      <c r="C46" s="154"/>
      <c r="D46" s="154"/>
      <c r="E46" s="155"/>
      <c r="F46" s="153"/>
      <c r="G46" s="154"/>
      <c r="H46" s="156"/>
      <c r="I46" s="153"/>
      <c r="J46" s="154"/>
      <c r="K46" s="156"/>
      <c r="L46" s="155"/>
      <c r="M46" s="155"/>
      <c r="N46" s="156"/>
    </row>
    <row r="47" spans="1:14" ht="12.75" customHeight="1" x14ac:dyDescent="0.2">
      <c r="A47" s="1060" t="s">
        <v>2</v>
      </c>
      <c r="B47" s="1062">
        <f ca="1">SUM(B5:B47)</f>
        <v>462259760</v>
      </c>
      <c r="C47" s="1064">
        <f t="shared" ref="C47:N47" si="0">SUM(C5:C46)</f>
        <v>503552307</v>
      </c>
      <c r="D47" s="1064">
        <f t="shared" si="0"/>
        <v>-41292547</v>
      </c>
      <c r="E47" s="1066">
        <f t="shared" si="0"/>
        <v>552192633</v>
      </c>
      <c r="F47" s="1062">
        <f t="shared" si="0"/>
        <v>550706488</v>
      </c>
      <c r="G47" s="1064">
        <f t="shared" si="0"/>
        <v>552192633</v>
      </c>
      <c r="H47" s="1066">
        <f t="shared" si="0"/>
        <v>-1486145</v>
      </c>
      <c r="I47" s="1062">
        <f t="shared" si="0"/>
        <v>177174</v>
      </c>
      <c r="J47" s="1064">
        <f t="shared" si="0"/>
        <v>180287</v>
      </c>
      <c r="K47" s="1066">
        <f t="shared" si="0"/>
        <v>-3113</v>
      </c>
      <c r="L47" s="1062">
        <f t="shared" si="0"/>
        <v>180287</v>
      </c>
      <c r="M47" s="1064">
        <f t="shared" si="0"/>
        <v>183400</v>
      </c>
      <c r="N47" s="1066">
        <f t="shared" si="0"/>
        <v>-3113</v>
      </c>
    </row>
    <row r="48" spans="1:14" ht="13.5" customHeight="1" thickBot="1" x14ac:dyDescent="0.25">
      <c r="A48" s="1061"/>
      <c r="B48" s="1063"/>
      <c r="C48" s="1065"/>
      <c r="D48" s="1065"/>
      <c r="E48" s="1067"/>
      <c r="F48" s="1063"/>
      <c r="G48" s="1065"/>
      <c r="H48" s="1067"/>
      <c r="I48" s="1063"/>
      <c r="J48" s="1065"/>
      <c r="K48" s="1067"/>
      <c r="L48" s="1063"/>
      <c r="M48" s="1065"/>
      <c r="N48" s="1067"/>
    </row>
    <row r="49" spans="1:14" ht="12.75" thickTop="1" thickBot="1" x14ac:dyDescent="0.25">
      <c r="A49" s="213" t="s">
        <v>21</v>
      </c>
      <c r="B49" s="214"/>
      <c r="C49" s="215"/>
      <c r="D49" s="216"/>
      <c r="E49" s="217"/>
      <c r="F49" s="214"/>
      <c r="G49" s="218"/>
      <c r="H49" s="217"/>
      <c r="I49" s="214"/>
      <c r="J49" s="215"/>
      <c r="K49" s="219"/>
      <c r="L49" s="218"/>
      <c r="M49" s="218"/>
      <c r="N49" s="217"/>
    </row>
    <row r="50" spans="1:14" x14ac:dyDescent="0.2">
      <c r="A50" s="31" t="s">
        <v>450</v>
      </c>
      <c r="B50" s="31"/>
      <c r="C50" s="31"/>
      <c r="D50" s="31"/>
      <c r="E50" s="31"/>
      <c r="F50" s="31"/>
      <c r="G50" s="31"/>
      <c r="H50" s="31"/>
      <c r="I50" s="31"/>
      <c r="J50" s="31"/>
      <c r="K50" s="31"/>
      <c r="L50" s="31"/>
      <c r="M50" s="31"/>
      <c r="N50" s="31"/>
    </row>
    <row r="51" spans="1:14" x14ac:dyDescent="0.2">
      <c r="A51" s="31" t="s">
        <v>479</v>
      </c>
      <c r="B51" s="31"/>
      <c r="C51" s="31"/>
      <c r="D51" s="31"/>
      <c r="E51" s="31"/>
      <c r="F51" s="31"/>
      <c r="G51" s="31"/>
      <c r="H51" s="31"/>
      <c r="I51" s="31"/>
      <c r="J51" s="31"/>
      <c r="K51" s="31"/>
      <c r="L51" s="31"/>
      <c r="M51" s="31"/>
      <c r="N51" s="31"/>
    </row>
  </sheetData>
  <mergeCells count="18">
    <mergeCell ref="M47:M48"/>
    <mergeCell ref="N47:N48"/>
    <mergeCell ref="I3:N3"/>
    <mergeCell ref="B3:E3"/>
    <mergeCell ref="F3:H3"/>
    <mergeCell ref="E47:E48"/>
    <mergeCell ref="F47:F48"/>
    <mergeCell ref="G47:G48"/>
    <mergeCell ref="H47:H48"/>
    <mergeCell ref="I47:I48"/>
    <mergeCell ref="J47:J48"/>
    <mergeCell ref="K47:K48"/>
    <mergeCell ref="L47:L48"/>
    <mergeCell ref="A3:A4"/>
    <mergeCell ref="A47:A48"/>
    <mergeCell ref="B47:B48"/>
    <mergeCell ref="C47:C48"/>
    <mergeCell ref="D47:D48"/>
  </mergeCells>
  <pageMargins left="0.23622047244094491" right="0.23622047244094491" top="0.74803149606299213" bottom="0.74803149606299213" header="0.31496062992125984" footer="0.31496062992125984"/>
  <pageSetup paperSize="9" scale="89"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42E8-D79C-452A-9A61-B2CFAB2B30B4}">
  <sheetPr>
    <tabColor theme="9" tint="-0.249977111117893"/>
  </sheetPr>
  <dimension ref="A1:V25"/>
  <sheetViews>
    <sheetView zoomScaleNormal="100" zoomScaleSheetLayoutView="90" workbookViewId="0">
      <selection activeCell="A3" sqref="A3:A4"/>
    </sheetView>
  </sheetViews>
  <sheetFormatPr baseColWidth="10" defaultColWidth="11.28515625" defaultRowHeight="11.25" x14ac:dyDescent="0.2"/>
  <cols>
    <col min="1" max="1" width="25.5703125" style="959" customWidth="1"/>
    <col min="2" max="2" width="7" style="959" customWidth="1"/>
    <col min="3" max="3" width="11" style="959" customWidth="1"/>
    <col min="4" max="4" width="10.140625" style="959" customWidth="1"/>
    <col min="5" max="5" width="10.28515625" style="959" customWidth="1"/>
    <col min="6" max="6" width="7" style="959" customWidth="1"/>
    <col min="7" max="7" width="9.28515625" style="959" customWidth="1"/>
    <col min="8" max="8" width="11.42578125" style="959" customWidth="1"/>
    <col min="9" max="10" width="7" style="959" customWidth="1"/>
    <col min="11" max="11" width="11.42578125" style="959" customWidth="1"/>
    <col min="12" max="12" width="7" style="959" customWidth="1"/>
    <col min="13" max="13" width="9.42578125" style="959" customWidth="1"/>
    <col min="14" max="14" width="7" style="959" customWidth="1"/>
    <col min="15" max="15" width="11" style="959" customWidth="1"/>
    <col min="16" max="16" width="10.28515625" style="959" customWidth="1"/>
    <col min="17" max="17" width="7" style="959" customWidth="1"/>
    <col min="18" max="16384" width="11.28515625" style="959"/>
  </cols>
  <sheetData>
    <row r="1" spans="1:22" s="958" customFormat="1" x14ac:dyDescent="0.2">
      <c r="A1" s="956" t="s">
        <v>425</v>
      </c>
      <c r="B1" s="957"/>
      <c r="C1" s="957"/>
      <c r="D1" s="957"/>
      <c r="E1" s="957"/>
    </row>
    <row r="2" spans="1:22" s="958" customFormat="1" ht="12" thickBot="1" x14ac:dyDescent="0.25">
      <c r="A2" s="58" t="s">
        <v>11142</v>
      </c>
      <c r="B2" s="58"/>
      <c r="C2" s="58"/>
      <c r="D2" s="58"/>
      <c r="E2" s="58"/>
      <c r="F2" s="58"/>
      <c r="G2" s="58"/>
      <c r="H2" s="58"/>
      <c r="I2" s="58"/>
      <c r="J2" s="58"/>
      <c r="K2" s="58"/>
      <c r="L2" s="58"/>
      <c r="M2" s="58"/>
      <c r="N2" s="58"/>
      <c r="O2" s="58"/>
      <c r="P2" s="58"/>
      <c r="Q2" s="58"/>
      <c r="R2" s="58"/>
      <c r="S2" s="58"/>
      <c r="T2" s="58"/>
      <c r="U2" s="58"/>
      <c r="V2" s="58"/>
    </row>
    <row r="3" spans="1:22" ht="12" thickBot="1" x14ac:dyDescent="0.25">
      <c r="A3" s="1073" t="s">
        <v>3</v>
      </c>
      <c r="B3" s="1075" t="s">
        <v>426</v>
      </c>
      <c r="C3" s="1076"/>
      <c r="D3" s="1076"/>
      <c r="E3" s="1076"/>
      <c r="F3" s="1076"/>
      <c r="G3" s="1076"/>
      <c r="H3" s="1077"/>
      <c r="I3" s="1078" t="s">
        <v>427</v>
      </c>
      <c r="J3" s="1076"/>
      <c r="K3" s="1076"/>
      <c r="L3" s="1076"/>
      <c r="M3" s="1077"/>
      <c r="N3" s="1078" t="s">
        <v>428</v>
      </c>
      <c r="O3" s="1077"/>
      <c r="P3" s="1078" t="s">
        <v>2</v>
      </c>
      <c r="Q3" s="1077"/>
    </row>
    <row r="4" spans="1:22" s="963" customFormat="1" ht="80.25" customHeight="1" thickBot="1" x14ac:dyDescent="0.25">
      <c r="A4" s="1074"/>
      <c r="B4" s="960" t="s">
        <v>307</v>
      </c>
      <c r="C4" s="961" t="s">
        <v>308</v>
      </c>
      <c r="D4" s="960" t="s">
        <v>309</v>
      </c>
      <c r="E4" s="960" t="s">
        <v>310</v>
      </c>
      <c r="F4" s="960" t="s">
        <v>311</v>
      </c>
      <c r="G4" s="962" t="s">
        <v>312</v>
      </c>
      <c r="H4" s="962" t="s">
        <v>313</v>
      </c>
      <c r="I4" s="960" t="s">
        <v>314</v>
      </c>
      <c r="J4" s="962" t="s">
        <v>312</v>
      </c>
      <c r="K4" s="962" t="s">
        <v>315</v>
      </c>
      <c r="L4" s="962" t="s">
        <v>316</v>
      </c>
      <c r="M4" s="962" t="s">
        <v>317</v>
      </c>
      <c r="N4" s="962" t="s">
        <v>318</v>
      </c>
      <c r="O4" s="961" t="s">
        <v>319</v>
      </c>
      <c r="P4" s="960" t="s">
        <v>20</v>
      </c>
      <c r="Q4" s="962" t="s">
        <v>22</v>
      </c>
    </row>
    <row r="5" spans="1:22" x14ac:dyDescent="0.2">
      <c r="A5" s="964"/>
      <c r="B5" s="965"/>
      <c r="C5" s="966"/>
      <c r="D5" s="965"/>
      <c r="E5" s="967"/>
      <c r="F5" s="967"/>
      <c r="G5" s="967"/>
      <c r="H5" s="967"/>
      <c r="I5" s="967"/>
      <c r="J5" s="967"/>
      <c r="K5" s="967"/>
      <c r="L5" s="967"/>
      <c r="M5" s="967"/>
      <c r="N5" s="967"/>
      <c r="O5" s="967"/>
      <c r="P5" s="966"/>
      <c r="Q5" s="964"/>
    </row>
    <row r="6" spans="1:22" x14ac:dyDescent="0.2">
      <c r="A6" s="964" t="s">
        <v>52</v>
      </c>
      <c r="B6" s="965"/>
      <c r="C6" s="967">
        <v>556410505</v>
      </c>
      <c r="D6" s="967">
        <v>23337668</v>
      </c>
      <c r="E6" s="967">
        <v>89166198</v>
      </c>
      <c r="F6" s="967"/>
      <c r="G6" s="967">
        <v>1253744</v>
      </c>
      <c r="H6" s="967">
        <f>SUM(C6:G6)</f>
        <v>670168115</v>
      </c>
      <c r="I6" s="967"/>
      <c r="J6" s="967"/>
      <c r="K6" s="967">
        <v>124254022</v>
      </c>
      <c r="L6" s="967"/>
      <c r="M6" s="967">
        <f>SUM(K6:L6)</f>
        <v>124254022</v>
      </c>
      <c r="N6" s="967"/>
      <c r="O6" s="967"/>
      <c r="P6" s="966">
        <f>+H6+M6:M6</f>
        <v>794422137</v>
      </c>
      <c r="Q6" s="968">
        <f>+P6/P24*100</f>
        <v>84.583898360176008</v>
      </c>
    </row>
    <row r="7" spans="1:22" x14ac:dyDescent="0.2">
      <c r="A7" s="964"/>
      <c r="B7" s="965"/>
      <c r="C7" s="966"/>
      <c r="D7" s="965"/>
      <c r="E7" s="967"/>
      <c r="F7" s="967"/>
      <c r="G7" s="967"/>
      <c r="H7" s="967"/>
      <c r="I7" s="967"/>
      <c r="J7" s="967"/>
      <c r="K7" s="967"/>
      <c r="L7" s="967"/>
      <c r="M7" s="967"/>
      <c r="N7" s="967"/>
      <c r="O7" s="967"/>
      <c r="P7" s="966"/>
      <c r="Q7" s="964"/>
    </row>
    <row r="8" spans="1:22" x14ac:dyDescent="0.2">
      <c r="A8" s="964" t="s">
        <v>53</v>
      </c>
      <c r="B8" s="965"/>
      <c r="C8" s="966"/>
      <c r="D8" s="965"/>
      <c r="E8" s="967">
        <v>2802660</v>
      </c>
      <c r="F8" s="967"/>
      <c r="G8" s="967"/>
      <c r="H8" s="967">
        <f>SUM(C8:G8)</f>
        <v>2802660</v>
      </c>
      <c r="I8" s="967"/>
      <c r="J8" s="967"/>
      <c r="K8" s="967"/>
      <c r="L8" s="967"/>
      <c r="M8" s="967"/>
      <c r="N8" s="967"/>
      <c r="O8" s="967"/>
      <c r="P8" s="966">
        <f>+H8+M8:M8</f>
        <v>2802660</v>
      </c>
      <c r="Q8" s="968">
        <f>+P8/P24*100</f>
        <v>0.29840546673755503</v>
      </c>
    </row>
    <row r="9" spans="1:22" x14ac:dyDescent="0.2">
      <c r="A9" s="964"/>
      <c r="B9" s="965"/>
      <c r="C9" s="966"/>
      <c r="D9" s="965"/>
      <c r="E9" s="967"/>
      <c r="F9" s="967"/>
      <c r="G9" s="967"/>
      <c r="H9" s="967"/>
      <c r="I9" s="967"/>
      <c r="J9" s="967"/>
      <c r="K9" s="967"/>
      <c r="L9" s="967"/>
      <c r="M9" s="967"/>
      <c r="N9" s="967"/>
      <c r="O9" s="967"/>
      <c r="P9" s="966"/>
      <c r="Q9" s="964"/>
    </row>
    <row r="10" spans="1:22" ht="12.75" x14ac:dyDescent="0.2">
      <c r="A10" s="964" t="s">
        <v>54</v>
      </c>
      <c r="B10" s="965"/>
      <c r="C10" s="966"/>
      <c r="D10" s="965"/>
      <c r="E10" s="967">
        <v>14250279</v>
      </c>
      <c r="F10" s="967"/>
      <c r="G10" s="967"/>
      <c r="H10" s="967">
        <f>SUM(C10:G10)</f>
        <v>14250279</v>
      </c>
      <c r="I10" s="967"/>
      <c r="J10" s="967"/>
      <c r="K10" s="969"/>
      <c r="L10" s="970"/>
      <c r="M10" s="967"/>
      <c r="N10" s="967"/>
      <c r="O10" s="967"/>
      <c r="P10" s="966">
        <f>+H10+M10:M10</f>
        <v>14250279</v>
      </c>
      <c r="Q10" s="968">
        <f>+P10/P24*100</f>
        <v>1.5172590168394948</v>
      </c>
    </row>
    <row r="11" spans="1:22" x14ac:dyDescent="0.2">
      <c r="A11" s="964" t="s">
        <v>99</v>
      </c>
      <c r="B11" s="965"/>
      <c r="C11" s="966"/>
      <c r="D11" s="965"/>
      <c r="E11" s="967"/>
      <c r="F11" s="967"/>
      <c r="G11" s="967"/>
      <c r="H11" s="967"/>
      <c r="I11" s="967"/>
      <c r="J11" s="967"/>
      <c r="K11" s="967"/>
      <c r="L11" s="967"/>
      <c r="M11" s="967"/>
      <c r="N11" s="967"/>
      <c r="O11" s="967"/>
      <c r="P11" s="966"/>
      <c r="Q11" s="964"/>
    </row>
    <row r="12" spans="1:22" x14ac:dyDescent="0.2">
      <c r="A12" s="971"/>
      <c r="B12" s="965"/>
      <c r="C12" s="972"/>
      <c r="D12" s="973"/>
      <c r="E12" s="967"/>
      <c r="F12" s="974"/>
      <c r="G12" s="967"/>
      <c r="H12" s="967"/>
      <c r="I12" s="967"/>
      <c r="J12" s="967"/>
      <c r="K12" s="967"/>
      <c r="L12" s="967"/>
      <c r="M12" s="967"/>
      <c r="N12" s="967"/>
      <c r="O12" s="967"/>
      <c r="P12" s="966"/>
      <c r="Q12" s="964"/>
    </row>
    <row r="13" spans="1:22" x14ac:dyDescent="0.2">
      <c r="A13" s="964" t="s">
        <v>55</v>
      </c>
      <c r="B13" s="965"/>
      <c r="C13" s="966"/>
      <c r="D13" s="965"/>
      <c r="E13" s="967">
        <v>42333</v>
      </c>
      <c r="F13" s="967"/>
      <c r="G13" s="967"/>
      <c r="H13" s="967">
        <f>SUM(C13:G13)</f>
        <v>42333</v>
      </c>
      <c r="I13" s="967"/>
      <c r="J13" s="967"/>
      <c r="K13" s="967"/>
      <c r="L13" s="967"/>
      <c r="M13" s="967"/>
      <c r="N13" s="967"/>
      <c r="O13" s="967"/>
      <c r="P13" s="966">
        <f>+H13+M13:M13</f>
        <v>42333</v>
      </c>
      <c r="Q13" s="968">
        <f>+P13/P24*100</f>
        <v>4.5072890123671501E-3</v>
      </c>
    </row>
    <row r="14" spans="1:22" x14ac:dyDescent="0.2">
      <c r="A14" s="964"/>
      <c r="B14" s="965"/>
      <c r="C14" s="966"/>
      <c r="D14" s="965"/>
      <c r="E14" s="967"/>
      <c r="F14" s="967"/>
      <c r="G14" s="967"/>
      <c r="H14" s="967"/>
      <c r="I14" s="967"/>
      <c r="J14" s="967"/>
      <c r="K14" s="967"/>
      <c r="L14" s="967"/>
      <c r="M14" s="967"/>
      <c r="N14" s="967"/>
      <c r="O14" s="967"/>
      <c r="P14" s="966"/>
      <c r="Q14" s="964"/>
    </row>
    <row r="15" spans="1:22" x14ac:dyDescent="0.2">
      <c r="A15" s="964" t="s">
        <v>56</v>
      </c>
      <c r="B15" s="965"/>
      <c r="C15" s="966"/>
      <c r="D15" s="965"/>
      <c r="E15" s="967">
        <v>3037815</v>
      </c>
      <c r="F15" s="967"/>
      <c r="G15" s="967"/>
      <c r="H15" s="967">
        <f>SUM(C15:G15)</f>
        <v>3037815</v>
      </c>
      <c r="I15" s="967"/>
      <c r="J15" s="967"/>
      <c r="K15" s="967">
        <v>124656792</v>
      </c>
      <c r="L15" s="967"/>
      <c r="M15" s="967">
        <f>SUM(K15:L15)</f>
        <v>124656792</v>
      </c>
      <c r="N15" s="967"/>
      <c r="O15" s="967"/>
      <c r="P15" s="966">
        <f>+H15+M15:M15</f>
        <v>127694607</v>
      </c>
      <c r="Q15" s="968">
        <f>+P15/P24*100</f>
        <v>13.595929867234577</v>
      </c>
    </row>
    <row r="16" spans="1:22" x14ac:dyDescent="0.2">
      <c r="A16" s="964"/>
      <c r="B16" s="965"/>
      <c r="C16" s="966"/>
      <c r="D16" s="965"/>
      <c r="E16" s="967"/>
      <c r="F16" s="967"/>
      <c r="G16" s="967"/>
      <c r="H16" s="967"/>
      <c r="I16" s="967"/>
      <c r="J16" s="967"/>
      <c r="K16" s="967"/>
      <c r="L16" s="967"/>
      <c r="M16" s="967"/>
      <c r="N16" s="967"/>
      <c r="O16" s="967"/>
      <c r="P16" s="966"/>
      <c r="Q16" s="964"/>
    </row>
    <row r="17" spans="1:17" x14ac:dyDescent="0.2">
      <c r="A17" s="964" t="s">
        <v>60</v>
      </c>
      <c r="B17" s="965"/>
      <c r="C17" s="966"/>
      <c r="D17" s="965"/>
      <c r="E17" s="967"/>
      <c r="F17" s="967"/>
      <c r="G17" s="967"/>
      <c r="H17" s="967"/>
      <c r="I17" s="967"/>
      <c r="J17" s="967"/>
      <c r="K17" s="967"/>
      <c r="L17" s="967"/>
      <c r="M17" s="967"/>
      <c r="N17" s="967"/>
      <c r="O17" s="967"/>
      <c r="P17" s="966"/>
      <c r="Q17" s="964"/>
    </row>
    <row r="18" spans="1:17" x14ac:dyDescent="0.2">
      <c r="A18" s="964" t="s">
        <v>61</v>
      </c>
      <c r="B18" s="965"/>
      <c r="C18" s="966"/>
      <c r="D18" s="965"/>
      <c r="E18" s="967"/>
      <c r="F18" s="967"/>
      <c r="G18" s="967"/>
      <c r="H18" s="967"/>
      <c r="I18" s="967"/>
      <c r="J18" s="967"/>
      <c r="K18" s="967"/>
      <c r="L18" s="967"/>
      <c r="M18" s="967"/>
      <c r="N18" s="967"/>
      <c r="O18" s="967"/>
      <c r="P18" s="966"/>
      <c r="Q18" s="964"/>
    </row>
    <row r="19" spans="1:17" x14ac:dyDescent="0.2">
      <c r="A19" s="964" t="s">
        <v>57</v>
      </c>
      <c r="B19" s="965"/>
      <c r="C19" s="966"/>
      <c r="D19" s="965"/>
      <c r="E19" s="967"/>
      <c r="F19" s="967"/>
      <c r="G19" s="967"/>
      <c r="H19" s="967"/>
      <c r="I19" s="967"/>
      <c r="J19" s="967"/>
      <c r="K19" s="967"/>
      <c r="L19" s="967"/>
      <c r="M19" s="967"/>
      <c r="N19" s="967"/>
      <c r="O19" s="967"/>
      <c r="P19" s="966"/>
      <c r="Q19" s="964"/>
    </row>
    <row r="20" spans="1:17" x14ac:dyDescent="0.2">
      <c r="A20" s="964" t="s">
        <v>58</v>
      </c>
      <c r="B20" s="965"/>
      <c r="C20" s="966"/>
      <c r="D20" s="965"/>
      <c r="E20" s="967"/>
      <c r="F20" s="967"/>
      <c r="G20" s="967"/>
      <c r="H20" s="967"/>
      <c r="I20" s="967"/>
      <c r="J20" s="967"/>
      <c r="K20" s="967"/>
      <c r="L20" s="967"/>
      <c r="M20" s="967"/>
      <c r="N20" s="967"/>
      <c r="O20" s="967"/>
      <c r="P20" s="966"/>
      <c r="Q20" s="964"/>
    </row>
    <row r="21" spans="1:17" x14ac:dyDescent="0.2">
      <c r="A21" s="964" t="s">
        <v>59</v>
      </c>
      <c r="B21" s="965"/>
      <c r="C21" s="966"/>
      <c r="D21" s="965"/>
      <c r="E21" s="967"/>
      <c r="F21" s="967"/>
      <c r="G21" s="967"/>
      <c r="H21" s="967"/>
      <c r="I21" s="967"/>
      <c r="J21" s="967"/>
      <c r="K21" s="967"/>
      <c r="L21" s="967"/>
      <c r="M21" s="967"/>
      <c r="N21" s="967"/>
      <c r="O21" s="967"/>
      <c r="P21" s="966"/>
      <c r="Q21" s="964"/>
    </row>
    <row r="22" spans="1:17" x14ac:dyDescent="0.2">
      <c r="A22" s="964" t="s">
        <v>90</v>
      </c>
      <c r="B22" s="965"/>
      <c r="C22" s="966"/>
      <c r="D22" s="965"/>
      <c r="E22" s="967"/>
      <c r="F22" s="967"/>
      <c r="G22" s="967"/>
      <c r="H22" s="967"/>
      <c r="I22" s="967"/>
      <c r="J22" s="967"/>
      <c r="K22" s="967"/>
      <c r="L22" s="967"/>
      <c r="M22" s="967"/>
      <c r="N22" s="967"/>
      <c r="O22" s="967"/>
      <c r="P22" s="966"/>
      <c r="Q22" s="964"/>
    </row>
    <row r="23" spans="1:17" ht="12" thickBot="1" x14ac:dyDescent="0.25">
      <c r="A23" s="975"/>
      <c r="B23" s="975"/>
      <c r="C23" s="976"/>
      <c r="D23" s="964"/>
      <c r="E23" s="977"/>
      <c r="F23" s="977"/>
      <c r="G23" s="977"/>
      <c r="H23" s="977"/>
      <c r="I23" s="977"/>
      <c r="J23" s="977"/>
      <c r="K23" s="977"/>
      <c r="L23" s="977"/>
      <c r="M23" s="977"/>
      <c r="N23" s="977"/>
      <c r="O23" s="977"/>
      <c r="P23" s="976"/>
      <c r="Q23" s="964"/>
    </row>
    <row r="24" spans="1:17" ht="12" thickBot="1" x14ac:dyDescent="0.25">
      <c r="A24" s="66" t="s">
        <v>2</v>
      </c>
      <c r="B24" s="978"/>
      <c r="C24" s="978"/>
      <c r="D24" s="978"/>
      <c r="E24" s="978"/>
      <c r="F24" s="978"/>
      <c r="G24" s="978"/>
      <c r="H24" s="978"/>
      <c r="I24" s="978"/>
      <c r="J24" s="978"/>
      <c r="K24" s="978"/>
      <c r="L24" s="978"/>
      <c r="M24" s="978"/>
      <c r="N24" s="978"/>
      <c r="O24" s="978"/>
      <c r="P24" s="979">
        <f>+P6+P8+P10+P13+P15</f>
        <v>939212016</v>
      </c>
      <c r="Q24" s="980">
        <f>+Q6+Q8+Q10+Q13+Q15</f>
        <v>99.999999999999986</v>
      </c>
    </row>
    <row r="25" spans="1:17" x14ac:dyDescent="0.2">
      <c r="A25" s="62"/>
      <c r="B25" s="976"/>
      <c r="C25" s="976"/>
      <c r="D25" s="976"/>
      <c r="E25" s="976"/>
      <c r="F25" s="976"/>
      <c r="G25" s="976"/>
      <c r="H25" s="976"/>
      <c r="I25" s="976"/>
      <c r="J25" s="976"/>
      <c r="K25" s="976"/>
      <c r="L25" s="976"/>
      <c r="M25" s="976"/>
      <c r="N25" s="976"/>
      <c r="O25" s="976"/>
      <c r="P25" s="976"/>
      <c r="Q25" s="976"/>
    </row>
  </sheetData>
  <mergeCells count="5">
    <mergeCell ref="A3:A4"/>
    <mergeCell ref="B3:H3"/>
    <mergeCell ref="I3:M3"/>
    <mergeCell ref="N3:O3"/>
    <mergeCell ref="P3:Q3"/>
  </mergeCells>
  <pageMargins left="0.23622047244094491" right="0.23622047244094491" top="0.74803149606299213" bottom="0.74803149606299213" header="0.31496062992125984" footer="0.31496062992125984"/>
  <pageSetup paperSize="9" scale="85" orientation="landscape" r:id="rId1"/>
  <headerFooter alignWithMargins="0">
    <oddHeader xml:space="preserve">&amp;C&amp;"Arial,Negrita"&amp;18PROYECTO DEL PRESUPUESTO 2022
</oddHeader>
    <oddFooter>&amp;L&amp;"Arial,Negrita"&amp;8PROYECTO DE PRESUPUESTO PARA EL AÑO FISCAL 2022
INFORMACIÓN PARA LA COMISIÓN DE PRESUPUESTO Y CUENTA GENERAL DE LA REPÚBLICA DEL CONGRESO DE LA REPÚBLICA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6">
    <tabColor theme="9" tint="-0.249977111117893"/>
    <pageSetUpPr fitToPage="1"/>
  </sheetPr>
  <dimension ref="A1:V114"/>
  <sheetViews>
    <sheetView topLeftCell="A82" zoomScaleNormal="100" zoomScaleSheetLayoutView="70" zoomScalePageLayoutView="90" workbookViewId="0">
      <selection activeCell="I116" sqref="I116"/>
    </sheetView>
  </sheetViews>
  <sheetFormatPr baseColWidth="10" defaultColWidth="11.42578125" defaultRowHeight="12" x14ac:dyDescent="0.2"/>
  <cols>
    <col min="1" max="1" width="25" style="50" customWidth="1"/>
    <col min="2" max="2" width="16.28515625" style="50" bestFit="1" customWidth="1"/>
    <col min="3" max="3" width="8.7109375" style="50" customWidth="1"/>
    <col min="4" max="4" width="15.140625" style="50" customWidth="1"/>
    <col min="5" max="6" width="13.5703125" style="50" customWidth="1"/>
    <col min="7" max="7" width="13.42578125" style="50" customWidth="1"/>
    <col min="8" max="8" width="13.7109375" style="50" customWidth="1"/>
    <col min="9" max="9" width="17.28515625" style="50" customWidth="1"/>
    <col min="10" max="10" width="8.7109375" style="50" customWidth="1"/>
    <col min="11" max="11" width="10.7109375" style="50" customWidth="1"/>
    <col min="12" max="12" width="13.85546875" style="50" customWidth="1"/>
    <col min="13" max="13" width="16.5703125" style="50" customWidth="1"/>
    <col min="14" max="14" width="14" style="50" customWidth="1"/>
    <col min="15" max="16" width="8.7109375" style="50" customWidth="1"/>
    <col min="17" max="17" width="14.28515625" style="50" customWidth="1"/>
    <col min="18" max="18" width="14.85546875" style="50" customWidth="1"/>
    <col min="19" max="16384" width="11.42578125" style="50"/>
  </cols>
  <sheetData>
    <row r="1" spans="1:22" x14ac:dyDescent="0.2">
      <c r="A1" s="762" t="s">
        <v>429</v>
      </c>
      <c r="B1" s="763"/>
      <c r="C1" s="763"/>
      <c r="D1" s="763"/>
      <c r="E1" s="763"/>
      <c r="F1" s="763"/>
      <c r="G1" s="763"/>
      <c r="H1" s="763"/>
      <c r="I1" s="763"/>
      <c r="J1" s="763"/>
      <c r="K1" s="763"/>
      <c r="L1" s="763"/>
      <c r="M1" s="763"/>
      <c r="N1" s="763"/>
      <c r="O1" s="763"/>
      <c r="P1" s="763"/>
      <c r="Q1" s="763"/>
      <c r="R1" s="763"/>
    </row>
    <row r="2" spans="1:22" x14ac:dyDescent="0.2">
      <c r="A2" s="428" t="s">
        <v>365</v>
      </c>
      <c r="B2" s="764"/>
      <c r="C2" s="764"/>
      <c r="D2" s="764"/>
      <c r="E2" s="764"/>
      <c r="F2" s="764"/>
      <c r="G2" s="764"/>
      <c r="H2" s="764"/>
      <c r="I2" s="764"/>
      <c r="J2" s="764"/>
      <c r="K2" s="764"/>
      <c r="L2" s="764"/>
      <c r="M2" s="764"/>
      <c r="N2" s="764"/>
      <c r="O2" s="764"/>
      <c r="P2" s="764"/>
      <c r="Q2" s="764"/>
      <c r="R2" s="764"/>
      <c r="S2" s="230"/>
      <c r="T2" s="230"/>
      <c r="U2" s="230"/>
      <c r="V2" s="230"/>
    </row>
    <row r="3" spans="1:22" ht="27" customHeight="1" x14ac:dyDescent="0.2">
      <c r="A3" s="1080" t="s">
        <v>132</v>
      </c>
      <c r="B3" s="1082" t="s">
        <v>133</v>
      </c>
      <c r="C3" s="1081" t="s">
        <v>23</v>
      </c>
      <c r="D3" s="1081"/>
      <c r="E3" s="1081"/>
      <c r="F3" s="1081"/>
      <c r="G3" s="1081"/>
      <c r="H3" s="1081"/>
      <c r="I3" s="1081"/>
      <c r="J3" s="1079" t="s">
        <v>113</v>
      </c>
      <c r="K3" s="1079"/>
      <c r="L3" s="1079"/>
      <c r="M3" s="1079"/>
      <c r="N3" s="1079"/>
      <c r="O3" s="1079" t="s">
        <v>100</v>
      </c>
      <c r="P3" s="1079"/>
      <c r="Q3" s="1079" t="s">
        <v>2</v>
      </c>
      <c r="R3" s="1079"/>
    </row>
    <row r="4" spans="1:22" ht="112.5" customHeight="1" x14ac:dyDescent="0.2">
      <c r="A4" s="1080"/>
      <c r="B4" s="1082"/>
      <c r="C4" s="765" t="s">
        <v>251</v>
      </c>
      <c r="D4" s="765" t="s">
        <v>252</v>
      </c>
      <c r="E4" s="765" t="s">
        <v>253</v>
      </c>
      <c r="F4" s="765" t="s">
        <v>254</v>
      </c>
      <c r="G4" s="765" t="s">
        <v>255</v>
      </c>
      <c r="H4" s="765" t="s">
        <v>256</v>
      </c>
      <c r="I4" s="765" t="s">
        <v>110</v>
      </c>
      <c r="J4" s="765" t="s">
        <v>255</v>
      </c>
      <c r="K4" s="765" t="s">
        <v>256</v>
      </c>
      <c r="L4" s="765" t="s">
        <v>257</v>
      </c>
      <c r="M4" s="765" t="s">
        <v>258</v>
      </c>
      <c r="N4" s="765" t="s">
        <v>111</v>
      </c>
      <c r="O4" s="765" t="s">
        <v>259</v>
      </c>
      <c r="P4" s="765" t="s">
        <v>112</v>
      </c>
      <c r="Q4" s="766" t="s">
        <v>48</v>
      </c>
      <c r="R4" s="767" t="s">
        <v>98</v>
      </c>
    </row>
    <row r="5" spans="1:22" x14ac:dyDescent="0.2">
      <c r="A5" s="768" t="s">
        <v>134</v>
      </c>
      <c r="B5" s="768">
        <v>2020</v>
      </c>
      <c r="C5" s="768"/>
      <c r="D5" s="768"/>
      <c r="E5" s="768"/>
      <c r="F5" s="768"/>
      <c r="G5" s="768"/>
      <c r="H5" s="768"/>
      <c r="I5" s="768"/>
      <c r="J5" s="768"/>
      <c r="K5" s="768"/>
      <c r="L5" s="768"/>
      <c r="M5" s="768"/>
      <c r="N5" s="768"/>
      <c r="O5" s="768"/>
      <c r="P5" s="768"/>
      <c r="Q5" s="768"/>
      <c r="R5" s="768"/>
    </row>
    <row r="6" spans="1:22" x14ac:dyDescent="0.2">
      <c r="A6" s="769"/>
      <c r="B6" s="768">
        <v>2021</v>
      </c>
      <c r="C6" s="768"/>
      <c r="D6" s="768"/>
      <c r="E6" s="768"/>
      <c r="F6" s="768"/>
      <c r="G6" s="768"/>
      <c r="H6" s="768"/>
      <c r="I6" s="768"/>
      <c r="J6" s="768"/>
      <c r="K6" s="768"/>
      <c r="L6" s="768"/>
      <c r="M6" s="768"/>
      <c r="N6" s="768"/>
      <c r="O6" s="768"/>
      <c r="P6" s="768"/>
      <c r="Q6" s="768"/>
      <c r="R6" s="768"/>
    </row>
    <row r="7" spans="1:22" x14ac:dyDescent="0.2">
      <c r="A7" s="769"/>
      <c r="B7" s="768">
        <v>2022</v>
      </c>
      <c r="C7" s="768"/>
      <c r="D7" s="768"/>
      <c r="E7" s="768"/>
      <c r="F7" s="768"/>
      <c r="G7" s="768"/>
      <c r="H7" s="768"/>
      <c r="I7" s="768"/>
      <c r="J7" s="768"/>
      <c r="K7" s="768"/>
      <c r="L7" s="768"/>
      <c r="M7" s="768"/>
      <c r="N7" s="768"/>
      <c r="O7" s="768"/>
      <c r="P7" s="768"/>
      <c r="Q7" s="768"/>
      <c r="R7" s="768"/>
    </row>
    <row r="8" spans="1:22" x14ac:dyDescent="0.2">
      <c r="A8" s="769"/>
      <c r="B8" s="770" t="s">
        <v>430</v>
      </c>
      <c r="C8" s="771"/>
      <c r="D8" s="771"/>
      <c r="E8" s="771"/>
      <c r="F8" s="771"/>
      <c r="G8" s="771"/>
      <c r="H8" s="771"/>
      <c r="I8" s="771"/>
      <c r="J8" s="771"/>
      <c r="K8" s="771"/>
      <c r="L8" s="771"/>
      <c r="M8" s="771"/>
      <c r="N8" s="771"/>
      <c r="O8" s="771"/>
      <c r="P8" s="771"/>
      <c r="Q8" s="771"/>
      <c r="R8" s="772"/>
    </row>
    <row r="9" spans="1:22" x14ac:dyDescent="0.2">
      <c r="A9" s="768" t="s">
        <v>135</v>
      </c>
      <c r="B9" s="768">
        <v>2020</v>
      </c>
      <c r="C9" s="768"/>
      <c r="D9" s="768"/>
      <c r="E9" s="768"/>
      <c r="F9" s="768"/>
      <c r="G9" s="768"/>
      <c r="H9" s="768"/>
      <c r="I9" s="768"/>
      <c r="J9" s="768"/>
      <c r="K9" s="768"/>
      <c r="L9" s="768"/>
      <c r="M9" s="768"/>
      <c r="N9" s="768"/>
      <c r="O9" s="768"/>
      <c r="P9" s="768"/>
      <c r="Q9" s="768"/>
      <c r="R9" s="768"/>
    </row>
    <row r="10" spans="1:22" x14ac:dyDescent="0.2">
      <c r="A10" s="769"/>
      <c r="B10" s="768">
        <v>2021</v>
      </c>
      <c r="C10" s="768"/>
      <c r="D10" s="768"/>
      <c r="E10" s="768"/>
      <c r="F10" s="768"/>
      <c r="G10" s="768"/>
      <c r="H10" s="768"/>
      <c r="I10" s="768"/>
      <c r="J10" s="768"/>
      <c r="K10" s="768"/>
      <c r="L10" s="768"/>
      <c r="M10" s="768"/>
      <c r="N10" s="768"/>
      <c r="O10" s="768"/>
      <c r="P10" s="768"/>
      <c r="Q10" s="768"/>
      <c r="R10" s="768"/>
    </row>
    <row r="11" spans="1:22" x14ac:dyDescent="0.2">
      <c r="A11" s="769"/>
      <c r="B11" s="768">
        <v>2022</v>
      </c>
      <c r="C11" s="768"/>
      <c r="D11" s="768"/>
      <c r="E11" s="768"/>
      <c r="F11" s="768"/>
      <c r="G11" s="768"/>
      <c r="H11" s="768"/>
      <c r="I11" s="768"/>
      <c r="J11" s="768"/>
      <c r="K11" s="768"/>
      <c r="L11" s="768"/>
      <c r="M11" s="768"/>
      <c r="N11" s="768"/>
      <c r="O11" s="768"/>
      <c r="P11" s="768"/>
      <c r="Q11" s="768"/>
      <c r="R11" s="768"/>
    </row>
    <row r="12" spans="1:22" ht="12" customHeight="1" x14ac:dyDescent="0.2">
      <c r="A12" s="773"/>
      <c r="B12" s="770" t="s">
        <v>430</v>
      </c>
      <c r="C12" s="771"/>
      <c r="D12" s="771"/>
      <c r="E12" s="771"/>
      <c r="F12" s="771" t="s">
        <v>102</v>
      </c>
      <c r="G12" s="771"/>
      <c r="H12" s="771"/>
      <c r="I12" s="771"/>
      <c r="J12" s="771"/>
      <c r="K12" s="771"/>
      <c r="L12" s="771"/>
      <c r="M12" s="771"/>
      <c r="N12" s="771"/>
      <c r="O12" s="771"/>
      <c r="P12" s="771"/>
      <c r="Q12" s="771"/>
      <c r="R12" s="771"/>
    </row>
    <row r="13" spans="1:22" ht="12.75" x14ac:dyDescent="0.2">
      <c r="A13" s="768" t="s">
        <v>136</v>
      </c>
      <c r="B13" s="768">
        <v>2020</v>
      </c>
      <c r="C13" s="768"/>
      <c r="D13" s="183">
        <v>6251984</v>
      </c>
      <c r="E13" s="183">
        <v>18143</v>
      </c>
      <c r="F13" s="183">
        <v>11168685</v>
      </c>
      <c r="G13" s="768"/>
      <c r="H13" s="183">
        <v>37298</v>
      </c>
      <c r="I13" s="768">
        <f>C13+D13+E13+F13+G13+H13</f>
        <v>17476110</v>
      </c>
      <c r="J13" s="768"/>
      <c r="K13" s="183"/>
      <c r="L13" s="183">
        <v>22627763</v>
      </c>
      <c r="M13" s="768"/>
      <c r="N13" s="768">
        <f>J13+K13+L13+M13</f>
        <v>22627763</v>
      </c>
      <c r="O13" s="768"/>
      <c r="P13" s="768"/>
      <c r="Q13" s="768">
        <f>I13+N13+P13</f>
        <v>40103873</v>
      </c>
      <c r="R13" s="774">
        <f>Q13/$Q$105*100%</f>
        <v>0.16213116069990316</v>
      </c>
      <c r="S13" s="775"/>
    </row>
    <row r="14" spans="1:22" ht="12.75" x14ac:dyDescent="0.2">
      <c r="A14" s="769"/>
      <c r="B14" s="768">
        <v>2021</v>
      </c>
      <c r="C14" s="768"/>
      <c r="D14" s="183">
        <v>6905767</v>
      </c>
      <c r="E14" s="183">
        <v>20323</v>
      </c>
      <c r="F14" s="183">
        <v>5302182</v>
      </c>
      <c r="G14" s="768"/>
      <c r="H14" s="183">
        <v>37298</v>
      </c>
      <c r="I14" s="768">
        <f>C14+D14+E14+F14+G14+H14</f>
        <v>12265570</v>
      </c>
      <c r="J14" s="768"/>
      <c r="K14" s="768"/>
      <c r="L14" s="183">
        <v>14367901</v>
      </c>
      <c r="M14" s="768"/>
      <c r="N14" s="768">
        <f t="shared" ref="N14:N77" si="0">J14+K14+L14+M14</f>
        <v>14367901</v>
      </c>
      <c r="O14" s="768"/>
      <c r="P14" s="768"/>
      <c r="Q14" s="768">
        <f t="shared" ref="Q14:Q77" si="1">I14+N14+P14</f>
        <v>26633471</v>
      </c>
      <c r="R14" s="774">
        <f t="shared" ref="R14:R77" si="2">Q14/$Q$105*100%</f>
        <v>0.10767328050079379</v>
      </c>
      <c r="S14" s="775"/>
    </row>
    <row r="15" spans="1:22" ht="12.75" x14ac:dyDescent="0.2">
      <c r="A15" s="769"/>
      <c r="B15" s="768">
        <v>2022</v>
      </c>
      <c r="C15" s="768"/>
      <c r="D15" s="183">
        <v>5699580</v>
      </c>
      <c r="E15" s="183">
        <v>13588</v>
      </c>
      <c r="F15" s="183">
        <v>5740267</v>
      </c>
      <c r="G15" s="768"/>
      <c r="H15" s="183">
        <v>23585</v>
      </c>
      <c r="I15" s="768">
        <f>C15+D15+E15+F15+G15+H15</f>
        <v>11477020</v>
      </c>
      <c r="J15" s="768"/>
      <c r="K15" s="768"/>
      <c r="L15" s="183">
        <v>23748144</v>
      </c>
      <c r="M15" s="768"/>
      <c r="N15" s="768">
        <f t="shared" si="0"/>
        <v>23748144</v>
      </c>
      <c r="O15" s="768"/>
      <c r="P15" s="768"/>
      <c r="Q15" s="768">
        <f t="shared" si="1"/>
        <v>35225164</v>
      </c>
      <c r="R15" s="774">
        <f t="shared" si="2"/>
        <v>0.14240761048601075</v>
      </c>
      <c r="S15" s="775"/>
    </row>
    <row r="16" spans="1:22" x14ac:dyDescent="0.2">
      <c r="A16" s="773"/>
      <c r="B16" s="770" t="s">
        <v>430</v>
      </c>
      <c r="C16" s="771"/>
      <c r="D16" s="771">
        <f>D15*100/D14-100</f>
        <v>-17.466372670841636</v>
      </c>
      <c r="E16" s="771">
        <f t="shared" ref="E16:Q16" si="3">E15*100/E14-100</f>
        <v>-33.139792353491117</v>
      </c>
      <c r="F16" s="771">
        <f t="shared" si="3"/>
        <v>8.2623531217902411</v>
      </c>
      <c r="G16" s="771"/>
      <c r="H16" s="771">
        <f t="shared" si="3"/>
        <v>-36.766046436806263</v>
      </c>
      <c r="I16" s="771">
        <f t="shared" si="3"/>
        <v>-6.4289715031588486</v>
      </c>
      <c r="J16" s="771"/>
      <c r="K16" s="771"/>
      <c r="L16" s="771">
        <f t="shared" si="3"/>
        <v>65.286105465231145</v>
      </c>
      <c r="M16" s="771"/>
      <c r="N16" s="771">
        <f t="shared" si="3"/>
        <v>65.286105465231145</v>
      </c>
      <c r="O16" s="771"/>
      <c r="P16" s="771"/>
      <c r="Q16" s="771">
        <f t="shared" si="3"/>
        <v>32.259005970344617</v>
      </c>
      <c r="R16" s="771">
        <f t="shared" si="2"/>
        <v>1.3041608427687467E-7</v>
      </c>
      <c r="S16" s="775"/>
    </row>
    <row r="17" spans="1:19" x14ac:dyDescent="0.2">
      <c r="A17" s="768" t="s">
        <v>260</v>
      </c>
      <c r="B17" s="768">
        <v>2020</v>
      </c>
      <c r="C17" s="768"/>
      <c r="D17" s="768"/>
      <c r="E17" s="768"/>
      <c r="F17" s="768"/>
      <c r="G17" s="768"/>
      <c r="H17" s="768"/>
      <c r="I17" s="768"/>
      <c r="J17" s="768"/>
      <c r="K17" s="768"/>
      <c r="L17" s="768"/>
      <c r="M17" s="768"/>
      <c r="N17" s="768"/>
      <c r="O17" s="768"/>
      <c r="P17" s="768"/>
      <c r="Q17" s="768"/>
      <c r="R17" s="774">
        <f t="shared" si="2"/>
        <v>0</v>
      </c>
      <c r="S17" s="775"/>
    </row>
    <row r="18" spans="1:19" x14ac:dyDescent="0.2">
      <c r="A18" s="769"/>
      <c r="B18" s="768">
        <v>2021</v>
      </c>
      <c r="C18" s="768"/>
      <c r="D18" s="768"/>
      <c r="E18" s="768"/>
      <c r="F18" s="768"/>
      <c r="G18" s="768"/>
      <c r="H18" s="768"/>
      <c r="I18" s="768"/>
      <c r="J18" s="768"/>
      <c r="K18" s="768"/>
      <c r="L18" s="768"/>
      <c r="M18" s="768"/>
      <c r="N18" s="768"/>
      <c r="O18" s="768"/>
      <c r="P18" s="768"/>
      <c r="Q18" s="768"/>
      <c r="R18" s="774">
        <f t="shared" si="2"/>
        <v>0</v>
      </c>
      <c r="S18" s="775"/>
    </row>
    <row r="19" spans="1:19" x14ac:dyDescent="0.2">
      <c r="A19" s="769"/>
      <c r="B19" s="768">
        <v>2022</v>
      </c>
      <c r="C19" s="768"/>
      <c r="D19" s="768"/>
      <c r="E19" s="768"/>
      <c r="F19" s="768"/>
      <c r="G19" s="768"/>
      <c r="H19" s="768"/>
      <c r="I19" s="768"/>
      <c r="J19" s="768"/>
      <c r="K19" s="768"/>
      <c r="L19" s="768"/>
      <c r="M19" s="768"/>
      <c r="N19" s="768"/>
      <c r="O19" s="768"/>
      <c r="P19" s="768"/>
      <c r="Q19" s="768"/>
      <c r="R19" s="774">
        <f t="shared" si="2"/>
        <v>0</v>
      </c>
      <c r="S19" s="775"/>
    </row>
    <row r="20" spans="1:19" x14ac:dyDescent="0.2">
      <c r="A20" s="773"/>
      <c r="B20" s="770" t="s">
        <v>430</v>
      </c>
      <c r="C20" s="771"/>
      <c r="D20" s="771"/>
      <c r="E20" s="771"/>
      <c r="F20" s="771"/>
      <c r="G20" s="771"/>
      <c r="H20" s="771"/>
      <c r="I20" s="771"/>
      <c r="J20" s="771"/>
      <c r="K20" s="771"/>
      <c r="L20" s="771"/>
      <c r="M20" s="771"/>
      <c r="N20" s="771"/>
      <c r="O20" s="771"/>
      <c r="P20" s="771"/>
      <c r="Q20" s="771"/>
      <c r="R20" s="771">
        <f t="shared" si="2"/>
        <v>0</v>
      </c>
      <c r="S20" s="775"/>
    </row>
    <row r="21" spans="1:19" ht="12.75" x14ac:dyDescent="0.2">
      <c r="A21" s="768" t="s">
        <v>261</v>
      </c>
      <c r="B21" s="768">
        <v>2020</v>
      </c>
      <c r="C21" s="768"/>
      <c r="D21" s="768"/>
      <c r="E21" s="183">
        <v>1200000</v>
      </c>
      <c r="F21" s="183">
        <v>950485</v>
      </c>
      <c r="G21" s="768"/>
      <c r="H21" s="768"/>
      <c r="I21" s="768">
        <f t="shared" ref="I21:I83" si="4">C21+D21+E21+F21+G21+H21</f>
        <v>2150485</v>
      </c>
      <c r="J21" s="768"/>
      <c r="K21" s="768"/>
      <c r="L21" s="768">
        <v>0</v>
      </c>
      <c r="M21" s="768"/>
      <c r="N21" s="768">
        <f t="shared" si="0"/>
        <v>0</v>
      </c>
      <c r="O21" s="768"/>
      <c r="P21" s="768"/>
      <c r="Q21" s="768">
        <f t="shared" si="1"/>
        <v>2150485</v>
      </c>
      <c r="R21" s="774">
        <f t="shared" si="2"/>
        <v>8.6939390895670165E-3</v>
      </c>
      <c r="S21" s="775"/>
    </row>
    <row r="22" spans="1:19" ht="12.75" x14ac:dyDescent="0.2">
      <c r="A22" s="769"/>
      <c r="B22" s="768">
        <v>2021</v>
      </c>
      <c r="C22" s="768"/>
      <c r="D22" s="768"/>
      <c r="E22" s="183">
        <v>1010262</v>
      </c>
      <c r="F22" s="183">
        <v>822879</v>
      </c>
      <c r="G22"/>
      <c r="H22" s="768"/>
      <c r="I22" s="768">
        <f t="shared" si="4"/>
        <v>1833141</v>
      </c>
      <c r="J22" s="768"/>
      <c r="K22" s="768"/>
      <c r="L22" s="183">
        <v>1339905</v>
      </c>
      <c r="M22" s="768"/>
      <c r="N22" s="768">
        <f t="shared" si="0"/>
        <v>1339905</v>
      </c>
      <c r="O22" s="768"/>
      <c r="P22" s="768"/>
      <c r="Q22" s="768">
        <f t="shared" si="1"/>
        <v>3173046</v>
      </c>
      <c r="R22" s="774">
        <f t="shared" si="2"/>
        <v>1.282792888692284E-2</v>
      </c>
      <c r="S22" s="775"/>
    </row>
    <row r="23" spans="1:19" ht="12.75" x14ac:dyDescent="0.2">
      <c r="A23" s="769"/>
      <c r="B23" s="768">
        <v>2022</v>
      </c>
      <c r="C23" s="768"/>
      <c r="D23" s="768"/>
      <c r="E23" s="183">
        <v>1010262</v>
      </c>
      <c r="F23" s="183">
        <v>747413</v>
      </c>
      <c r="G23" s="768"/>
      <c r="H23" s="768"/>
      <c r="I23" s="768">
        <f t="shared" si="4"/>
        <v>1757675</v>
      </c>
      <c r="J23" s="768"/>
      <c r="K23" s="768"/>
      <c r="L23" s="183">
        <v>853502</v>
      </c>
      <c r="M23" s="768"/>
      <c r="N23" s="768">
        <f t="shared" si="0"/>
        <v>853502</v>
      </c>
      <c r="O23" s="768"/>
      <c r="P23" s="768"/>
      <c r="Q23" s="768">
        <f t="shared" si="1"/>
        <v>2611177</v>
      </c>
      <c r="R23" s="774">
        <f t="shared" si="2"/>
        <v>1.0556415780662657E-2</v>
      </c>
      <c r="S23" s="775"/>
    </row>
    <row r="24" spans="1:19" x14ac:dyDescent="0.2">
      <c r="A24" s="773"/>
      <c r="B24" s="770" t="s">
        <v>430</v>
      </c>
      <c r="C24" s="771"/>
      <c r="D24" s="771"/>
      <c r="E24" s="771">
        <f>E23*100/E22-100</f>
        <v>0</v>
      </c>
      <c r="F24" s="771">
        <f>F23*100/F22-100</f>
        <v>-9.1709716738426863</v>
      </c>
      <c r="G24" s="771"/>
      <c r="H24" s="771"/>
      <c r="I24" s="771">
        <f t="shared" ref="I24:Q24" si="5">I23*100/I22-100</f>
        <v>-4.1167591581880458</v>
      </c>
      <c r="J24" s="771"/>
      <c r="K24" s="771"/>
      <c r="L24" s="771">
        <f t="shared" si="5"/>
        <v>-36.301304943260902</v>
      </c>
      <c r="M24" s="771"/>
      <c r="N24" s="771">
        <f t="shared" si="5"/>
        <v>-36.301304943260902</v>
      </c>
      <c r="O24" s="771"/>
      <c r="P24" s="771"/>
      <c r="Q24" s="771">
        <f t="shared" si="5"/>
        <v>-17.707559234880307</v>
      </c>
      <c r="R24" s="771">
        <f t="shared" si="2"/>
        <v>-7.1587777367872514E-8</v>
      </c>
      <c r="S24" s="775"/>
    </row>
    <row r="25" spans="1:19" x14ac:dyDescent="0.2">
      <c r="A25" s="768" t="s">
        <v>262</v>
      </c>
      <c r="B25" s="768">
        <v>2020</v>
      </c>
      <c r="C25" s="768"/>
      <c r="D25" s="768"/>
      <c r="E25" s="768"/>
      <c r="F25" s="768"/>
      <c r="G25" s="768"/>
      <c r="H25" s="768"/>
      <c r="I25" s="768"/>
      <c r="J25" s="768"/>
      <c r="K25" s="768"/>
      <c r="L25" s="768"/>
      <c r="M25" s="768"/>
      <c r="N25" s="768"/>
      <c r="O25" s="768"/>
      <c r="P25" s="768"/>
      <c r="Q25" s="768"/>
      <c r="R25" s="774">
        <f t="shared" si="2"/>
        <v>0</v>
      </c>
      <c r="S25" s="775"/>
    </row>
    <row r="26" spans="1:19" x14ac:dyDescent="0.2">
      <c r="A26" s="769"/>
      <c r="B26" s="768">
        <v>2021</v>
      </c>
      <c r="C26" s="768"/>
      <c r="D26" s="768"/>
      <c r="E26" s="768"/>
      <c r="F26" s="768"/>
      <c r="G26" s="768"/>
      <c r="H26" s="768"/>
      <c r="I26" s="768"/>
      <c r="J26" s="768"/>
      <c r="K26" s="768"/>
      <c r="L26" s="768"/>
      <c r="M26" s="768"/>
      <c r="N26" s="768"/>
      <c r="O26" s="768"/>
      <c r="P26" s="768"/>
      <c r="Q26" s="768"/>
      <c r="R26" s="774">
        <f t="shared" si="2"/>
        <v>0</v>
      </c>
      <c r="S26" s="775"/>
    </row>
    <row r="27" spans="1:19" x14ac:dyDescent="0.2">
      <c r="A27" s="769"/>
      <c r="B27" s="768">
        <v>2022</v>
      </c>
      <c r="C27" s="768"/>
      <c r="D27" s="768"/>
      <c r="E27" s="768"/>
      <c r="F27" s="768"/>
      <c r="G27" s="768"/>
      <c r="H27" s="768"/>
      <c r="I27" s="768"/>
      <c r="J27" s="768"/>
      <c r="K27" s="768"/>
      <c r="L27" s="768"/>
      <c r="M27" s="768"/>
      <c r="N27" s="768"/>
      <c r="O27" s="768"/>
      <c r="P27" s="768"/>
      <c r="Q27" s="768"/>
      <c r="R27" s="774">
        <f t="shared" si="2"/>
        <v>0</v>
      </c>
      <c r="S27" s="775"/>
    </row>
    <row r="28" spans="1:19" x14ac:dyDescent="0.2">
      <c r="A28" s="773"/>
      <c r="B28" s="770" t="s">
        <v>430</v>
      </c>
      <c r="C28" s="771"/>
      <c r="D28" s="771"/>
      <c r="E28" s="771"/>
      <c r="F28" s="771"/>
      <c r="G28" s="771"/>
      <c r="H28" s="771"/>
      <c r="I28" s="771"/>
      <c r="J28" s="771"/>
      <c r="K28" s="771"/>
      <c r="L28" s="771"/>
      <c r="M28" s="771"/>
      <c r="N28" s="771"/>
      <c r="O28" s="771"/>
      <c r="P28" s="771"/>
      <c r="Q28" s="771"/>
      <c r="R28" s="771">
        <f t="shared" si="2"/>
        <v>0</v>
      </c>
      <c r="S28" s="775"/>
    </row>
    <row r="29" spans="1:19" ht="12.75" x14ac:dyDescent="0.2">
      <c r="A29" s="768" t="s">
        <v>263</v>
      </c>
      <c r="B29" s="768">
        <v>2020</v>
      </c>
      <c r="C29" s="768"/>
      <c r="D29" s="183">
        <v>257070</v>
      </c>
      <c r="E29" s="768"/>
      <c r="F29" s="183">
        <v>497126</v>
      </c>
      <c r="G29" s="768"/>
      <c r="H29" s="768"/>
      <c r="I29" s="768">
        <f t="shared" si="4"/>
        <v>754196</v>
      </c>
      <c r="J29" s="768"/>
      <c r="K29" s="768"/>
      <c r="L29" s="183">
        <v>10000</v>
      </c>
      <c r="M29" s="768"/>
      <c r="N29" s="768">
        <f t="shared" si="0"/>
        <v>10000</v>
      </c>
      <c r="O29" s="768"/>
      <c r="P29" s="768"/>
      <c r="Q29" s="768">
        <f t="shared" si="1"/>
        <v>764196</v>
      </c>
      <c r="R29" s="774">
        <f t="shared" si="2"/>
        <v>3.0894767815124288E-3</v>
      </c>
      <c r="S29" s="775"/>
    </row>
    <row r="30" spans="1:19" ht="12.75" x14ac:dyDescent="0.2">
      <c r="A30" s="769"/>
      <c r="B30" s="768">
        <v>2021</v>
      </c>
      <c r="C30" s="768"/>
      <c r="D30" s="183">
        <v>309063</v>
      </c>
      <c r="E30" s="768"/>
      <c r="F30" s="183">
        <v>493424</v>
      </c>
      <c r="G30"/>
      <c r="H30" s="768"/>
      <c r="I30" s="768">
        <f t="shared" si="4"/>
        <v>802487</v>
      </c>
      <c r="J30" s="768"/>
      <c r="K30" s="768"/>
      <c r="L30" s="768"/>
      <c r="M30" s="768"/>
      <c r="N30" s="768">
        <f t="shared" si="0"/>
        <v>0</v>
      </c>
      <c r="O30" s="768"/>
      <c r="P30" s="768"/>
      <c r="Q30" s="768">
        <f t="shared" si="1"/>
        <v>802487</v>
      </c>
      <c r="R30" s="774">
        <f t="shared" si="2"/>
        <v>3.2442788943746951E-3</v>
      </c>
      <c r="S30" s="775"/>
    </row>
    <row r="31" spans="1:19" ht="12.75" x14ac:dyDescent="0.2">
      <c r="A31" s="769"/>
      <c r="B31" s="768">
        <v>2022</v>
      </c>
      <c r="C31" s="768"/>
      <c r="D31" s="183">
        <v>300923</v>
      </c>
      <c r="E31" s="768"/>
      <c r="F31" s="183">
        <v>356105</v>
      </c>
      <c r="G31" s="768"/>
      <c r="H31" s="768"/>
      <c r="I31" s="768">
        <f t="shared" si="4"/>
        <v>657028</v>
      </c>
      <c r="J31" s="768"/>
      <c r="K31" s="768"/>
      <c r="L31" s="768"/>
      <c r="M31" s="768"/>
      <c r="N31" s="768">
        <f t="shared" si="0"/>
        <v>0</v>
      </c>
      <c r="O31" s="768"/>
      <c r="P31" s="768"/>
      <c r="Q31" s="768">
        <f t="shared" si="1"/>
        <v>657028</v>
      </c>
      <c r="R31" s="774">
        <f t="shared" si="2"/>
        <v>2.6562200676312729E-3</v>
      </c>
      <c r="S31" s="775"/>
    </row>
    <row r="32" spans="1:19" x14ac:dyDescent="0.2">
      <c r="A32" s="773"/>
      <c r="B32" s="770" t="s">
        <v>430</v>
      </c>
      <c r="C32" s="771"/>
      <c r="D32" s="771">
        <f>D31*100/D30-100</f>
        <v>-2.6337672254524165</v>
      </c>
      <c r="E32" s="771"/>
      <c r="F32" s="771">
        <f t="shared" ref="F32:Q32" si="6">F31*100/F30-100</f>
        <v>-27.829817763221897</v>
      </c>
      <c r="G32" s="771"/>
      <c r="H32" s="771"/>
      <c r="I32" s="771">
        <f t="shared" si="6"/>
        <v>-18.126025717550561</v>
      </c>
      <c r="J32" s="771"/>
      <c r="K32" s="771"/>
      <c r="L32" s="771"/>
      <c r="M32" s="771"/>
      <c r="N32" s="771"/>
      <c r="O32" s="771"/>
      <c r="P32" s="771"/>
      <c r="Q32" s="771">
        <f t="shared" si="6"/>
        <v>-18.126025717550561</v>
      </c>
      <c r="R32" s="771">
        <f t="shared" si="2"/>
        <v>-7.3279545555681561E-8</v>
      </c>
      <c r="S32" s="775"/>
    </row>
    <row r="33" spans="1:19" ht="12.75" x14ac:dyDescent="0.2">
      <c r="A33" s="768" t="s">
        <v>264</v>
      </c>
      <c r="B33" s="768">
        <v>2020</v>
      </c>
      <c r="C33" s="768"/>
      <c r="D33" s="768"/>
      <c r="E33" s="768"/>
      <c r="F33" s="183">
        <v>42547</v>
      </c>
      <c r="G33" s="768"/>
      <c r="H33" s="768"/>
      <c r="I33" s="768">
        <f t="shared" si="4"/>
        <v>42547</v>
      </c>
      <c r="J33" s="768"/>
      <c r="K33" s="768"/>
      <c r="L33" s="183">
        <v>8114690</v>
      </c>
      <c r="M33" s="768"/>
      <c r="N33" s="768">
        <f t="shared" si="0"/>
        <v>8114690</v>
      </c>
      <c r="O33" s="768"/>
      <c r="P33" s="768"/>
      <c r="Q33" s="768">
        <f t="shared" si="1"/>
        <v>8157237</v>
      </c>
      <c r="R33" s="774">
        <f t="shared" si="2"/>
        <v>3.2977919686564834E-2</v>
      </c>
      <c r="S33" s="775"/>
    </row>
    <row r="34" spans="1:19" ht="12.75" x14ac:dyDescent="0.2">
      <c r="A34" s="769"/>
      <c r="B34" s="768">
        <v>2021</v>
      </c>
      <c r="C34" s="768"/>
      <c r="D34" s="768"/>
      <c r="E34" s="768"/>
      <c r="F34" s="183">
        <v>43276</v>
      </c>
      <c r="G34"/>
      <c r="H34" s="768"/>
      <c r="I34" s="768">
        <f t="shared" si="4"/>
        <v>43276</v>
      </c>
      <c r="J34" s="768"/>
      <c r="K34" s="768"/>
      <c r="L34" s="768"/>
      <c r="M34" s="768"/>
      <c r="N34" s="768">
        <f t="shared" si="0"/>
        <v>0</v>
      </c>
      <c r="O34" s="768"/>
      <c r="P34" s="768"/>
      <c r="Q34" s="768">
        <f t="shared" si="1"/>
        <v>43276</v>
      </c>
      <c r="R34" s="774">
        <f t="shared" si="2"/>
        <v>1.7495537427143282E-4</v>
      </c>
      <c r="S34" s="775"/>
    </row>
    <row r="35" spans="1:19" ht="12.75" x14ac:dyDescent="0.2">
      <c r="A35" s="769"/>
      <c r="B35" s="768">
        <v>2022</v>
      </c>
      <c r="C35" s="768"/>
      <c r="D35" s="768"/>
      <c r="E35" s="768"/>
      <c r="F35" s="183">
        <v>41090</v>
      </c>
      <c r="G35" s="768"/>
      <c r="H35" s="768"/>
      <c r="I35" s="768">
        <f t="shared" si="4"/>
        <v>41090</v>
      </c>
      <c r="J35" s="768"/>
      <c r="K35" s="768"/>
      <c r="L35" s="183">
        <v>2500000</v>
      </c>
      <c r="M35" s="768"/>
      <c r="N35" s="768">
        <f t="shared" si="0"/>
        <v>2500000</v>
      </c>
      <c r="O35" s="768"/>
      <c r="P35" s="768"/>
      <c r="Q35" s="768">
        <f t="shared" si="1"/>
        <v>2541090</v>
      </c>
      <c r="R35" s="774">
        <f t="shared" si="2"/>
        <v>1.0273069415089084E-2</v>
      </c>
      <c r="S35" s="775"/>
    </row>
    <row r="36" spans="1:19" x14ac:dyDescent="0.2">
      <c r="A36" s="773"/>
      <c r="B36" s="770" t="s">
        <v>430</v>
      </c>
      <c r="C36" s="771"/>
      <c r="D36" s="771"/>
      <c r="E36" s="771"/>
      <c r="F36" s="771">
        <f>F35*100/F34-100</f>
        <v>-5.0512986412792316</v>
      </c>
      <c r="G36" s="771"/>
      <c r="H36" s="771"/>
      <c r="I36" s="771">
        <f t="shared" ref="I36:Q36" si="7">I35*100/I34-100</f>
        <v>-5.0512986412792316</v>
      </c>
      <c r="J36" s="771"/>
      <c r="K36" s="771"/>
      <c r="L36" s="771"/>
      <c r="M36" s="771"/>
      <c r="N36" s="771"/>
      <c r="O36" s="771"/>
      <c r="P36" s="771"/>
      <c r="Q36" s="771">
        <f t="shared" si="7"/>
        <v>5771.8227192901377</v>
      </c>
      <c r="R36" s="772">
        <f t="shared" si="2"/>
        <v>2.3334213053003168E-5</v>
      </c>
      <c r="S36" s="775"/>
    </row>
    <row r="37" spans="1:19" ht="12.75" x14ac:dyDescent="0.2">
      <c r="A37" s="768" t="s">
        <v>265</v>
      </c>
      <c r="B37" s="768">
        <v>2020</v>
      </c>
      <c r="C37" s="768"/>
      <c r="D37" s="183">
        <v>312125</v>
      </c>
      <c r="E37" s="768"/>
      <c r="F37" s="183">
        <v>157757</v>
      </c>
      <c r="G37" s="768"/>
      <c r="H37" s="768"/>
      <c r="I37" s="768">
        <f t="shared" si="4"/>
        <v>469882</v>
      </c>
      <c r="J37" s="768"/>
      <c r="K37" s="768"/>
      <c r="L37" s="183">
        <v>28776765</v>
      </c>
      <c r="M37" s="768"/>
      <c r="N37" s="768">
        <f t="shared" si="0"/>
        <v>28776765</v>
      </c>
      <c r="O37" s="768"/>
      <c r="P37" s="768"/>
      <c r="Q37" s="768">
        <f t="shared" si="1"/>
        <v>29246647</v>
      </c>
      <c r="R37" s="774">
        <f t="shared" si="2"/>
        <v>0.11823777779992323</v>
      </c>
      <c r="S37" s="775"/>
    </row>
    <row r="38" spans="1:19" ht="12.75" x14ac:dyDescent="0.2">
      <c r="A38" s="769"/>
      <c r="B38" s="768">
        <v>2021</v>
      </c>
      <c r="C38" s="768"/>
      <c r="D38" s="183">
        <v>209705</v>
      </c>
      <c r="E38" s="768"/>
      <c r="F38" s="183">
        <v>113246</v>
      </c>
      <c r="G38"/>
      <c r="H38" s="768"/>
      <c r="I38" s="768">
        <f t="shared" si="4"/>
        <v>322951</v>
      </c>
      <c r="J38" s="768"/>
      <c r="K38" s="768"/>
      <c r="L38" s="183">
        <v>14542886</v>
      </c>
      <c r="M38" s="768"/>
      <c r="N38" s="768">
        <f t="shared" si="0"/>
        <v>14542886</v>
      </c>
      <c r="O38" s="768"/>
      <c r="P38" s="768"/>
      <c r="Q38" s="768">
        <f t="shared" si="1"/>
        <v>14865837</v>
      </c>
      <c r="R38" s="774">
        <f t="shared" si="2"/>
        <v>6.0099317778748357E-2</v>
      </c>
      <c r="S38" s="775"/>
    </row>
    <row r="39" spans="1:19" ht="12.75" x14ac:dyDescent="0.2">
      <c r="A39" s="769"/>
      <c r="B39" s="768">
        <v>2022</v>
      </c>
      <c r="C39" s="768"/>
      <c r="D39" s="183">
        <v>198709</v>
      </c>
      <c r="E39" s="768"/>
      <c r="F39" s="183">
        <v>144208</v>
      </c>
      <c r="G39" s="768"/>
      <c r="H39" s="768"/>
      <c r="I39" s="768">
        <f t="shared" si="4"/>
        <v>342917</v>
      </c>
      <c r="J39" s="768"/>
      <c r="K39" s="768"/>
      <c r="L39" s="183">
        <v>1800001</v>
      </c>
      <c r="M39" s="768"/>
      <c r="N39" s="768">
        <f t="shared" si="0"/>
        <v>1800001</v>
      </c>
      <c r="O39" s="768"/>
      <c r="P39" s="768"/>
      <c r="Q39" s="768">
        <f t="shared" si="1"/>
        <v>2142918</v>
      </c>
      <c r="R39" s="774">
        <f t="shared" si="2"/>
        <v>8.6633473685874453E-3</v>
      </c>
      <c r="S39" s="775"/>
    </row>
    <row r="40" spans="1:19" x14ac:dyDescent="0.2">
      <c r="A40" s="773"/>
      <c r="B40" s="770" t="s">
        <v>430</v>
      </c>
      <c r="C40" s="771"/>
      <c r="D40" s="771">
        <f>D39*100/D38-100</f>
        <v>-5.2435564245010795</v>
      </c>
      <c r="E40" s="771"/>
      <c r="F40" s="771">
        <f t="shared" ref="F40:Q40" si="8">F39*100/F38-100</f>
        <v>27.340480016954245</v>
      </c>
      <c r="G40" s="771"/>
      <c r="H40" s="771"/>
      <c r="I40" s="771">
        <f t="shared" si="8"/>
        <v>6.1823620301531861</v>
      </c>
      <c r="J40" s="771"/>
      <c r="K40" s="771"/>
      <c r="L40" s="771">
        <f t="shared" si="8"/>
        <v>-87.622807467513667</v>
      </c>
      <c r="M40" s="771"/>
      <c r="N40" s="771">
        <f t="shared" si="8"/>
        <v>-87.622807467513667</v>
      </c>
      <c r="O40" s="771"/>
      <c r="P40" s="771"/>
      <c r="Q40" s="771">
        <f t="shared" si="8"/>
        <v>-85.584948899950945</v>
      </c>
      <c r="R40" s="772">
        <f t="shared" si="2"/>
        <v>-3.4600117309345528E-7</v>
      </c>
      <c r="S40" s="775"/>
    </row>
    <row r="41" spans="1:19" ht="12.75" x14ac:dyDescent="0.2">
      <c r="A41" s="768" t="s">
        <v>266</v>
      </c>
      <c r="B41" s="768">
        <v>2020</v>
      </c>
      <c r="C41" s="768"/>
      <c r="D41" s="183">
        <v>1304067</v>
      </c>
      <c r="E41" s="768"/>
      <c r="F41" s="183">
        <v>1923080</v>
      </c>
      <c r="G41" s="768"/>
      <c r="H41" s="768"/>
      <c r="I41" s="768">
        <f t="shared" si="4"/>
        <v>3227147</v>
      </c>
      <c r="J41" s="768"/>
      <c r="K41" s="768"/>
      <c r="L41" s="183">
        <v>8309267</v>
      </c>
      <c r="M41" s="768"/>
      <c r="N41" s="768">
        <f t="shared" si="0"/>
        <v>8309267</v>
      </c>
      <c r="O41" s="768"/>
      <c r="P41" s="768"/>
      <c r="Q41" s="768">
        <f t="shared" si="1"/>
        <v>11536414</v>
      </c>
      <c r="R41" s="774">
        <f t="shared" si="2"/>
        <v>4.6639190986232495E-2</v>
      </c>
      <c r="S41" s="775"/>
    </row>
    <row r="42" spans="1:19" ht="12.75" x14ac:dyDescent="0.2">
      <c r="A42" s="769"/>
      <c r="B42" s="768">
        <v>2021</v>
      </c>
      <c r="C42" s="768"/>
      <c r="D42" s="183">
        <v>1301236</v>
      </c>
      <c r="E42" s="768"/>
      <c r="F42" s="183">
        <v>1670095</v>
      </c>
      <c r="G42"/>
      <c r="H42" s="768"/>
      <c r="I42" s="768">
        <f t="shared" si="4"/>
        <v>2971331</v>
      </c>
      <c r="J42" s="768"/>
      <c r="K42" s="768"/>
      <c r="L42" s="183">
        <v>2850000</v>
      </c>
      <c r="M42" s="768"/>
      <c r="N42" s="768">
        <f t="shared" si="0"/>
        <v>2850000</v>
      </c>
      <c r="O42" s="768"/>
      <c r="P42" s="768"/>
      <c r="Q42" s="768">
        <f t="shared" si="1"/>
        <v>5821331</v>
      </c>
      <c r="R42" s="774">
        <f t="shared" si="2"/>
        <v>2.3534364170969921E-2</v>
      </c>
      <c r="S42" s="775"/>
    </row>
    <row r="43" spans="1:19" ht="12.75" x14ac:dyDescent="0.2">
      <c r="A43" s="769"/>
      <c r="B43" s="768">
        <v>2022</v>
      </c>
      <c r="C43" s="768"/>
      <c r="D43" s="183">
        <v>1291453</v>
      </c>
      <c r="E43" s="768"/>
      <c r="F43" s="183">
        <v>1369876</v>
      </c>
      <c r="G43" s="768"/>
      <c r="H43" s="768"/>
      <c r="I43" s="768">
        <f t="shared" si="4"/>
        <v>2661329</v>
      </c>
      <c r="J43" s="768"/>
      <c r="K43" s="768"/>
      <c r="L43" s="183">
        <v>6300000</v>
      </c>
      <c r="M43" s="768"/>
      <c r="N43" s="768">
        <f t="shared" si="0"/>
        <v>6300000</v>
      </c>
      <c r="O43" s="768"/>
      <c r="P43" s="768"/>
      <c r="Q43" s="768">
        <f t="shared" si="1"/>
        <v>8961329</v>
      </c>
      <c r="R43" s="774">
        <f t="shared" si="2"/>
        <v>3.6228687243840575E-2</v>
      </c>
      <c r="S43" s="775"/>
    </row>
    <row r="44" spans="1:19" x14ac:dyDescent="0.2">
      <c r="A44" s="773"/>
      <c r="B44" s="770" t="s">
        <v>430</v>
      </c>
      <c r="C44" s="771"/>
      <c r="D44" s="771">
        <f>D43*100/D42-100</f>
        <v>-0.7518236507443703</v>
      </c>
      <c r="E44" s="771"/>
      <c r="F44" s="771">
        <f t="shared" ref="F44:Q44" si="9">F43*100/F42-100</f>
        <v>-17.97616303264185</v>
      </c>
      <c r="G44" s="771"/>
      <c r="H44" s="771"/>
      <c r="I44" s="771">
        <f t="shared" si="9"/>
        <v>-10.433102202346362</v>
      </c>
      <c r="J44" s="771"/>
      <c r="K44" s="771"/>
      <c r="L44" s="771">
        <f>L43*100/L42-100</f>
        <v>121.05263157894737</v>
      </c>
      <c r="M44" s="771"/>
      <c r="N44" s="771">
        <f t="shared" si="9"/>
        <v>121.05263157894737</v>
      </c>
      <c r="O44" s="771"/>
      <c r="P44" s="771"/>
      <c r="Q44" s="771">
        <f t="shared" si="9"/>
        <v>53.939520016985796</v>
      </c>
      <c r="R44" s="772">
        <f t="shared" si="2"/>
        <v>2.180656463765873E-7</v>
      </c>
      <c r="S44" s="775"/>
    </row>
    <row r="45" spans="1:19" ht="12.75" x14ac:dyDescent="0.2">
      <c r="A45" s="768" t="s">
        <v>267</v>
      </c>
      <c r="B45" s="768">
        <v>2020</v>
      </c>
      <c r="C45" s="768"/>
      <c r="D45" s="183">
        <v>299153</v>
      </c>
      <c r="E45" s="768"/>
      <c r="F45" s="183">
        <v>232536</v>
      </c>
      <c r="G45" s="768"/>
      <c r="H45" s="768"/>
      <c r="I45" s="768">
        <f t="shared" si="4"/>
        <v>531689</v>
      </c>
      <c r="J45" s="768"/>
      <c r="K45" s="768"/>
      <c r="L45" s="183">
        <v>3150</v>
      </c>
      <c r="M45" s="768"/>
      <c r="N45" s="768">
        <f t="shared" si="0"/>
        <v>3150</v>
      </c>
      <c r="O45" s="768"/>
      <c r="P45" s="768"/>
      <c r="Q45" s="768">
        <f t="shared" si="1"/>
        <v>534839</v>
      </c>
      <c r="R45" s="774">
        <f t="shared" si="2"/>
        <v>2.1622367460014526E-3</v>
      </c>
      <c r="S45" s="775"/>
    </row>
    <row r="46" spans="1:19" ht="12.75" x14ac:dyDescent="0.2">
      <c r="A46" s="769"/>
      <c r="B46" s="768">
        <v>2021</v>
      </c>
      <c r="C46" s="768"/>
      <c r="D46" s="183">
        <v>321902</v>
      </c>
      <c r="E46" s="768"/>
      <c r="F46" s="183">
        <v>272636</v>
      </c>
      <c r="G46"/>
      <c r="H46" s="768"/>
      <c r="I46" s="768">
        <f t="shared" si="4"/>
        <v>594538</v>
      </c>
      <c r="J46" s="768"/>
      <c r="K46" s="768"/>
      <c r="L46" s="768"/>
      <c r="M46" s="768"/>
      <c r="N46" s="768"/>
      <c r="O46" s="768"/>
      <c r="P46" s="768"/>
      <c r="Q46" s="768">
        <f t="shared" si="1"/>
        <v>594538</v>
      </c>
      <c r="R46" s="774">
        <f t="shared" si="2"/>
        <v>2.4035867064559832E-3</v>
      </c>
      <c r="S46" s="775"/>
    </row>
    <row r="47" spans="1:19" ht="12.75" x14ac:dyDescent="0.2">
      <c r="A47" s="769"/>
      <c r="B47" s="768">
        <v>2022</v>
      </c>
      <c r="C47" s="768"/>
      <c r="D47" s="183">
        <v>315378</v>
      </c>
      <c r="E47" s="768"/>
      <c r="F47" s="183">
        <v>223412</v>
      </c>
      <c r="G47" s="768"/>
      <c r="H47" s="768"/>
      <c r="I47" s="768">
        <f t="shared" si="4"/>
        <v>538790</v>
      </c>
      <c r="J47" s="768"/>
      <c r="K47" s="768"/>
      <c r="L47" s="768"/>
      <c r="M47" s="768"/>
      <c r="N47" s="768"/>
      <c r="O47" s="768"/>
      <c r="P47" s="768"/>
      <c r="Q47" s="768">
        <f t="shared" si="1"/>
        <v>538790</v>
      </c>
      <c r="R47" s="774">
        <f t="shared" si="2"/>
        <v>2.1782097722457087E-3</v>
      </c>
      <c r="S47" s="775"/>
    </row>
    <row r="48" spans="1:19" x14ac:dyDescent="0.2">
      <c r="A48" s="773"/>
      <c r="B48" s="770" t="s">
        <v>430</v>
      </c>
      <c r="C48" s="771"/>
      <c r="D48" s="771">
        <f>D47*100/D46-100</f>
        <v>-2.0267037794111218</v>
      </c>
      <c r="E48" s="771"/>
      <c r="F48" s="771">
        <f t="shared" ref="F48:Q48" si="10">F47*100/F46-100</f>
        <v>-18.054842353907773</v>
      </c>
      <c r="G48" s="771"/>
      <c r="H48" s="771"/>
      <c r="I48" s="771">
        <f t="shared" si="10"/>
        <v>-9.3766924906397975</v>
      </c>
      <c r="J48" s="771"/>
      <c r="K48" s="771"/>
      <c r="L48" s="771"/>
      <c r="M48" s="771"/>
      <c r="N48" s="771"/>
      <c r="O48" s="771"/>
      <c r="P48" s="771"/>
      <c r="Q48" s="771">
        <f t="shared" si="10"/>
        <v>-9.3766924906397975</v>
      </c>
      <c r="R48" s="772">
        <f t="shared" si="2"/>
        <v>-3.7907910715593388E-8</v>
      </c>
      <c r="S48" s="775"/>
    </row>
    <row r="49" spans="1:19" ht="12.75" x14ac:dyDescent="0.2">
      <c r="A49" s="768" t="s">
        <v>268</v>
      </c>
      <c r="B49" s="768">
        <v>2020</v>
      </c>
      <c r="C49" s="768"/>
      <c r="D49" s="183">
        <v>82845</v>
      </c>
      <c r="E49" s="768"/>
      <c r="F49" s="183">
        <v>69857</v>
      </c>
      <c r="G49" s="768"/>
      <c r="H49" s="768"/>
      <c r="I49" s="768">
        <f t="shared" si="4"/>
        <v>152702</v>
      </c>
      <c r="J49" s="768"/>
      <c r="K49" s="768"/>
      <c r="L49" s="183">
        <v>400384</v>
      </c>
      <c r="M49" s="768"/>
      <c r="N49" s="768">
        <f t="shared" si="0"/>
        <v>400384</v>
      </c>
      <c r="O49" s="768"/>
      <c r="P49" s="768"/>
      <c r="Q49" s="768">
        <f t="shared" si="1"/>
        <v>553086</v>
      </c>
      <c r="R49" s="774">
        <f t="shared" si="2"/>
        <v>2.2360053640421871E-3</v>
      </c>
      <c r="S49" s="775"/>
    </row>
    <row r="50" spans="1:19" ht="12.75" x14ac:dyDescent="0.2">
      <c r="A50" s="769"/>
      <c r="B50" s="768">
        <v>2021</v>
      </c>
      <c r="C50" s="768"/>
      <c r="D50" s="183">
        <v>68405</v>
      </c>
      <c r="E50" s="768"/>
      <c r="F50" s="183">
        <v>97004</v>
      </c>
      <c r="G50"/>
      <c r="H50" s="768"/>
      <c r="I50" s="768">
        <f t="shared" si="4"/>
        <v>165409</v>
      </c>
      <c r="J50" s="768"/>
      <c r="K50" s="768"/>
      <c r="L50" s="183">
        <v>367173</v>
      </c>
      <c r="M50" s="768"/>
      <c r="N50" s="768">
        <f t="shared" si="0"/>
        <v>367173</v>
      </c>
      <c r="O50" s="768"/>
      <c r="P50" s="768"/>
      <c r="Q50" s="768">
        <f t="shared" si="1"/>
        <v>532582</v>
      </c>
      <c r="R50" s="774">
        <f t="shared" si="2"/>
        <v>2.1531121901337516E-3</v>
      </c>
      <c r="S50" s="775"/>
    </row>
    <row r="51" spans="1:19" ht="12.75" x14ac:dyDescent="0.2">
      <c r="A51" s="769"/>
      <c r="B51" s="768">
        <v>2022</v>
      </c>
      <c r="C51" s="768"/>
      <c r="D51" s="183">
        <v>68687</v>
      </c>
      <c r="E51" s="768"/>
      <c r="F51" s="183">
        <v>132065</v>
      </c>
      <c r="G51" s="768"/>
      <c r="H51" s="768"/>
      <c r="I51" s="768">
        <f t="shared" si="4"/>
        <v>200752</v>
      </c>
      <c r="J51" s="768"/>
      <c r="K51" s="768"/>
      <c r="L51" s="768"/>
      <c r="M51" s="768"/>
      <c r="N51" s="768">
        <f t="shared" si="0"/>
        <v>0</v>
      </c>
      <c r="O51" s="768"/>
      <c r="P51" s="768"/>
      <c r="Q51" s="768">
        <f t="shared" si="1"/>
        <v>200752</v>
      </c>
      <c r="R51" s="774">
        <f t="shared" si="2"/>
        <v>8.1159629576991132E-4</v>
      </c>
      <c r="S51" s="775"/>
    </row>
    <row r="52" spans="1:19" x14ac:dyDescent="0.2">
      <c r="A52" s="773"/>
      <c r="B52" s="770" t="s">
        <v>430</v>
      </c>
      <c r="C52" s="771"/>
      <c r="D52" s="771">
        <f>D51*100/D50-100</f>
        <v>0.41225056647905944</v>
      </c>
      <c r="E52" s="771"/>
      <c r="F52" s="771">
        <f t="shared" ref="F52:Q52" si="11">F51*100/F50-100</f>
        <v>36.143870355861623</v>
      </c>
      <c r="G52" s="771"/>
      <c r="H52" s="771"/>
      <c r="I52" s="771">
        <f t="shared" si="11"/>
        <v>21.367035651022618</v>
      </c>
      <c r="J52" s="771"/>
      <c r="K52" s="771"/>
      <c r="L52" s="771">
        <f>L51*100/L50-100</f>
        <v>-100</v>
      </c>
      <c r="M52" s="771"/>
      <c r="N52" s="771">
        <f t="shared" si="11"/>
        <v>-100</v>
      </c>
      <c r="O52" s="771"/>
      <c r="P52" s="771"/>
      <c r="Q52" s="771">
        <f t="shared" si="11"/>
        <v>-62.30589843441949</v>
      </c>
      <c r="R52" s="772">
        <f t="shared" si="2"/>
        <v>-2.5188907893316715E-7</v>
      </c>
      <c r="S52" s="775"/>
    </row>
    <row r="53" spans="1:19" ht="12.75" x14ac:dyDescent="0.2">
      <c r="A53" s="768" t="s">
        <v>269</v>
      </c>
      <c r="B53" s="768">
        <v>2020</v>
      </c>
      <c r="C53" s="768"/>
      <c r="D53" s="768"/>
      <c r="E53" s="768"/>
      <c r="F53" s="183">
        <v>73750</v>
      </c>
      <c r="G53" s="768"/>
      <c r="H53" s="768"/>
      <c r="I53" s="768">
        <f t="shared" si="4"/>
        <v>73750</v>
      </c>
      <c r="J53" s="768"/>
      <c r="K53" s="768"/>
      <c r="L53" s="768"/>
      <c r="M53" s="768"/>
      <c r="N53" s="768"/>
      <c r="O53" s="768"/>
      <c r="P53" s="768"/>
      <c r="Q53" s="768">
        <f t="shared" si="1"/>
        <v>73750</v>
      </c>
      <c r="R53" s="774">
        <f t="shared" si="2"/>
        <v>2.9815507099820155E-4</v>
      </c>
      <c r="S53" s="775"/>
    </row>
    <row r="54" spans="1:19" ht="12.75" x14ac:dyDescent="0.2">
      <c r="A54" s="769"/>
      <c r="B54" s="768">
        <v>2021</v>
      </c>
      <c r="C54" s="768"/>
      <c r="D54" s="768"/>
      <c r="E54" s="768"/>
      <c r="F54" s="183">
        <v>172682</v>
      </c>
      <c r="G54"/>
      <c r="H54" s="768"/>
      <c r="I54" s="768">
        <f t="shared" si="4"/>
        <v>172682</v>
      </c>
      <c r="J54" s="768"/>
      <c r="K54" s="768"/>
      <c r="L54" s="768"/>
      <c r="M54" s="768"/>
      <c r="N54" s="768"/>
      <c r="O54" s="768"/>
      <c r="P54" s="768"/>
      <c r="Q54" s="768">
        <f t="shared" si="1"/>
        <v>172682</v>
      </c>
      <c r="R54" s="774">
        <f t="shared" si="2"/>
        <v>6.9811544366252796E-4</v>
      </c>
      <c r="S54" s="775"/>
    </row>
    <row r="55" spans="1:19" ht="12.75" x14ac:dyDescent="0.2">
      <c r="A55" s="769"/>
      <c r="B55" s="768">
        <v>2022</v>
      </c>
      <c r="C55" s="768"/>
      <c r="D55" s="768"/>
      <c r="E55" s="768"/>
      <c r="F55" s="183">
        <v>85844</v>
      </c>
      <c r="G55" s="768"/>
      <c r="H55" s="768"/>
      <c r="I55" s="768">
        <f t="shared" si="4"/>
        <v>85844</v>
      </c>
      <c r="J55" s="768"/>
      <c r="K55" s="768"/>
      <c r="L55" s="768"/>
      <c r="M55" s="768"/>
      <c r="N55" s="768"/>
      <c r="O55" s="768"/>
      <c r="P55" s="768"/>
      <c r="Q55" s="768">
        <f t="shared" si="1"/>
        <v>85844</v>
      </c>
      <c r="R55" s="774">
        <f t="shared" si="2"/>
        <v>3.4704845986128293E-4</v>
      </c>
      <c r="S55" s="775"/>
    </row>
    <row r="56" spans="1:19" x14ac:dyDescent="0.2">
      <c r="A56" s="773"/>
      <c r="B56" s="770" t="s">
        <v>430</v>
      </c>
      <c r="C56" s="771"/>
      <c r="D56" s="771"/>
      <c r="E56" s="771"/>
      <c r="F56" s="771">
        <f t="shared" ref="F56:Q56" si="12">F55*100/F54-100</f>
        <v>-50.28781227921845</v>
      </c>
      <c r="G56" s="771"/>
      <c r="H56" s="771"/>
      <c r="I56" s="771">
        <f t="shared" si="12"/>
        <v>-50.28781227921845</v>
      </c>
      <c r="J56" s="771"/>
      <c r="K56" s="771"/>
      <c r="L56" s="771"/>
      <c r="M56" s="771"/>
      <c r="N56" s="771"/>
      <c r="O56" s="771"/>
      <c r="P56" s="771"/>
      <c r="Q56" s="771">
        <f t="shared" si="12"/>
        <v>-50.28781227921845</v>
      </c>
      <c r="R56" s="772">
        <f t="shared" si="2"/>
        <v>-2.0330259309090994E-7</v>
      </c>
      <c r="S56" s="775"/>
    </row>
    <row r="57" spans="1:19" ht="12.75" x14ac:dyDescent="0.2">
      <c r="A57" s="768" t="s">
        <v>270</v>
      </c>
      <c r="B57" s="768">
        <v>2020</v>
      </c>
      <c r="C57" s="768"/>
      <c r="D57" s="183">
        <v>108275</v>
      </c>
      <c r="E57" s="768"/>
      <c r="F57" s="183">
        <v>66757</v>
      </c>
      <c r="G57" s="768"/>
      <c r="H57" s="768"/>
      <c r="I57" s="768">
        <f>C57+D57+E57+F57+G57</f>
        <v>175032</v>
      </c>
      <c r="J57" s="768"/>
      <c r="K57" s="768"/>
      <c r="L57" s="183">
        <v>5000</v>
      </c>
      <c r="M57" s="768"/>
      <c r="N57" s="768">
        <f t="shared" si="0"/>
        <v>5000</v>
      </c>
      <c r="O57" s="768"/>
      <c r="P57" s="768"/>
      <c r="Q57" s="768">
        <f>I57+N57+P57</f>
        <v>180032</v>
      </c>
      <c r="R57" s="774">
        <f t="shared" si="2"/>
        <v>7.2782988124675551E-4</v>
      </c>
      <c r="S57" s="775"/>
    </row>
    <row r="58" spans="1:19" ht="12.75" x14ac:dyDescent="0.2">
      <c r="A58" s="769"/>
      <c r="B58" s="768">
        <v>2021</v>
      </c>
      <c r="C58" s="768"/>
      <c r="D58" s="183">
        <v>124555</v>
      </c>
      <c r="E58" s="768"/>
      <c r="F58" s="183">
        <v>94418</v>
      </c>
      <c r="G58"/>
      <c r="H58" s="768"/>
      <c r="I58" s="768">
        <f t="shared" si="4"/>
        <v>218973</v>
      </c>
      <c r="J58" s="768"/>
      <c r="K58" s="768"/>
      <c r="L58" s="768"/>
      <c r="M58" s="768"/>
      <c r="N58" s="768"/>
      <c r="O58" s="768"/>
      <c r="P58" s="768"/>
      <c r="Q58" s="768">
        <f t="shared" si="1"/>
        <v>218973</v>
      </c>
      <c r="R58" s="774">
        <f t="shared" si="2"/>
        <v>8.852598015144297E-4</v>
      </c>
      <c r="S58" s="775"/>
    </row>
    <row r="59" spans="1:19" ht="12.75" x14ac:dyDescent="0.2">
      <c r="A59" s="769"/>
      <c r="B59" s="768">
        <v>2022</v>
      </c>
      <c r="C59" s="768"/>
      <c r="D59" s="183">
        <v>125120</v>
      </c>
      <c r="E59" s="768"/>
      <c r="F59" s="183">
        <v>66480</v>
      </c>
      <c r="G59" s="768"/>
      <c r="H59" s="768"/>
      <c r="I59" s="768">
        <f t="shared" si="4"/>
        <v>191600</v>
      </c>
      <c r="J59" s="768"/>
      <c r="K59" s="768"/>
      <c r="L59" s="768"/>
      <c r="M59" s="768"/>
      <c r="N59" s="768"/>
      <c r="O59" s="768"/>
      <c r="P59" s="768"/>
      <c r="Q59" s="768">
        <f t="shared" si="1"/>
        <v>191600</v>
      </c>
      <c r="R59" s="774">
        <f t="shared" si="2"/>
        <v>7.7459676750176831E-4</v>
      </c>
      <c r="S59" s="775"/>
    </row>
    <row r="60" spans="1:19" x14ac:dyDescent="0.2">
      <c r="A60" s="773"/>
      <c r="B60" s="770" t="s">
        <v>430</v>
      </c>
      <c r="C60" s="771"/>
      <c r="D60" s="771">
        <f>D59*100/D58-100</f>
        <v>0.45361486893339986</v>
      </c>
      <c r="E60" s="771"/>
      <c r="F60" s="771">
        <f t="shared" ref="F60:Q60" si="13">F59*100/F58-100</f>
        <v>-29.589696879832232</v>
      </c>
      <c r="G60" s="771"/>
      <c r="H60" s="771"/>
      <c r="I60" s="771">
        <f t="shared" si="13"/>
        <v>-12.500627931297473</v>
      </c>
      <c r="J60" s="771"/>
      <c r="K60" s="771"/>
      <c r="L60" s="771"/>
      <c r="M60" s="771"/>
      <c r="N60" s="771"/>
      <c r="O60" s="771"/>
      <c r="P60" s="771"/>
      <c r="Q60" s="771">
        <f t="shared" si="13"/>
        <v>-12.500627931297473</v>
      </c>
      <c r="R60" s="772">
        <f t="shared" si="2"/>
        <v>-5.0537296384787784E-8</v>
      </c>
      <c r="S60" s="775"/>
    </row>
    <row r="61" spans="1:19" ht="15" x14ac:dyDescent="0.25">
      <c r="A61" s="768" t="s">
        <v>271</v>
      </c>
      <c r="B61" s="768">
        <v>2020</v>
      </c>
      <c r="C61" s="768"/>
      <c r="D61" s="183">
        <v>914693</v>
      </c>
      <c r="E61" s="183">
        <v>8000</v>
      </c>
      <c r="F61" s="183">
        <v>13765782</v>
      </c>
      <c r="G61" s="768"/>
      <c r="H61" s="768"/>
      <c r="I61" s="768">
        <f t="shared" si="4"/>
        <v>14688475</v>
      </c>
      <c r="J61" s="768"/>
      <c r="K61" s="768"/>
      <c r="L61" s="776">
        <v>80992254</v>
      </c>
      <c r="M61" s="768"/>
      <c r="N61" s="768">
        <f t="shared" si="0"/>
        <v>80992254</v>
      </c>
      <c r="O61" s="768"/>
      <c r="P61" s="768"/>
      <c r="Q61" s="768">
        <f t="shared" si="1"/>
        <v>95680729</v>
      </c>
      <c r="R61" s="774">
        <f t="shared" si="2"/>
        <v>0.38681619726311434</v>
      </c>
      <c r="S61" s="775"/>
    </row>
    <row r="62" spans="1:19" ht="12.75" x14ac:dyDescent="0.2">
      <c r="A62" s="769"/>
      <c r="B62" s="768">
        <v>2021</v>
      </c>
      <c r="C62" s="768"/>
      <c r="D62" s="183">
        <v>896105</v>
      </c>
      <c r="E62" s="768"/>
      <c r="F62" s="183">
        <v>1143424</v>
      </c>
      <c r="G62"/>
      <c r="H62" s="768"/>
      <c r="I62" s="768">
        <f t="shared" si="4"/>
        <v>2039529</v>
      </c>
      <c r="J62" s="768"/>
      <c r="K62" s="768"/>
      <c r="L62" s="183">
        <v>105132548</v>
      </c>
      <c r="M62" s="768"/>
      <c r="N62" s="768">
        <f t="shared" si="0"/>
        <v>105132548</v>
      </c>
      <c r="O62" s="768"/>
      <c r="P62" s="768"/>
      <c r="Q62" s="768">
        <f t="shared" si="1"/>
        <v>107172077</v>
      </c>
      <c r="R62" s="774">
        <f t="shared" si="2"/>
        <v>0.43327319629775896</v>
      </c>
      <c r="S62" s="775"/>
    </row>
    <row r="63" spans="1:19" ht="12.75" x14ac:dyDescent="0.2">
      <c r="A63" s="769"/>
      <c r="B63" s="768">
        <v>2022</v>
      </c>
      <c r="C63" s="768"/>
      <c r="D63" s="183">
        <v>966789</v>
      </c>
      <c r="E63" s="183">
        <v>8047</v>
      </c>
      <c r="F63" s="183">
        <v>18697142</v>
      </c>
      <c r="G63" s="768"/>
      <c r="H63" s="768"/>
      <c r="I63" s="768">
        <f t="shared" si="4"/>
        <v>19671978</v>
      </c>
      <c r="J63" s="768"/>
      <c r="K63" s="768"/>
      <c r="L63" s="183">
        <v>125718401</v>
      </c>
      <c r="M63" s="768"/>
      <c r="N63" s="768">
        <f t="shared" si="0"/>
        <v>125718401</v>
      </c>
      <c r="O63" s="768"/>
      <c r="P63" s="768"/>
      <c r="Q63" s="768">
        <f t="shared" si="1"/>
        <v>145390379</v>
      </c>
      <c r="R63" s="774">
        <f t="shared" si="2"/>
        <v>0.58778140709424309</v>
      </c>
      <c r="S63" s="775"/>
    </row>
    <row r="64" spans="1:19" x14ac:dyDescent="0.2">
      <c r="A64" s="773"/>
      <c r="B64" s="770" t="s">
        <v>430</v>
      </c>
      <c r="C64" s="771"/>
      <c r="D64" s="771">
        <f>D63*100/D62-100</f>
        <v>7.8879149206845227</v>
      </c>
      <c r="E64" s="771"/>
      <c r="F64" s="771">
        <f>F63*100/F62-100</f>
        <v>1535.1888713198255</v>
      </c>
      <c r="G64" s="771"/>
      <c r="H64" s="771"/>
      <c r="I64" s="771">
        <f>I63*100/I62-100</f>
        <v>864.53534124790576</v>
      </c>
      <c r="J64" s="771"/>
      <c r="K64" s="771"/>
      <c r="L64" s="771">
        <f t="shared" ref="L64:Q64" si="14">L63*100/L62-100</f>
        <v>19.580856158836752</v>
      </c>
      <c r="M64" s="771"/>
      <c r="N64" s="771">
        <f t="shared" si="14"/>
        <v>19.580856158836752</v>
      </c>
      <c r="O64" s="771"/>
      <c r="P64" s="771"/>
      <c r="Q64" s="771">
        <f t="shared" si="14"/>
        <v>35.660689864207825</v>
      </c>
      <c r="R64" s="772">
        <f t="shared" si="2"/>
        <v>1.4416834601095228E-7</v>
      </c>
      <c r="S64" s="775"/>
    </row>
    <row r="65" spans="1:19" ht="12.75" x14ac:dyDescent="0.2">
      <c r="A65" s="768" t="s">
        <v>272</v>
      </c>
      <c r="B65" s="768">
        <v>2020</v>
      </c>
      <c r="C65" s="768"/>
      <c r="D65" s="768"/>
      <c r="E65" s="768"/>
      <c r="F65" s="183">
        <v>580010</v>
      </c>
      <c r="G65" s="768"/>
      <c r="H65" s="768"/>
      <c r="I65" s="768">
        <f t="shared" si="4"/>
        <v>580010</v>
      </c>
      <c r="J65" s="768"/>
      <c r="K65" s="768"/>
      <c r="L65" s="768"/>
      <c r="M65" s="768"/>
      <c r="N65" s="768"/>
      <c r="O65" s="768"/>
      <c r="P65" s="768"/>
      <c r="Q65" s="768">
        <f t="shared" si="1"/>
        <v>580010</v>
      </c>
      <c r="R65" s="774">
        <f t="shared" si="2"/>
        <v>2.3448531895548051E-3</v>
      </c>
      <c r="S65" s="775"/>
    </row>
    <row r="66" spans="1:19" ht="12.75" x14ac:dyDescent="0.2">
      <c r="A66" s="769"/>
      <c r="B66" s="768">
        <v>2021</v>
      </c>
      <c r="C66" s="768"/>
      <c r="D66" s="768"/>
      <c r="E66" s="768"/>
      <c r="F66" s="183">
        <v>376124</v>
      </c>
      <c r="G66"/>
      <c r="H66" s="768"/>
      <c r="I66" s="768">
        <f t="shared" si="4"/>
        <v>376124</v>
      </c>
      <c r="J66" s="768"/>
      <c r="K66" s="768"/>
      <c r="L66" s="768"/>
      <c r="M66" s="768"/>
      <c r="N66" s="768"/>
      <c r="O66" s="768"/>
      <c r="P66" s="768"/>
      <c r="Q66" s="768">
        <f t="shared" si="1"/>
        <v>376124</v>
      </c>
      <c r="R66" s="774">
        <f t="shared" si="2"/>
        <v>1.5205868193102043E-3</v>
      </c>
      <c r="S66" s="775"/>
    </row>
    <row r="67" spans="1:19" x14ac:dyDescent="0.2">
      <c r="A67" s="769"/>
      <c r="B67" s="768">
        <v>2022</v>
      </c>
      <c r="C67" s="768"/>
      <c r="D67" s="768"/>
      <c r="E67" s="768"/>
      <c r="F67" s="768"/>
      <c r="G67" s="768"/>
      <c r="H67" s="768"/>
      <c r="I67" s="768">
        <f t="shared" si="4"/>
        <v>0</v>
      </c>
      <c r="J67" s="768"/>
      <c r="K67" s="768"/>
      <c r="L67" s="768"/>
      <c r="M67" s="768"/>
      <c r="N67" s="768"/>
      <c r="O67" s="768"/>
      <c r="P67" s="768"/>
      <c r="Q67" s="768">
        <f t="shared" si="1"/>
        <v>0</v>
      </c>
      <c r="R67" s="774">
        <f t="shared" si="2"/>
        <v>0</v>
      </c>
      <c r="S67" s="775"/>
    </row>
    <row r="68" spans="1:19" x14ac:dyDescent="0.2">
      <c r="A68" s="773"/>
      <c r="B68" s="770" t="s">
        <v>430</v>
      </c>
      <c r="C68" s="771"/>
      <c r="D68" s="771"/>
      <c r="E68" s="771"/>
      <c r="F68" s="771">
        <f>F67*100/F66-100</f>
        <v>-100</v>
      </c>
      <c r="G68" s="771"/>
      <c r="H68" s="771"/>
      <c r="I68" s="771">
        <f t="shared" ref="I68:Q68" si="15">I67*100/I66-100</f>
        <v>-100</v>
      </c>
      <c r="J68" s="771"/>
      <c r="K68" s="771"/>
      <c r="L68" s="771"/>
      <c r="M68" s="771"/>
      <c r="N68" s="771"/>
      <c r="O68" s="771"/>
      <c r="P68" s="771"/>
      <c r="Q68" s="771">
        <f t="shared" si="15"/>
        <v>-100</v>
      </c>
      <c r="R68" s="772">
        <f t="shared" si="2"/>
        <v>-4.0427806237044279E-7</v>
      </c>
      <c r="S68" s="775"/>
    </row>
    <row r="69" spans="1:19" ht="12.75" x14ac:dyDescent="0.2">
      <c r="A69" s="768" t="s">
        <v>273</v>
      </c>
      <c r="B69" s="768">
        <v>2020</v>
      </c>
      <c r="C69" s="768"/>
      <c r="D69" s="768"/>
      <c r="E69" s="768"/>
      <c r="F69" s="183">
        <v>2304884</v>
      </c>
      <c r="G69" s="768"/>
      <c r="H69" s="768"/>
      <c r="I69" s="768">
        <f t="shared" si="4"/>
        <v>2304884</v>
      </c>
      <c r="J69" s="768"/>
      <c r="K69" s="768"/>
      <c r="L69" s="183">
        <v>1170648</v>
      </c>
      <c r="M69" s="768"/>
      <c r="N69" s="768">
        <f t="shared" si="0"/>
        <v>1170648</v>
      </c>
      <c r="O69" s="768"/>
      <c r="P69" s="768"/>
      <c r="Q69" s="768">
        <f t="shared" si="1"/>
        <v>3475532</v>
      </c>
      <c r="R69" s="774">
        <f t="shared" si="2"/>
        <v>1.4050813426664697E-2</v>
      </c>
      <c r="S69" s="775"/>
    </row>
    <row r="70" spans="1:19" ht="12.75" x14ac:dyDescent="0.2">
      <c r="A70" s="769"/>
      <c r="B70" s="768">
        <v>2021</v>
      </c>
      <c r="C70" s="768"/>
      <c r="D70" s="768"/>
      <c r="E70" s="768"/>
      <c r="F70" s="183">
        <v>2296461</v>
      </c>
      <c r="G70"/>
      <c r="H70" s="768"/>
      <c r="I70" s="768">
        <f t="shared" si="4"/>
        <v>2296461</v>
      </c>
      <c r="J70" s="768"/>
      <c r="K70" s="768"/>
      <c r="L70" s="183">
        <v>3666960</v>
      </c>
      <c r="M70" s="768"/>
      <c r="N70" s="768">
        <f t="shared" si="0"/>
        <v>3666960</v>
      </c>
      <c r="O70" s="768"/>
      <c r="P70" s="768"/>
      <c r="Q70" s="768">
        <f t="shared" si="1"/>
        <v>5963421</v>
      </c>
      <c r="R70" s="774">
        <f t="shared" si="2"/>
        <v>2.4108802869792081E-2</v>
      </c>
      <c r="S70" s="775"/>
    </row>
    <row r="71" spans="1:19" ht="12.75" x14ac:dyDescent="0.2">
      <c r="A71" s="769"/>
      <c r="B71" s="768">
        <v>2022</v>
      </c>
      <c r="C71" s="768"/>
      <c r="D71" s="768"/>
      <c r="E71" s="768"/>
      <c r="F71" s="183">
        <v>2311950</v>
      </c>
      <c r="G71" s="768"/>
      <c r="H71" s="768"/>
      <c r="I71" s="768">
        <f t="shared" si="4"/>
        <v>2311950</v>
      </c>
      <c r="J71" s="768"/>
      <c r="K71" s="768"/>
      <c r="L71" s="183">
        <v>2500000</v>
      </c>
      <c r="M71" s="768"/>
      <c r="N71" s="768">
        <f t="shared" si="0"/>
        <v>2500000</v>
      </c>
      <c r="O71" s="768"/>
      <c r="P71" s="768"/>
      <c r="Q71" s="768">
        <f t="shared" si="1"/>
        <v>4811950</v>
      </c>
      <c r="R71" s="774">
        <f t="shared" si="2"/>
        <v>1.9453658222234521E-2</v>
      </c>
      <c r="S71" s="775"/>
    </row>
    <row r="72" spans="1:19" x14ac:dyDescent="0.2">
      <c r="A72" s="773"/>
      <c r="B72" s="770" t="s">
        <v>430</v>
      </c>
      <c r="C72" s="771"/>
      <c r="D72" s="771"/>
      <c r="E72" s="771"/>
      <c r="F72" s="771">
        <f>F71*100/F70-100</f>
        <v>0.67447259065144749</v>
      </c>
      <c r="G72" s="771"/>
      <c r="H72" s="771"/>
      <c r="I72" s="771">
        <f t="shared" ref="I72:Q72" si="16">I71*100/I70-100</f>
        <v>0.67447259065144749</v>
      </c>
      <c r="J72" s="771"/>
      <c r="K72" s="771"/>
      <c r="L72" s="771">
        <f t="shared" si="16"/>
        <v>-31.823635927307635</v>
      </c>
      <c r="M72" s="771"/>
      <c r="N72" s="771">
        <f t="shared" si="16"/>
        <v>-31.823635927307635</v>
      </c>
      <c r="O72" s="771"/>
      <c r="P72" s="771"/>
      <c r="Q72" s="771">
        <f t="shared" si="16"/>
        <v>-19.308900042442076</v>
      </c>
      <c r="R72" s="772">
        <f t="shared" si="2"/>
        <v>-7.8061646956630422E-8</v>
      </c>
      <c r="S72" s="775"/>
    </row>
    <row r="73" spans="1:19" ht="12.75" x14ac:dyDescent="0.2">
      <c r="A73" s="768" t="s">
        <v>274</v>
      </c>
      <c r="B73" s="768">
        <v>2020</v>
      </c>
      <c r="C73" s="768"/>
      <c r="D73" s="768"/>
      <c r="E73" s="768"/>
      <c r="F73" s="183">
        <v>659168</v>
      </c>
      <c r="G73" s="768"/>
      <c r="H73" s="768"/>
      <c r="I73" s="768">
        <f t="shared" si="4"/>
        <v>659168</v>
      </c>
      <c r="J73" s="768"/>
      <c r="K73" s="768"/>
      <c r="L73" s="183">
        <v>4143324</v>
      </c>
      <c r="M73" s="768"/>
      <c r="N73" s="768">
        <f t="shared" si="0"/>
        <v>4143324</v>
      </c>
      <c r="O73" s="768"/>
      <c r="P73" s="768"/>
      <c r="Q73" s="768">
        <f t="shared" si="1"/>
        <v>4802492</v>
      </c>
      <c r="R73" s="774">
        <f t="shared" si="2"/>
        <v>1.9415421603095524E-2</v>
      </c>
      <c r="S73" s="775"/>
    </row>
    <row r="74" spans="1:19" ht="12.75" x14ac:dyDescent="0.2">
      <c r="A74" s="769"/>
      <c r="B74" s="768">
        <v>2021</v>
      </c>
      <c r="C74" s="768"/>
      <c r="D74" s="768"/>
      <c r="E74" s="768"/>
      <c r="F74" s="183">
        <v>730611</v>
      </c>
      <c r="G74"/>
      <c r="H74" s="768"/>
      <c r="I74" s="768">
        <f t="shared" si="4"/>
        <v>730611</v>
      </c>
      <c r="J74" s="768"/>
      <c r="K74" s="768"/>
      <c r="L74" s="183">
        <v>15263704</v>
      </c>
      <c r="M74" s="768"/>
      <c r="N74" s="768">
        <f t="shared" si="0"/>
        <v>15263704</v>
      </c>
      <c r="O74" s="768"/>
      <c r="P74" s="768"/>
      <c r="Q74" s="768">
        <f t="shared" si="1"/>
        <v>15994315</v>
      </c>
      <c r="R74" s="774">
        <f t="shared" si="2"/>
        <v>6.4661506771425084E-2</v>
      </c>
      <c r="S74" s="775"/>
    </row>
    <row r="75" spans="1:19" ht="12.75" x14ac:dyDescent="0.2">
      <c r="A75" s="769"/>
      <c r="B75" s="768">
        <v>2022</v>
      </c>
      <c r="C75" s="768"/>
      <c r="D75" s="768"/>
      <c r="E75" s="768"/>
      <c r="F75" s="183">
        <v>305064</v>
      </c>
      <c r="G75" s="768"/>
      <c r="H75" s="768"/>
      <c r="I75" s="768">
        <f t="shared" si="4"/>
        <v>305064</v>
      </c>
      <c r="J75" s="768"/>
      <c r="K75" s="768"/>
      <c r="L75" s="183">
        <v>21217169</v>
      </c>
      <c r="M75" s="768"/>
      <c r="N75" s="768">
        <f t="shared" si="0"/>
        <v>21217169</v>
      </c>
      <c r="O75" s="768"/>
      <c r="P75" s="768"/>
      <c r="Q75" s="768">
        <f t="shared" si="1"/>
        <v>21522233</v>
      </c>
      <c r="R75" s="774">
        <f t="shared" si="2"/>
        <v>8.7009666551252016E-2</v>
      </c>
      <c r="S75" s="775"/>
    </row>
    <row r="76" spans="1:19" x14ac:dyDescent="0.2">
      <c r="A76" s="773"/>
      <c r="B76" s="770" t="s">
        <v>430</v>
      </c>
      <c r="C76" s="771"/>
      <c r="D76" s="771"/>
      <c r="E76" s="771"/>
      <c r="F76" s="771">
        <f>F75*100/F74-100</f>
        <v>-58.245359021421798</v>
      </c>
      <c r="G76" s="771"/>
      <c r="H76" s="771"/>
      <c r="I76" s="771">
        <f t="shared" ref="I76:Q76" si="17">I75*100/I74-100</f>
        <v>-58.245359021421798</v>
      </c>
      <c r="J76" s="771"/>
      <c r="K76" s="771"/>
      <c r="L76" s="771">
        <f t="shared" si="17"/>
        <v>39.00406480628817</v>
      </c>
      <c r="M76" s="771"/>
      <c r="N76" s="771">
        <f t="shared" si="17"/>
        <v>39.00406480628817</v>
      </c>
      <c r="O76" s="771"/>
      <c r="P76" s="771"/>
      <c r="Q76" s="771">
        <f t="shared" si="17"/>
        <v>34.561767728095901</v>
      </c>
      <c r="R76" s="772">
        <f t="shared" si="2"/>
        <v>1.397256448921191E-7</v>
      </c>
      <c r="S76" s="775"/>
    </row>
    <row r="77" spans="1:19" ht="12.75" x14ac:dyDescent="0.2">
      <c r="A77" s="768" t="s">
        <v>275</v>
      </c>
      <c r="B77" s="768">
        <v>2020</v>
      </c>
      <c r="C77" s="768"/>
      <c r="D77" s="183">
        <v>125790</v>
      </c>
      <c r="E77" s="768"/>
      <c r="F77" s="183">
        <v>940836</v>
      </c>
      <c r="G77" s="768"/>
      <c r="H77" s="768"/>
      <c r="I77" s="768">
        <f t="shared" si="4"/>
        <v>1066626</v>
      </c>
      <c r="J77" s="768"/>
      <c r="K77" s="768"/>
      <c r="L77" s="768">
        <v>0</v>
      </c>
      <c r="M77" s="768"/>
      <c r="N77" s="768">
        <f t="shared" si="0"/>
        <v>0</v>
      </c>
      <c r="O77" s="768"/>
      <c r="P77" s="768"/>
      <c r="Q77" s="768">
        <f t="shared" si="1"/>
        <v>1066626</v>
      </c>
      <c r="R77" s="774">
        <f t="shared" si="2"/>
        <v>4.3121349255393591E-3</v>
      </c>
      <c r="S77" s="775"/>
    </row>
    <row r="78" spans="1:19" ht="12.75" x14ac:dyDescent="0.2">
      <c r="A78" s="769"/>
      <c r="B78" s="768">
        <v>2021</v>
      </c>
      <c r="C78" s="768"/>
      <c r="D78" s="183">
        <v>99211</v>
      </c>
      <c r="E78" s="768"/>
      <c r="F78" s="183">
        <v>637332</v>
      </c>
      <c r="G78"/>
      <c r="H78" s="768"/>
      <c r="I78" s="768">
        <f t="shared" si="4"/>
        <v>736543</v>
      </c>
      <c r="J78" s="768"/>
      <c r="K78" s="768"/>
      <c r="L78" s="183">
        <v>150000</v>
      </c>
      <c r="M78" s="768"/>
      <c r="N78" s="768">
        <f t="shared" ref="N78:N95" si="18">J78+K78+L78+M78</f>
        <v>150000</v>
      </c>
      <c r="O78" s="768"/>
      <c r="P78" s="768"/>
      <c r="Q78" s="768">
        <f t="shared" ref="Q78:Q99" si="19">I78+N78+P78</f>
        <v>886543</v>
      </c>
      <c r="R78" s="774">
        <f t="shared" ref="R78:R107" si="20">Q78/$Q$105*100%</f>
        <v>3.5840988624807947E-3</v>
      </c>
      <c r="S78" s="775"/>
    </row>
    <row r="79" spans="1:19" ht="12.75" x14ac:dyDescent="0.2">
      <c r="A79" s="769"/>
      <c r="B79" s="768">
        <v>2022</v>
      </c>
      <c r="C79" s="768"/>
      <c r="D79" s="183">
        <v>67189</v>
      </c>
      <c r="E79" s="768"/>
      <c r="F79" s="183">
        <v>358617</v>
      </c>
      <c r="G79" s="768"/>
      <c r="H79" s="768"/>
      <c r="I79" s="768">
        <f t="shared" si="4"/>
        <v>425806</v>
      </c>
      <c r="J79" s="768"/>
      <c r="K79" s="768"/>
      <c r="L79" s="183">
        <v>300000</v>
      </c>
      <c r="M79" s="768"/>
      <c r="N79" s="768">
        <f t="shared" si="18"/>
        <v>300000</v>
      </c>
      <c r="O79" s="768"/>
      <c r="P79" s="768"/>
      <c r="Q79" s="768">
        <f t="shared" si="19"/>
        <v>725806</v>
      </c>
      <c r="R79" s="774">
        <f t="shared" si="20"/>
        <v>2.934274433368416E-3</v>
      </c>
      <c r="S79" s="775"/>
    </row>
    <row r="80" spans="1:19" x14ac:dyDescent="0.2">
      <c r="A80" s="773"/>
      <c r="B80" s="770" t="s">
        <v>430</v>
      </c>
      <c r="C80" s="771"/>
      <c r="D80" s="771">
        <f>D79*100/D78-100</f>
        <v>-32.276662870044646</v>
      </c>
      <c r="E80" s="771"/>
      <c r="F80" s="771">
        <f t="shared" ref="F80:Q80" si="21">F79*100/F78-100</f>
        <v>-43.731524542938374</v>
      </c>
      <c r="G80" s="771"/>
      <c r="H80" s="771"/>
      <c r="I80" s="771">
        <f t="shared" si="21"/>
        <v>-42.188575548202891</v>
      </c>
      <c r="J80" s="771"/>
      <c r="K80" s="771"/>
      <c r="L80" s="771">
        <f t="shared" si="21"/>
        <v>100</v>
      </c>
      <c r="M80" s="771"/>
      <c r="N80" s="771">
        <f t="shared" si="21"/>
        <v>100</v>
      </c>
      <c r="O80" s="771"/>
      <c r="P80" s="771"/>
      <c r="Q80" s="771">
        <f t="shared" si="21"/>
        <v>-18.130761846859087</v>
      </c>
      <c r="R80" s="772">
        <f t="shared" si="20"/>
        <v>-7.3298692687481422E-8</v>
      </c>
      <c r="S80" s="775"/>
    </row>
    <row r="81" spans="1:19" ht="12.75" x14ac:dyDescent="0.2">
      <c r="A81" s="768" t="s">
        <v>276</v>
      </c>
      <c r="B81" s="768">
        <v>2020</v>
      </c>
      <c r="C81" s="768"/>
      <c r="D81" s="183">
        <v>109166580</v>
      </c>
      <c r="E81" s="183">
        <v>12753</v>
      </c>
      <c r="F81" s="183">
        <v>46188096</v>
      </c>
      <c r="G81" s="183"/>
      <c r="H81" s="183">
        <v>1230159</v>
      </c>
      <c r="I81" s="768">
        <f t="shared" si="4"/>
        <v>156597588</v>
      </c>
      <c r="J81" s="768"/>
      <c r="K81" s="183"/>
      <c r="L81" s="183">
        <v>41955415</v>
      </c>
      <c r="M81" s="768"/>
      <c r="N81" s="768">
        <f t="shared" si="18"/>
        <v>41955415</v>
      </c>
      <c r="O81" s="768"/>
      <c r="P81" s="768"/>
      <c r="Q81" s="768">
        <f t="shared" si="19"/>
        <v>198553003</v>
      </c>
      <c r="R81" s="774">
        <f t="shared" si="20"/>
        <v>0.80270623330672708</v>
      </c>
      <c r="S81" s="775"/>
    </row>
    <row r="82" spans="1:19" ht="12.75" x14ac:dyDescent="0.2">
      <c r="A82" s="769"/>
      <c r="B82" s="768">
        <v>2021</v>
      </c>
      <c r="C82" s="768"/>
      <c r="D82" s="183">
        <v>115245289</v>
      </c>
      <c r="E82" s="183">
        <v>12753</v>
      </c>
      <c r="F82" s="183">
        <v>51540532</v>
      </c>
      <c r="G82"/>
      <c r="H82" s="183">
        <v>1230159</v>
      </c>
      <c r="I82" s="768">
        <f t="shared" si="4"/>
        <v>168028733</v>
      </c>
      <c r="J82" s="768"/>
      <c r="K82" s="768"/>
      <c r="L82" s="183">
        <v>50498415</v>
      </c>
      <c r="M82" s="768"/>
      <c r="N82" s="768">
        <f t="shared" si="18"/>
        <v>50498415</v>
      </c>
      <c r="O82" s="768"/>
      <c r="P82" s="768"/>
      <c r="Q82" s="768">
        <f t="shared" si="19"/>
        <v>218527148</v>
      </c>
      <c r="R82" s="774">
        <f t="shared" si="20"/>
        <v>0.88345731968778984</v>
      </c>
      <c r="S82" s="775"/>
    </row>
    <row r="83" spans="1:19" ht="12.75" x14ac:dyDescent="0.2">
      <c r="A83" s="769"/>
      <c r="B83" s="768">
        <v>2022</v>
      </c>
      <c r="C83" s="768"/>
      <c r="D83" s="183">
        <v>120499792</v>
      </c>
      <c r="E83" s="183">
        <v>12753</v>
      </c>
      <c r="F83" s="183">
        <v>66469468</v>
      </c>
      <c r="G83" s="183"/>
      <c r="H83" s="183">
        <v>1230159</v>
      </c>
      <c r="I83" s="768">
        <f t="shared" si="4"/>
        <v>188212172</v>
      </c>
      <c r="J83" s="768"/>
      <c r="K83" s="768"/>
      <c r="L83" s="183">
        <v>2223600</v>
      </c>
      <c r="M83" s="768"/>
      <c r="N83" s="768">
        <f t="shared" si="18"/>
        <v>2223600</v>
      </c>
      <c r="O83" s="768"/>
      <c r="P83" s="768"/>
      <c r="Q83" s="768">
        <f t="shared" si="19"/>
        <v>190435772</v>
      </c>
      <c r="R83" s="774">
        <f t="shared" si="20"/>
        <v>0.76989004910179415</v>
      </c>
      <c r="S83" s="775"/>
    </row>
    <row r="84" spans="1:19" x14ac:dyDescent="0.2">
      <c r="A84" s="773"/>
      <c r="B84" s="770" t="s">
        <v>430</v>
      </c>
      <c r="C84" s="771"/>
      <c r="D84" s="771">
        <f>D83*100/D82-100</f>
        <v>4.5594080639599923</v>
      </c>
      <c r="E84" s="771">
        <f t="shared" ref="E84:Q84" si="22">E83*100/E82-100</f>
        <v>0</v>
      </c>
      <c r="F84" s="771">
        <f t="shared" si="22"/>
        <v>28.965428606751686</v>
      </c>
      <c r="G84" s="771"/>
      <c r="H84" s="771"/>
      <c r="I84" s="771">
        <f t="shared" si="22"/>
        <v>12.011897393763007</v>
      </c>
      <c r="J84" s="771"/>
      <c r="K84" s="771"/>
      <c r="L84" s="771">
        <f t="shared" si="22"/>
        <v>-95.596693480379528</v>
      </c>
      <c r="M84" s="771"/>
      <c r="N84" s="771">
        <f t="shared" si="22"/>
        <v>-95.596693480379528</v>
      </c>
      <c r="O84" s="771"/>
      <c r="P84" s="771"/>
      <c r="Q84" s="771">
        <f t="shared" si="22"/>
        <v>-12.854867808003419</v>
      </c>
      <c r="R84" s="772">
        <f t="shared" si="20"/>
        <v>-5.1969410494478034E-8</v>
      </c>
      <c r="S84" s="775"/>
    </row>
    <row r="85" spans="1:19" x14ac:dyDescent="0.2">
      <c r="A85" s="768" t="s">
        <v>277</v>
      </c>
      <c r="B85" s="768">
        <v>2020</v>
      </c>
      <c r="C85" s="768"/>
      <c r="D85" s="768"/>
      <c r="E85" s="768"/>
      <c r="F85" s="768"/>
      <c r="G85" s="768"/>
      <c r="H85" s="768"/>
      <c r="I85" s="768"/>
      <c r="J85" s="768"/>
      <c r="K85" s="768"/>
      <c r="L85" s="768"/>
      <c r="M85" s="768"/>
      <c r="N85" s="768">
        <f t="shared" si="18"/>
        <v>0</v>
      </c>
      <c r="O85" s="768"/>
      <c r="P85" s="768"/>
      <c r="Q85" s="768">
        <f t="shared" si="19"/>
        <v>0</v>
      </c>
      <c r="R85" s="774">
        <f t="shared" si="20"/>
        <v>0</v>
      </c>
      <c r="S85" s="775"/>
    </row>
    <row r="86" spans="1:19" ht="12.75" x14ac:dyDescent="0.2">
      <c r="A86" s="769"/>
      <c r="B86" s="768">
        <v>2021</v>
      </c>
      <c r="C86" s="768"/>
      <c r="D86" s="768"/>
      <c r="E86" s="768"/>
      <c r="F86" s="768"/>
      <c r="G86" s="768"/>
      <c r="H86" s="768"/>
      <c r="I86" s="768"/>
      <c r="J86" s="768"/>
      <c r="K86" s="768"/>
      <c r="L86" s="183">
        <v>71300</v>
      </c>
      <c r="M86" s="768"/>
      <c r="N86" s="768">
        <f t="shared" si="18"/>
        <v>71300</v>
      </c>
      <c r="O86" s="768"/>
      <c r="P86" s="768"/>
      <c r="Q86" s="768">
        <f t="shared" si="19"/>
        <v>71300</v>
      </c>
      <c r="R86" s="774">
        <f t="shared" si="20"/>
        <v>2.8825025847012571E-4</v>
      </c>
      <c r="S86" s="775"/>
    </row>
    <row r="87" spans="1:19" ht="12.75" x14ac:dyDescent="0.2">
      <c r="A87" s="769"/>
      <c r="B87" s="768">
        <v>2022</v>
      </c>
      <c r="C87" s="768"/>
      <c r="D87" s="768"/>
      <c r="E87" s="768"/>
      <c r="F87" s="768"/>
      <c r="G87" s="768"/>
      <c r="H87" s="768"/>
      <c r="I87" s="768"/>
      <c r="J87" s="768"/>
      <c r="K87" s="768"/>
      <c r="L87" s="183">
        <v>2629294</v>
      </c>
      <c r="M87" s="768"/>
      <c r="N87" s="768">
        <f t="shared" si="18"/>
        <v>2629294</v>
      </c>
      <c r="O87" s="768"/>
      <c r="P87" s="768"/>
      <c r="Q87" s="768">
        <f t="shared" si="19"/>
        <v>2629294</v>
      </c>
      <c r="R87" s="774">
        <f t="shared" si="20"/>
        <v>1.0629658837222309E-2</v>
      </c>
      <c r="S87" s="775"/>
    </row>
    <row r="88" spans="1:19" x14ac:dyDescent="0.2">
      <c r="A88" s="773"/>
      <c r="B88" s="770" t="s">
        <v>430</v>
      </c>
      <c r="C88" s="771"/>
      <c r="D88" s="771"/>
      <c r="E88" s="771"/>
      <c r="F88" s="771"/>
      <c r="G88" s="771"/>
      <c r="H88" s="771"/>
      <c r="I88" s="771"/>
      <c r="J88" s="771"/>
      <c r="K88" s="771"/>
      <c r="L88" s="771">
        <f>L87*100/L86-100</f>
        <v>3587.6493688639553</v>
      </c>
      <c r="M88" s="771"/>
      <c r="N88" s="771">
        <f t="shared" ref="N88:Q88" si="23">N87*100/N86-100</f>
        <v>3587.6493688639553</v>
      </c>
      <c r="O88" s="771"/>
      <c r="P88" s="771"/>
      <c r="Q88" s="771">
        <f t="shared" si="23"/>
        <v>3587.6493688639553</v>
      </c>
      <c r="R88" s="772">
        <f t="shared" si="20"/>
        <v>1.4504079353088618E-5</v>
      </c>
      <c r="S88" s="775"/>
    </row>
    <row r="89" spans="1:19" ht="12.75" x14ac:dyDescent="0.2">
      <c r="A89" s="768" t="s">
        <v>278</v>
      </c>
      <c r="B89" s="768">
        <v>2020</v>
      </c>
      <c r="C89" s="768"/>
      <c r="D89" s="183">
        <v>386463405</v>
      </c>
      <c r="E89" s="183">
        <v>15000</v>
      </c>
      <c r="F89" s="183">
        <v>36427141</v>
      </c>
      <c r="G89" s="768"/>
      <c r="H89" s="768"/>
      <c r="I89" s="768">
        <f t="shared" ref="I89:I98" si="24">C89+D89+E89+F89+G89+H89</f>
        <v>422905546</v>
      </c>
      <c r="J89" s="768"/>
      <c r="K89" s="768"/>
      <c r="L89" s="183">
        <v>50845845</v>
      </c>
      <c r="M89" s="768"/>
      <c r="N89" s="768">
        <f t="shared" si="18"/>
        <v>50845845</v>
      </c>
      <c r="O89" s="768"/>
      <c r="P89" s="768"/>
      <c r="Q89" s="768">
        <f t="shared" si="19"/>
        <v>473751391</v>
      </c>
      <c r="R89" s="774">
        <f t="shared" si="20"/>
        <v>1.9152729439878202</v>
      </c>
      <c r="S89" s="775"/>
    </row>
    <row r="90" spans="1:19" ht="12.75" x14ac:dyDescent="0.2">
      <c r="A90" s="769"/>
      <c r="B90" s="768">
        <v>2021</v>
      </c>
      <c r="C90" s="768"/>
      <c r="D90" s="183">
        <v>438526929</v>
      </c>
      <c r="E90" s="183">
        <v>654000</v>
      </c>
      <c r="F90" s="183">
        <v>19879384</v>
      </c>
      <c r="G90"/>
      <c r="H90" s="768"/>
      <c r="I90" s="768">
        <f t="shared" si="24"/>
        <v>459060313</v>
      </c>
      <c r="J90" s="768"/>
      <c r="K90" s="768"/>
      <c r="L90" s="183">
        <v>60574514</v>
      </c>
      <c r="M90" s="768"/>
      <c r="N90" s="768">
        <f t="shared" si="18"/>
        <v>60574514</v>
      </c>
      <c r="O90" s="768"/>
      <c r="P90" s="768"/>
      <c r="Q90" s="768">
        <f t="shared" si="19"/>
        <v>519634827</v>
      </c>
      <c r="R90" s="774">
        <f t="shared" si="20"/>
        <v>2.1007696099976023</v>
      </c>
      <c r="S90" s="775"/>
    </row>
    <row r="91" spans="1:19" ht="12.75" x14ac:dyDescent="0.2">
      <c r="A91" s="769"/>
      <c r="B91" s="768">
        <v>2022</v>
      </c>
      <c r="C91" s="768"/>
      <c r="D91" s="183">
        <v>426387186</v>
      </c>
      <c r="E91" s="183">
        <v>639000</v>
      </c>
      <c r="F91" s="183">
        <v>11656431</v>
      </c>
      <c r="G91" s="768"/>
      <c r="H91" s="768"/>
      <c r="I91" s="768">
        <f t="shared" si="24"/>
        <v>438682617</v>
      </c>
      <c r="J91" s="768"/>
      <c r="K91" s="768"/>
      <c r="L91" s="183">
        <v>58720703</v>
      </c>
      <c r="M91" s="768"/>
      <c r="N91" s="768">
        <f t="shared" si="18"/>
        <v>58720703</v>
      </c>
      <c r="O91" s="768"/>
      <c r="P91" s="768"/>
      <c r="Q91" s="768">
        <f t="shared" si="19"/>
        <v>497403320</v>
      </c>
      <c r="R91" s="774">
        <f t="shared" si="20"/>
        <v>2.010892504262253</v>
      </c>
      <c r="S91" s="775"/>
    </row>
    <row r="92" spans="1:19" x14ac:dyDescent="0.2">
      <c r="A92" s="773"/>
      <c r="B92" s="770" t="s">
        <v>430</v>
      </c>
      <c r="C92" s="771"/>
      <c r="D92" s="771">
        <f>D91*100/D90-100</f>
        <v>-2.768300461657617</v>
      </c>
      <c r="E92" s="771">
        <f t="shared" ref="E92:Q92" si="25">E91*100/E90-100</f>
        <v>-2.2935779816513815</v>
      </c>
      <c r="F92" s="771">
        <f t="shared" si="25"/>
        <v>-41.364224364296199</v>
      </c>
      <c r="G92" s="771"/>
      <c r="H92" s="771"/>
      <c r="I92" s="771">
        <f t="shared" si="25"/>
        <v>-4.4390018964675733</v>
      </c>
      <c r="J92" s="771"/>
      <c r="K92" s="771"/>
      <c r="L92" s="771">
        <f t="shared" si="25"/>
        <v>-3.0603811365288038</v>
      </c>
      <c r="M92" s="771"/>
      <c r="N92" s="771">
        <f t="shared" si="25"/>
        <v>-3.0603811365288038</v>
      </c>
      <c r="O92" s="771"/>
      <c r="P92" s="771"/>
      <c r="Q92" s="771">
        <f t="shared" si="25"/>
        <v>-4.2782942645220317</v>
      </c>
      <c r="R92" s="772">
        <f t="shared" si="20"/>
        <v>-1.7296205155115457E-8</v>
      </c>
      <c r="S92" s="775"/>
    </row>
    <row r="93" spans="1:19" ht="12.75" x14ac:dyDescent="0.2">
      <c r="A93" s="768" t="s">
        <v>279</v>
      </c>
      <c r="B93" s="768">
        <v>2020</v>
      </c>
      <c r="C93" s="768"/>
      <c r="D93" s="183">
        <v>426924</v>
      </c>
      <c r="E93" s="768"/>
      <c r="F93" s="183">
        <v>517035</v>
      </c>
      <c r="G93" s="768"/>
      <c r="H93" s="768"/>
      <c r="I93" s="768">
        <f t="shared" si="24"/>
        <v>943959</v>
      </c>
      <c r="J93" s="768"/>
      <c r="K93" s="768"/>
      <c r="L93" s="768"/>
      <c r="M93" s="768"/>
      <c r="N93" s="768">
        <f t="shared" si="18"/>
        <v>0</v>
      </c>
      <c r="O93" s="768"/>
      <c r="P93" s="768"/>
      <c r="Q93" s="768">
        <f t="shared" si="19"/>
        <v>943959</v>
      </c>
      <c r="R93" s="774">
        <f t="shared" si="20"/>
        <v>3.816219154771408E-3</v>
      </c>
      <c r="S93" s="775"/>
    </row>
    <row r="94" spans="1:19" ht="12.75" x14ac:dyDescent="0.2">
      <c r="A94" s="769"/>
      <c r="B94" s="768">
        <v>2021</v>
      </c>
      <c r="C94" s="768"/>
      <c r="D94" s="183">
        <v>490720</v>
      </c>
      <c r="E94" s="768"/>
      <c r="F94" s="183">
        <v>605036</v>
      </c>
      <c r="G94" s="768"/>
      <c r="H94" s="768"/>
      <c r="I94" s="768">
        <f t="shared" si="24"/>
        <v>1095756</v>
      </c>
      <c r="J94" s="768"/>
      <c r="K94" s="768"/>
      <c r="L94" s="768"/>
      <c r="M94" s="768"/>
      <c r="N94" s="768">
        <f t="shared" si="18"/>
        <v>0</v>
      </c>
      <c r="O94" s="768"/>
      <c r="P94" s="768"/>
      <c r="Q94" s="768">
        <f t="shared" si="19"/>
        <v>1095756</v>
      </c>
      <c r="R94" s="774">
        <f t="shared" si="20"/>
        <v>4.4299011251078694E-3</v>
      </c>
      <c r="S94" s="775"/>
    </row>
    <row r="95" spans="1:19" ht="12.75" x14ac:dyDescent="0.2">
      <c r="A95" s="769"/>
      <c r="B95" s="768">
        <v>2022</v>
      </c>
      <c r="C95" s="768"/>
      <c r="D95" s="183">
        <v>482101</v>
      </c>
      <c r="E95" s="768"/>
      <c r="F95" s="183">
        <v>593853</v>
      </c>
      <c r="G95" s="768"/>
      <c r="H95" s="768"/>
      <c r="I95" s="768">
        <f t="shared" si="24"/>
        <v>1075954</v>
      </c>
      <c r="J95" s="768"/>
      <c r="K95" s="768"/>
      <c r="L95" s="183">
        <v>400000</v>
      </c>
      <c r="M95" s="768"/>
      <c r="N95" s="768">
        <f t="shared" si="18"/>
        <v>400000</v>
      </c>
      <c r="O95" s="768"/>
      <c r="P95" s="768"/>
      <c r="Q95" s="768">
        <f t="shared" si="19"/>
        <v>1475954</v>
      </c>
      <c r="R95" s="774">
        <f t="shared" si="20"/>
        <v>5.9669582326790449E-3</v>
      </c>
      <c r="S95" s="775"/>
    </row>
    <row r="96" spans="1:19" x14ac:dyDescent="0.2">
      <c r="A96" s="773"/>
      <c r="B96" s="770" t="s">
        <v>430</v>
      </c>
      <c r="C96" s="771"/>
      <c r="D96" s="771">
        <f>D95*100/D94-100</f>
        <v>-1.7563987610042346</v>
      </c>
      <c r="E96" s="771"/>
      <c r="F96" s="771">
        <f t="shared" ref="F96:Q96" si="26">F95*100/F94-100</f>
        <v>-1.8483197694021527</v>
      </c>
      <c r="G96" s="771"/>
      <c r="H96" s="771"/>
      <c r="I96" s="771">
        <f t="shared" si="26"/>
        <v>-1.8071541474561883</v>
      </c>
      <c r="J96" s="771"/>
      <c r="K96" s="771"/>
      <c r="L96" s="771"/>
      <c r="M96" s="771"/>
      <c r="N96" s="771"/>
      <c r="O96" s="771"/>
      <c r="P96" s="771"/>
      <c r="Q96" s="771">
        <f t="shared" si="26"/>
        <v>34.697323126681482</v>
      </c>
      <c r="R96" s="772">
        <f t="shared" si="20"/>
        <v>1.4027366563095943E-7</v>
      </c>
      <c r="S96" s="775"/>
    </row>
    <row r="97" spans="1:19" ht="12.75" x14ac:dyDescent="0.2">
      <c r="A97" s="768" t="s">
        <v>280</v>
      </c>
      <c r="B97" s="768">
        <v>2020</v>
      </c>
      <c r="C97" s="768"/>
      <c r="D97" s="183">
        <v>4767</v>
      </c>
      <c r="E97" s="183">
        <v>25810877</v>
      </c>
      <c r="F97" s="768"/>
      <c r="G97" s="768"/>
      <c r="H97" s="768"/>
      <c r="I97" s="768">
        <f>C97+D97+E97+F97+G97+H97</f>
        <v>25815644</v>
      </c>
      <c r="J97" s="768"/>
      <c r="K97" s="768"/>
      <c r="L97" s="768"/>
      <c r="M97" s="768"/>
      <c r="N97" s="768"/>
      <c r="O97" s="768"/>
      <c r="P97" s="768"/>
      <c r="Q97" s="768">
        <f t="shared" si="19"/>
        <v>25815644</v>
      </c>
      <c r="R97" s="774">
        <f t="shared" si="20"/>
        <v>0.10436698535165147</v>
      </c>
      <c r="S97" s="775"/>
    </row>
    <row r="98" spans="1:19" ht="12.75" x14ac:dyDescent="0.2">
      <c r="A98" s="769"/>
      <c r="B98" s="768">
        <v>2021</v>
      </c>
      <c r="C98" s="768"/>
      <c r="D98" s="183">
        <v>7598</v>
      </c>
      <c r="E98" s="183">
        <v>24213437</v>
      </c>
      <c r="F98" s="768"/>
      <c r="G98" s="768"/>
      <c r="H98" s="768"/>
      <c r="I98" s="768">
        <f t="shared" si="24"/>
        <v>24221035</v>
      </c>
      <c r="J98" s="768"/>
      <c r="K98" s="768"/>
      <c r="L98" s="768"/>
      <c r="M98" s="768"/>
      <c r="N98" s="768"/>
      <c r="O98" s="768"/>
      <c r="P98" s="768"/>
      <c r="Q98" s="768">
        <f t="shared" si="19"/>
        <v>24221035</v>
      </c>
      <c r="R98" s="774">
        <f t="shared" si="20"/>
        <v>9.7920330984066772E-2</v>
      </c>
      <c r="S98" s="775"/>
    </row>
    <row r="99" spans="1:19" ht="12.75" x14ac:dyDescent="0.2">
      <c r="A99" s="769"/>
      <c r="B99" s="768">
        <v>2022</v>
      </c>
      <c r="C99" s="768"/>
      <c r="D99" s="183">
        <v>7598</v>
      </c>
      <c r="E99" s="183">
        <v>21654018</v>
      </c>
      <c r="F99" s="768"/>
      <c r="G99" s="768"/>
      <c r="H99" s="768"/>
      <c r="I99" s="768">
        <f>C99+D99+E99+F99+G99+H99</f>
        <v>21661616</v>
      </c>
      <c r="J99" s="768"/>
      <c r="K99" s="768"/>
      <c r="L99" s="768"/>
      <c r="M99" s="768"/>
      <c r="N99" s="768"/>
      <c r="O99" s="768"/>
      <c r="P99" s="768"/>
      <c r="Q99" s="768">
        <f t="shared" si="19"/>
        <v>21661616</v>
      </c>
      <c r="R99" s="774">
        <f t="shared" si="20"/>
        <v>8.7573161442925818E-2</v>
      </c>
      <c r="S99" s="775"/>
    </row>
    <row r="100" spans="1:19" x14ac:dyDescent="0.2">
      <c r="A100" s="773"/>
      <c r="B100" s="770" t="s">
        <v>430</v>
      </c>
      <c r="C100" s="771"/>
      <c r="D100" s="771">
        <f>D99*100/D98-100</f>
        <v>0</v>
      </c>
      <c r="E100" s="771">
        <f t="shared" ref="E100:Q100" si="27">E99*100/E98-100</f>
        <v>-10.570242464958611</v>
      </c>
      <c r="F100" s="771"/>
      <c r="G100" s="771"/>
      <c r="H100" s="771"/>
      <c r="I100" s="771">
        <f t="shared" si="27"/>
        <v>-10.566926640418131</v>
      </c>
      <c r="J100" s="771"/>
      <c r="K100" s="771"/>
      <c r="L100" s="771"/>
      <c r="M100" s="771"/>
      <c r="N100" s="771"/>
      <c r="O100" s="771"/>
      <c r="P100" s="771"/>
      <c r="Q100" s="771">
        <f t="shared" si="27"/>
        <v>-10.566926640418131</v>
      </c>
      <c r="R100" s="772">
        <f t="shared" si="20"/>
        <v>-4.2719766273988549E-8</v>
      </c>
      <c r="S100" s="775"/>
    </row>
    <row r="101" spans="1:19" x14ac:dyDescent="0.2">
      <c r="A101" s="768" t="s">
        <v>281</v>
      </c>
      <c r="B101" s="768">
        <v>2020</v>
      </c>
      <c r="C101" s="768"/>
      <c r="D101" s="768"/>
      <c r="E101" s="768"/>
      <c r="F101" s="768"/>
      <c r="G101" s="768"/>
      <c r="H101" s="768"/>
      <c r="I101" s="768"/>
      <c r="J101" s="768"/>
      <c r="K101" s="768"/>
      <c r="L101" s="768"/>
      <c r="M101" s="768"/>
      <c r="N101" s="768"/>
      <c r="O101" s="768"/>
      <c r="P101" s="768"/>
      <c r="Q101" s="768"/>
      <c r="R101" s="774">
        <f t="shared" si="20"/>
        <v>0</v>
      </c>
      <c r="S101" s="775"/>
    </row>
    <row r="102" spans="1:19" x14ac:dyDescent="0.2">
      <c r="A102" s="769"/>
      <c r="B102" s="768">
        <v>2021</v>
      </c>
      <c r="C102" s="768"/>
      <c r="D102" s="768"/>
      <c r="E102" s="768"/>
      <c r="F102" s="768"/>
      <c r="G102" s="768"/>
      <c r="H102" s="768"/>
      <c r="I102" s="768"/>
      <c r="J102" s="768"/>
      <c r="K102" s="768"/>
      <c r="L102" s="768"/>
      <c r="M102" s="768"/>
      <c r="N102" s="768"/>
      <c r="O102" s="768"/>
      <c r="P102" s="768"/>
      <c r="Q102" s="768"/>
      <c r="R102" s="774">
        <f t="shared" si="20"/>
        <v>0</v>
      </c>
      <c r="S102" s="775"/>
    </row>
    <row r="103" spans="1:19" x14ac:dyDescent="0.2">
      <c r="A103" s="769"/>
      <c r="B103" s="768">
        <v>2022</v>
      </c>
      <c r="C103" s="768"/>
      <c r="D103" s="768"/>
      <c r="E103" s="768"/>
      <c r="F103" s="768"/>
      <c r="G103" s="768"/>
      <c r="H103" s="768"/>
      <c r="I103" s="768"/>
      <c r="J103" s="768"/>
      <c r="K103" s="768"/>
      <c r="L103" s="768"/>
      <c r="M103" s="768"/>
      <c r="N103" s="768"/>
      <c r="O103" s="768"/>
      <c r="P103" s="768"/>
      <c r="Q103" s="768"/>
      <c r="R103" s="774">
        <f t="shared" si="20"/>
        <v>0</v>
      </c>
      <c r="S103" s="775"/>
    </row>
    <row r="104" spans="1:19" x14ac:dyDescent="0.2">
      <c r="A104" s="773"/>
      <c r="B104" s="770" t="s">
        <v>430</v>
      </c>
      <c r="C104" s="771"/>
      <c r="D104" s="771"/>
      <c r="E104" s="771"/>
      <c r="F104" s="771"/>
      <c r="G104" s="771"/>
      <c r="H104" s="771"/>
      <c r="I104" s="771"/>
      <c r="J104" s="771"/>
      <c r="K104" s="771"/>
      <c r="L104" s="771"/>
      <c r="M104" s="771"/>
      <c r="N104" s="771"/>
      <c r="O104" s="771"/>
      <c r="P104" s="771"/>
      <c r="Q104" s="771"/>
      <c r="R104" s="772">
        <f t="shared" si="20"/>
        <v>0</v>
      </c>
      <c r="S104" s="775"/>
    </row>
    <row r="105" spans="1:19" x14ac:dyDescent="0.2">
      <c r="A105" s="769" t="s">
        <v>2</v>
      </c>
      <c r="B105" s="768">
        <v>2020</v>
      </c>
      <c r="C105" s="768"/>
      <c r="D105" s="768">
        <f>D5+D9+D13+D17+D21+D25+D29+D33+D37+D41+D45+D49+D53+D57+D61+D65+D69+D73+D77+D81+D85+D89+D93+D97+D101</f>
        <v>505717678</v>
      </c>
      <c r="E105" s="768">
        <f>E5+E9+E13+E17+E21+E25+E29+E33+E37+E41+E45+E49+E53+E57+E61+E65+E69+E73+E77+E81+E85+E89+E93+E97+E101</f>
        <v>27064773</v>
      </c>
      <c r="F105" s="768">
        <f t="shared" ref="F105:N105" si="28">F5+F9+F13+F17+F21+F25+F29+F33+F37+F41+F45+F49+F53+F57+F61+F65+F69+F73+F77+F81+F85+F89+F93+F97+F101</f>
        <v>116565532</v>
      </c>
      <c r="G105" s="768"/>
      <c r="H105" s="768">
        <f>H5+H9+H13+H17+H21+H25+H29+H33+H37+H41+H45+H49+H53+H61+H65+H69+H73+H77+H81+H85+H89+H93+H97+H101</f>
        <v>1267457</v>
      </c>
      <c r="I105" s="768">
        <f>D105+E105+F105+G105+H105</f>
        <v>650615440</v>
      </c>
      <c r="J105" s="768"/>
      <c r="K105" s="768"/>
      <c r="L105" s="768">
        <f t="shared" si="28"/>
        <v>247354505</v>
      </c>
      <c r="M105" s="768"/>
      <c r="N105" s="768">
        <f t="shared" si="28"/>
        <v>247354505</v>
      </c>
      <c r="O105" s="768"/>
      <c r="P105" s="768"/>
      <c r="Q105" s="768">
        <f>J105+K105+L105+M105</f>
        <v>247354505</v>
      </c>
      <c r="R105" s="774">
        <f t="shared" si="20"/>
        <v>1</v>
      </c>
      <c r="S105" s="775"/>
    </row>
    <row r="106" spans="1:19" x14ac:dyDescent="0.2">
      <c r="A106" s="777"/>
      <c r="B106" s="768">
        <v>2021</v>
      </c>
      <c r="C106" s="768"/>
      <c r="D106" s="768">
        <f>D6+D10+D14+D18+D22+D26+D30+D34+D38+D42+D46+D50+D54+D58+D62+D66+D74+D78+D82+D86+D90+D94+D98+D102</f>
        <v>564506485</v>
      </c>
      <c r="E106" s="768">
        <f t="shared" ref="E106:H106" si="29">E6+E10+E14+E18+E22+E26+E30+E34+E38+E42+E46+E50+E54+E58+E62+E66+E74+E78+E82+E86+E90+E94+E98+E102</f>
        <v>25910775</v>
      </c>
      <c r="F106" s="768">
        <f>F6+F10+F14+F18+F22+F26+F30+F34+F38+F42+F46+F50+F54+F58+F62+F66+F74+F78+F82+F86+F90+F94+F98+F102+F70</f>
        <v>86290746</v>
      </c>
      <c r="G106" s="768"/>
      <c r="H106" s="768">
        <f t="shared" si="29"/>
        <v>1267457</v>
      </c>
      <c r="I106" s="768">
        <f>D106+E106+F106+G106+H106</f>
        <v>677975463</v>
      </c>
      <c r="J106" s="768"/>
      <c r="K106" s="768"/>
      <c r="L106" s="768">
        <f>L6+L10+L14+L18+L22+L26+L30+L34+L38+L42+L46+L50+L54+L58+L62+L66+L74+L78+L82+L86+L90+L94+L98+L102+L70</f>
        <v>268825306</v>
      </c>
      <c r="M106" s="768"/>
      <c r="N106" s="768">
        <f>N6+N10+N14+N18+N22+N26+N30+N34+N38+N42+N46+N50+N54+N58+N62+N66+N74+N78+N82+N86+N90+N94+N98+N102+N70</f>
        <v>268825306</v>
      </c>
      <c r="O106" s="768"/>
      <c r="P106" s="768"/>
      <c r="Q106" s="768">
        <f t="shared" ref="Q106:Q107" si="30">J106+K106+L106+M106</f>
        <v>268825306</v>
      </c>
      <c r="R106" s="774">
        <f t="shared" si="20"/>
        <v>1.0868017382582136</v>
      </c>
      <c r="S106" s="775"/>
    </row>
    <row r="107" spans="1:19" x14ac:dyDescent="0.2">
      <c r="A107" s="777"/>
      <c r="B107" s="768">
        <v>2022</v>
      </c>
      <c r="C107" s="768"/>
      <c r="D107" s="768">
        <f>D7+D11+D15+D19+D23+D27+D31+D35+D39+D43+D47+D51+D55+D59+D63+D67+D71+D75+D79+D83+D87+D91+D95+D99+D103</f>
        <v>556410505</v>
      </c>
      <c r="E107" s="768">
        <f t="shared" ref="E107:N107" si="31">E7+E11+E15+E19+E23+E27+E31+E35+E39+E43+E47+E51+E55+E59+E63+E67+E71+E75+E79+E83+E87+E91+E95+E99+E103</f>
        <v>23337668</v>
      </c>
      <c r="F107" s="768">
        <f t="shared" si="31"/>
        <v>109299285</v>
      </c>
      <c r="G107" s="768"/>
      <c r="H107" s="768">
        <f t="shared" si="31"/>
        <v>1253744</v>
      </c>
      <c r="I107" s="768">
        <f t="shared" ref="I107" si="32">D107+E107+F107+G107+H107</f>
        <v>690301202</v>
      </c>
      <c r="J107" s="768"/>
      <c r="K107" s="768"/>
      <c r="L107" s="768">
        <f t="shared" si="31"/>
        <v>248910814</v>
      </c>
      <c r="M107" s="768"/>
      <c r="N107" s="768">
        <f t="shared" si="31"/>
        <v>248910814</v>
      </c>
      <c r="O107" s="768"/>
      <c r="P107" s="768"/>
      <c r="Q107" s="768">
        <f t="shared" si="30"/>
        <v>248910814</v>
      </c>
      <c r="R107" s="774">
        <f t="shared" si="20"/>
        <v>1.0062918158696967</v>
      </c>
      <c r="S107" s="775"/>
    </row>
    <row r="108" spans="1:19" x14ac:dyDescent="0.2">
      <c r="A108" s="773"/>
      <c r="B108" s="770" t="s">
        <v>430</v>
      </c>
      <c r="C108" s="771"/>
      <c r="D108" s="771">
        <f>D107*100/D106-100</f>
        <v>-1.434169529513909</v>
      </c>
      <c r="E108" s="771">
        <f t="shared" ref="E108:Q108" si="33">E107*100/E106-100</f>
        <v>-9.9306446835341688</v>
      </c>
      <c r="F108" s="771">
        <f t="shared" si="33"/>
        <v>26.66397043316789</v>
      </c>
      <c r="G108" s="771"/>
      <c r="H108" s="771">
        <f t="shared" si="33"/>
        <v>-1.0819301956594956</v>
      </c>
      <c r="I108" s="771">
        <f t="shared" si="33"/>
        <v>1.8180213993968692</v>
      </c>
      <c r="J108" s="771"/>
      <c r="K108" s="771"/>
      <c r="L108" s="771">
        <f>L107*100/L106-100</f>
        <v>-7.4079677602970975</v>
      </c>
      <c r="M108" s="771"/>
      <c r="N108" s="771">
        <f t="shared" si="33"/>
        <v>-7.4079677602970975</v>
      </c>
      <c r="O108" s="771"/>
      <c r="P108" s="771"/>
      <c r="Q108" s="771">
        <f t="shared" si="33"/>
        <v>-7.4079677602970975</v>
      </c>
      <c r="R108" s="772">
        <f>Q108/$Q$105*100%</f>
        <v>-2.994878852235619E-8</v>
      </c>
      <c r="S108" s="775"/>
    </row>
    <row r="110" spans="1:19" ht="15" x14ac:dyDescent="0.25">
      <c r="D110" s="174"/>
      <c r="E110" s="174"/>
      <c r="F110" s="174"/>
      <c r="I110" s="267"/>
      <c r="L110" s="267"/>
    </row>
    <row r="111" spans="1:19" x14ac:dyDescent="0.2">
      <c r="I111" s="267"/>
      <c r="L111" s="267"/>
      <c r="M111" s="267"/>
    </row>
    <row r="112" spans="1:19" x14ac:dyDescent="0.2">
      <c r="I112" s="267"/>
      <c r="L112" s="267"/>
    </row>
    <row r="114" spans="11:12" ht="15" x14ac:dyDescent="0.25">
      <c r="K114" s="174"/>
      <c r="L114" s="267"/>
    </row>
  </sheetData>
  <mergeCells count="6">
    <mergeCell ref="Q3:R3"/>
    <mergeCell ref="A3:A4"/>
    <mergeCell ref="C3:I3"/>
    <mergeCell ref="J3:N3"/>
    <mergeCell ref="O3:P3"/>
    <mergeCell ref="B3:B4"/>
  </mergeCells>
  <phoneticPr fontId="0" type="noConversion"/>
  <printOptions horizontalCentered="1"/>
  <pageMargins left="0.70866141732283472" right="0.31496062992125984" top="0.74803149606299213" bottom="0.74803149606299213" header="0.31496062992125984" footer="0.31496062992125984"/>
  <pageSetup paperSize="9" scale="56" fitToHeight="0" orientation="landscape" r:id="rId1"/>
  <headerFooter alignWithMargins="0">
    <oddHeader xml:space="preserve">&amp;C&amp;"Arial,Negrita"&amp;18PROYECTO DE PRESUPUESTO 2022
</oddHeader>
    <oddFooter>&amp;L&amp;"Arial,Negrita"&amp;8PROYECTO DE PRESUPUESTO PARA EL AÑO FISCAL 2022
INFORMACIÓN PARA LA COMISIÓN DE PRESUPUESTO Y CUENTA GENERAL DE LA REPÚBLICA DEL CONGRESO DE LA REPÚBLICA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9</vt:i4>
      </vt:variant>
    </vt:vector>
  </HeadingPairs>
  <TitlesOfParts>
    <vt:vector size="30" baseType="lpstr">
      <vt:lpstr>Índice</vt:lpstr>
      <vt:lpstr>F-01</vt:lpstr>
      <vt:lpstr>F-02</vt:lpstr>
      <vt:lpstr>F-03</vt:lpstr>
      <vt:lpstr>F-04</vt:lpstr>
      <vt:lpstr>F-05</vt:lpstr>
      <vt:lpstr>F-06</vt:lpstr>
      <vt:lpstr>F-07 </vt:lpstr>
      <vt:lpstr>F-08</vt:lpstr>
      <vt:lpstr>F-09</vt:lpstr>
      <vt:lpstr>F-10</vt:lpstr>
      <vt:lpstr>F-11</vt:lpstr>
      <vt:lpstr>F-12</vt:lpstr>
      <vt:lpstr>F-13</vt:lpstr>
      <vt:lpstr>F-14</vt:lpstr>
      <vt:lpstr>F-15</vt:lpstr>
      <vt:lpstr>F-16</vt:lpstr>
      <vt:lpstr>F-17</vt:lpstr>
      <vt:lpstr>F-18</vt:lpstr>
      <vt:lpstr>Hoja2</vt:lpstr>
      <vt:lpstr>Hoja1</vt:lpstr>
      <vt:lpstr>'F-01'!Área_de_impresión</vt:lpstr>
      <vt:lpstr>'F-06'!Área_de_impresión</vt:lpstr>
      <vt:lpstr>'F-07 '!Área_de_impresión</vt:lpstr>
      <vt:lpstr>'F-08'!Área_de_impresión</vt:lpstr>
      <vt:lpstr>'F-10'!Área_de_impresión</vt:lpstr>
      <vt:lpstr>'F-12'!Área_de_impresión</vt:lpstr>
      <vt:lpstr>Índice!Área_de_impresión</vt:lpstr>
      <vt:lpstr>'F-01'!Títulos_a_imprimir</vt:lpstr>
      <vt:lpstr>Índice!Títulos_a_imprimir</vt:lpstr>
    </vt:vector>
  </TitlesOfParts>
  <Company>Congreso de la República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Directiva Formulaicón de Presupuesto (V 2008)</dc:title>
  <dc:creator>Asesoria de Presupuesto</dc:creator>
  <cp:lastModifiedBy>pined</cp:lastModifiedBy>
  <cp:lastPrinted>2021-10-22T16:58:30Z</cp:lastPrinted>
  <dcterms:created xsi:type="dcterms:W3CDTF">1998-08-20T20:27:58Z</dcterms:created>
  <dcterms:modified xsi:type="dcterms:W3CDTF">2021-10-24T14:32:50Z</dcterms:modified>
</cp:coreProperties>
</file>